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015"/>
  </bookViews>
  <sheets>
    <sheet name="12M2015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30" i="1" l="1"/>
  <c r="N30" i="1"/>
  <c r="L30" i="1"/>
  <c r="K30" i="1"/>
  <c r="O54" i="1"/>
  <c r="N54" i="1"/>
  <c r="L54" i="1"/>
  <c r="K54" i="1"/>
  <c r="O48" i="1"/>
  <c r="N48" i="1"/>
  <c r="L48" i="1"/>
  <c r="K48" i="1"/>
  <c r="T28" i="1"/>
  <c r="S28" i="1"/>
  <c r="T23" i="1"/>
  <c r="S23" i="1"/>
  <c r="W23" i="1"/>
  <c r="V23" i="1"/>
  <c r="W28" i="1"/>
  <c r="V28" i="1"/>
  <c r="C15" i="1"/>
  <c r="D15" i="1"/>
  <c r="E15" i="1"/>
  <c r="F15" i="1"/>
  <c r="G15" i="1"/>
  <c r="H15" i="1"/>
  <c r="C16" i="1"/>
  <c r="D16" i="1"/>
  <c r="F16" i="1"/>
  <c r="G16" i="1"/>
  <c r="C17" i="1"/>
  <c r="D17" i="1"/>
  <c r="E17" i="1"/>
  <c r="F17" i="1"/>
  <c r="G17" i="1"/>
  <c r="H17" i="1"/>
  <c r="C18" i="1"/>
  <c r="D18" i="1"/>
  <c r="F18" i="1"/>
  <c r="G18" i="1"/>
  <c r="E20" i="1"/>
  <c r="H20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F24" i="1"/>
  <c r="G24" i="1"/>
  <c r="C25" i="1"/>
  <c r="D25" i="1"/>
  <c r="E25" i="1"/>
  <c r="F25" i="1"/>
  <c r="G25" i="1"/>
  <c r="H25" i="1"/>
  <c r="C26" i="1"/>
  <c r="D26" i="1"/>
  <c r="F26" i="1"/>
  <c r="G26" i="1"/>
  <c r="E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F31" i="1"/>
  <c r="G31" i="1"/>
  <c r="C32" i="1"/>
  <c r="D32" i="1"/>
  <c r="E32" i="1"/>
  <c r="F32" i="1"/>
  <c r="G32" i="1"/>
  <c r="H32" i="1"/>
  <c r="C33" i="1"/>
  <c r="D33" i="1"/>
  <c r="F33" i="1"/>
  <c r="G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D14" i="1"/>
  <c r="E14" i="1"/>
  <c r="F14" i="1"/>
  <c r="G14" i="1"/>
  <c r="H14" i="1"/>
  <c r="C14" i="1"/>
  <c r="E12" i="1" l="1"/>
  <c r="D10" i="1"/>
  <c r="V34" i="1" l="1"/>
  <c r="S34" i="1"/>
  <c r="W10" i="1"/>
  <c r="AF10" i="1" s="1"/>
  <c r="T10" i="1"/>
  <c r="AB10" i="1" s="1"/>
  <c r="O34" i="1"/>
  <c r="L34" i="1"/>
  <c r="O10" i="1"/>
  <c r="L10" i="1"/>
  <c r="Z107" i="1"/>
  <c r="Z106" i="1"/>
  <c r="Z105" i="1"/>
  <c r="Z104" i="1"/>
  <c r="Z103" i="1"/>
  <c r="Z102" i="1"/>
  <c r="Z100" i="1"/>
  <c r="Z98" i="1"/>
  <c r="Z97" i="1"/>
  <c r="Z96" i="1"/>
  <c r="Z95" i="1"/>
  <c r="Z94" i="1"/>
  <c r="Z93" i="1"/>
  <c r="Z85" i="1"/>
  <c r="Z84" i="1"/>
  <c r="Z83" i="1"/>
  <c r="Z82" i="1"/>
  <c r="Z81" i="1"/>
  <c r="Z80" i="1"/>
  <c r="Z78" i="1"/>
  <c r="Z76" i="1"/>
  <c r="Z75" i="1"/>
  <c r="Z74" i="1"/>
  <c r="Z73" i="1"/>
  <c r="Z72" i="1"/>
  <c r="Z71" i="1"/>
  <c r="AA66" i="1"/>
  <c r="AO61" i="1"/>
  <c r="AN61" i="1"/>
  <c r="AK61" i="1"/>
  <c r="AJ61" i="1"/>
  <c r="AI61" i="1"/>
  <c r="AF63" i="1"/>
  <c r="AE63" i="1"/>
  <c r="AB63" i="1"/>
  <c r="AA63" i="1"/>
  <c r="Z63" i="1"/>
  <c r="AO60" i="1"/>
  <c r="AN60" i="1"/>
  <c r="AK60" i="1"/>
  <c r="AJ60" i="1"/>
  <c r="AF62" i="1"/>
  <c r="AE62" i="1"/>
  <c r="AB62" i="1"/>
  <c r="AA62" i="1"/>
  <c r="Z62" i="1"/>
  <c r="AO59" i="1"/>
  <c r="AN59" i="1"/>
  <c r="AK59" i="1"/>
  <c r="AJ59" i="1"/>
  <c r="AI59" i="1"/>
  <c r="AF61" i="1"/>
  <c r="AE61" i="1"/>
  <c r="AB61" i="1"/>
  <c r="AA61" i="1"/>
  <c r="Z61" i="1"/>
  <c r="AO58" i="1"/>
  <c r="AN58" i="1"/>
  <c r="AK58" i="1"/>
  <c r="AJ58" i="1"/>
  <c r="AF60" i="1"/>
  <c r="AE60" i="1"/>
  <c r="AB60" i="1"/>
  <c r="AA60" i="1"/>
  <c r="Z60" i="1"/>
  <c r="AF59" i="1"/>
  <c r="AE59" i="1"/>
  <c r="AB59" i="1"/>
  <c r="AA59" i="1"/>
  <c r="Z59" i="1"/>
  <c r="AO57" i="1"/>
  <c r="AN57" i="1"/>
  <c r="AK57" i="1"/>
  <c r="AJ57" i="1"/>
  <c r="AI57" i="1"/>
  <c r="AF58" i="1"/>
  <c r="AE58" i="1"/>
  <c r="AB58" i="1"/>
  <c r="AA58" i="1"/>
  <c r="Z58" i="1"/>
  <c r="AO56" i="1"/>
  <c r="AN56" i="1"/>
  <c r="AK56" i="1"/>
  <c r="AJ56" i="1"/>
  <c r="AI56" i="1"/>
  <c r="AF57" i="1"/>
  <c r="AE57" i="1"/>
  <c r="AB57" i="1"/>
  <c r="AA57" i="1"/>
  <c r="Z57" i="1"/>
  <c r="AO55" i="1"/>
  <c r="AN55" i="1"/>
  <c r="AK55" i="1"/>
  <c r="AJ55" i="1"/>
  <c r="AI55" i="1"/>
  <c r="AF56" i="1"/>
  <c r="AE56" i="1"/>
  <c r="AB56" i="1"/>
  <c r="AA56" i="1"/>
  <c r="Z56" i="1"/>
  <c r="AO54" i="1"/>
  <c r="AN54" i="1"/>
  <c r="AK54" i="1"/>
  <c r="AJ54" i="1"/>
  <c r="AI54" i="1"/>
  <c r="AI58" i="1" s="1"/>
  <c r="AI60" i="1" s="1"/>
  <c r="AF55" i="1"/>
  <c r="AE55" i="1"/>
  <c r="AB55" i="1"/>
  <c r="AA55" i="1"/>
  <c r="Z55" i="1"/>
  <c r="AF54" i="1"/>
  <c r="AE54" i="1"/>
  <c r="AB54" i="1"/>
  <c r="AA54" i="1"/>
  <c r="Z54" i="1"/>
  <c r="J54" i="1"/>
  <c r="AO53" i="1"/>
  <c r="AN53" i="1"/>
  <c r="AK53" i="1"/>
  <c r="AJ53" i="1"/>
  <c r="AI53" i="1"/>
  <c r="W53" i="1"/>
  <c r="V53" i="1"/>
  <c r="T53" i="1"/>
  <c r="S53" i="1"/>
  <c r="R53" i="1"/>
  <c r="W52" i="1"/>
  <c r="V52" i="1"/>
  <c r="T52" i="1"/>
  <c r="S52" i="1"/>
  <c r="AI51" i="1"/>
  <c r="AF51" i="1"/>
  <c r="AE51" i="1"/>
  <c r="AB51" i="1"/>
  <c r="AA51" i="1"/>
  <c r="Z51" i="1"/>
  <c r="W51" i="1"/>
  <c r="V51" i="1"/>
  <c r="T51" i="1"/>
  <c r="S51" i="1"/>
  <c r="R51" i="1"/>
  <c r="AO50" i="1"/>
  <c r="AN50" i="1"/>
  <c r="AK50" i="1"/>
  <c r="AJ50" i="1"/>
  <c r="AI50" i="1"/>
  <c r="AG50" i="1"/>
  <c r="AF50" i="1"/>
  <c r="AE50" i="1"/>
  <c r="AC50" i="1"/>
  <c r="AB50" i="1"/>
  <c r="AA50" i="1"/>
  <c r="W50" i="1"/>
  <c r="V50" i="1"/>
  <c r="T50" i="1"/>
  <c r="S50" i="1"/>
  <c r="R50" i="1"/>
  <c r="AP49" i="1"/>
  <c r="AO49" i="1"/>
  <c r="AN49" i="1"/>
  <c r="AL49" i="1"/>
  <c r="AK49" i="1"/>
  <c r="AJ49" i="1"/>
  <c r="AF49" i="1"/>
  <c r="AE49" i="1"/>
  <c r="AB49" i="1"/>
  <c r="AA49" i="1"/>
  <c r="Z49" i="1"/>
  <c r="W49" i="1"/>
  <c r="V49" i="1"/>
  <c r="T49" i="1"/>
  <c r="S49" i="1"/>
  <c r="R49" i="1"/>
  <c r="J49" i="1"/>
  <c r="AO48" i="1"/>
  <c r="AN48" i="1"/>
  <c r="AK48" i="1"/>
  <c r="AJ48" i="1"/>
  <c r="AI48" i="1"/>
  <c r="AG48" i="1"/>
  <c r="AF48" i="1"/>
  <c r="AE48" i="1"/>
  <c r="AC48" i="1"/>
  <c r="AB48" i="1"/>
  <c r="AA48" i="1"/>
  <c r="W48" i="1"/>
  <c r="V48" i="1"/>
  <c r="T48" i="1"/>
  <c r="S48" i="1"/>
  <c r="R48" i="1"/>
  <c r="J48" i="1"/>
  <c r="AX47" i="1"/>
  <c r="AW47" i="1"/>
  <c r="AT47" i="1"/>
  <c r="AS47" i="1"/>
  <c r="AR47" i="1"/>
  <c r="AP47" i="1"/>
  <c r="AO47" i="1"/>
  <c r="AN47" i="1"/>
  <c r="AL47" i="1"/>
  <c r="AK47" i="1"/>
  <c r="AJ47" i="1"/>
  <c r="AG47" i="1"/>
  <c r="AF47" i="1"/>
  <c r="AE47" i="1"/>
  <c r="AC47" i="1"/>
  <c r="AB47" i="1"/>
  <c r="AA47" i="1"/>
  <c r="Z47" i="1"/>
  <c r="W47" i="1"/>
  <c r="V47" i="1"/>
  <c r="T47" i="1"/>
  <c r="S47" i="1"/>
  <c r="R47" i="1"/>
  <c r="AX46" i="1"/>
  <c r="AW46" i="1"/>
  <c r="AT46" i="1"/>
  <c r="AS46" i="1"/>
  <c r="AR46" i="1"/>
  <c r="AP46" i="1"/>
  <c r="AO46" i="1"/>
  <c r="AN46" i="1"/>
  <c r="AL46" i="1"/>
  <c r="AK46" i="1"/>
  <c r="AJ46" i="1"/>
  <c r="AI46" i="1"/>
  <c r="AG46" i="1"/>
  <c r="AF46" i="1"/>
  <c r="AE46" i="1"/>
  <c r="AC46" i="1"/>
  <c r="AB46" i="1"/>
  <c r="AA46" i="1"/>
  <c r="Z46" i="1"/>
  <c r="W46" i="1"/>
  <c r="V46" i="1"/>
  <c r="T46" i="1"/>
  <c r="S46" i="1"/>
  <c r="AX45" i="1"/>
  <c r="AW45" i="1"/>
  <c r="AT45" i="1"/>
  <c r="AS45" i="1"/>
  <c r="AP45" i="1"/>
  <c r="AO45" i="1"/>
  <c r="AN45" i="1"/>
  <c r="AL45" i="1"/>
  <c r="AK45" i="1"/>
  <c r="AJ45" i="1"/>
  <c r="AI45" i="1"/>
  <c r="AG45" i="1"/>
  <c r="AF45" i="1"/>
  <c r="AE45" i="1"/>
  <c r="AC45" i="1"/>
  <c r="AB45" i="1"/>
  <c r="AA45" i="1"/>
  <c r="Z45" i="1"/>
  <c r="W45" i="1"/>
  <c r="V45" i="1"/>
  <c r="T45" i="1"/>
  <c r="S45" i="1"/>
  <c r="R45" i="1"/>
  <c r="AX44" i="1"/>
  <c r="AW44" i="1"/>
  <c r="AT44" i="1"/>
  <c r="AS44" i="1"/>
  <c r="AR44" i="1"/>
  <c r="AP44" i="1"/>
  <c r="AO44" i="1"/>
  <c r="AN44" i="1"/>
  <c r="AL44" i="1"/>
  <c r="AK44" i="1"/>
  <c r="AJ44" i="1"/>
  <c r="AI44" i="1"/>
  <c r="AG44" i="1"/>
  <c r="AF44" i="1"/>
  <c r="AE44" i="1"/>
  <c r="AC44" i="1"/>
  <c r="AB44" i="1"/>
  <c r="AA44" i="1"/>
  <c r="Z44" i="1"/>
  <c r="W44" i="1"/>
  <c r="V44" i="1"/>
  <c r="T44" i="1"/>
  <c r="S44" i="1"/>
  <c r="R44" i="1"/>
  <c r="AX43" i="1"/>
  <c r="AW43" i="1"/>
  <c r="AT43" i="1"/>
  <c r="AS43" i="1"/>
  <c r="AR43" i="1"/>
  <c r="AP43" i="1"/>
  <c r="AO43" i="1"/>
  <c r="AN43" i="1"/>
  <c r="AL43" i="1"/>
  <c r="AK43" i="1"/>
  <c r="AJ43" i="1"/>
  <c r="AI43" i="1"/>
  <c r="Z43" i="1"/>
  <c r="W43" i="1"/>
  <c r="V43" i="1"/>
  <c r="T43" i="1"/>
  <c r="S43" i="1"/>
  <c r="R43" i="1"/>
  <c r="J43" i="1"/>
  <c r="AX42" i="1"/>
  <c r="AW42" i="1"/>
  <c r="AT42" i="1"/>
  <c r="AS42" i="1"/>
  <c r="AR42" i="1"/>
  <c r="AR45" i="1" s="1"/>
  <c r="AP42" i="1"/>
  <c r="AO42" i="1"/>
  <c r="AN42" i="1"/>
  <c r="AL42" i="1"/>
  <c r="AK42" i="1"/>
  <c r="AJ42" i="1"/>
  <c r="AI42" i="1"/>
  <c r="W42" i="1"/>
  <c r="V42" i="1"/>
  <c r="T42" i="1"/>
  <c r="S42" i="1"/>
  <c r="R42" i="1"/>
  <c r="J42" i="1"/>
  <c r="J47" i="1" s="1"/>
  <c r="B42" i="1"/>
  <c r="AX41" i="1"/>
  <c r="AW41" i="1"/>
  <c r="AT41" i="1"/>
  <c r="AS41" i="1"/>
  <c r="AR41" i="1"/>
  <c r="AP41" i="1"/>
  <c r="AO41" i="1"/>
  <c r="AN41" i="1"/>
  <c r="AL41" i="1"/>
  <c r="AK41" i="1"/>
  <c r="AJ41" i="1"/>
  <c r="AI41" i="1"/>
  <c r="AF41" i="1"/>
  <c r="AE41" i="1"/>
  <c r="AB41" i="1"/>
  <c r="AA41" i="1"/>
  <c r="Z41" i="1"/>
  <c r="W41" i="1"/>
  <c r="V41" i="1"/>
  <c r="T41" i="1"/>
  <c r="S41" i="1"/>
  <c r="R41" i="1"/>
  <c r="J41" i="1"/>
  <c r="J52" i="1" s="1"/>
  <c r="B41" i="1"/>
  <c r="AP40" i="1"/>
  <c r="AO40" i="1"/>
  <c r="AN40" i="1"/>
  <c r="AL40" i="1"/>
  <c r="AK40" i="1"/>
  <c r="AJ40" i="1"/>
  <c r="AI40" i="1"/>
  <c r="AG40" i="1"/>
  <c r="AF40" i="1"/>
  <c r="AE40" i="1"/>
  <c r="AC40" i="1"/>
  <c r="AB40" i="1"/>
  <c r="AA40" i="1"/>
  <c r="Z40" i="1"/>
  <c r="W40" i="1"/>
  <c r="V40" i="1"/>
  <c r="T40" i="1"/>
  <c r="S40" i="1"/>
  <c r="R40" i="1"/>
  <c r="R52" i="1" s="1"/>
  <c r="J40" i="1"/>
  <c r="J45" i="1" s="1"/>
  <c r="B40" i="1"/>
  <c r="AX39" i="1"/>
  <c r="AW39" i="1"/>
  <c r="AT39" i="1"/>
  <c r="AS39" i="1"/>
  <c r="AR39" i="1"/>
  <c r="AI39" i="1"/>
  <c r="AF39" i="1"/>
  <c r="AE39" i="1"/>
  <c r="AB39" i="1"/>
  <c r="AA39" i="1"/>
  <c r="Z39" i="1"/>
  <c r="W39" i="1"/>
  <c r="V39" i="1"/>
  <c r="T39" i="1"/>
  <c r="S39" i="1"/>
  <c r="R39" i="1"/>
  <c r="J39" i="1"/>
  <c r="J50" i="1" s="1"/>
  <c r="B39" i="1"/>
  <c r="AY38" i="1"/>
  <c r="AX38" i="1"/>
  <c r="AW38" i="1"/>
  <c r="AU38" i="1"/>
  <c r="AT38" i="1"/>
  <c r="AS38" i="1"/>
  <c r="AG38" i="1"/>
  <c r="AF38" i="1"/>
  <c r="AE38" i="1"/>
  <c r="AC38" i="1"/>
  <c r="AB38" i="1"/>
  <c r="AA38" i="1"/>
  <c r="W38" i="1"/>
  <c r="V38" i="1"/>
  <c r="T38" i="1"/>
  <c r="S38" i="1"/>
  <c r="R38" i="1"/>
  <c r="P38" i="1"/>
  <c r="O38" i="1"/>
  <c r="N38" i="1"/>
  <c r="M38" i="1"/>
  <c r="L38" i="1"/>
  <c r="K38" i="1"/>
  <c r="J38" i="1"/>
  <c r="B38" i="1"/>
  <c r="AX37" i="1"/>
  <c r="AW37" i="1"/>
  <c r="AT37" i="1"/>
  <c r="AS37" i="1"/>
  <c r="AR37" i="1"/>
  <c r="AO37" i="1"/>
  <c r="AN37" i="1"/>
  <c r="AK37" i="1"/>
  <c r="AJ37" i="1"/>
  <c r="AI37" i="1"/>
  <c r="AG37" i="1"/>
  <c r="AF37" i="1"/>
  <c r="AE37" i="1"/>
  <c r="AC37" i="1"/>
  <c r="AB37" i="1"/>
  <c r="AA37" i="1"/>
  <c r="J37" i="1"/>
  <c r="B37" i="1"/>
  <c r="AY36" i="1"/>
  <c r="AX36" i="1"/>
  <c r="AW36" i="1"/>
  <c r="AU36" i="1"/>
  <c r="AT36" i="1"/>
  <c r="AS36" i="1"/>
  <c r="AP36" i="1"/>
  <c r="AO36" i="1"/>
  <c r="AN36" i="1"/>
  <c r="AL36" i="1"/>
  <c r="AK36" i="1"/>
  <c r="AJ36" i="1"/>
  <c r="AI36" i="1"/>
  <c r="AG36" i="1"/>
  <c r="AF36" i="1"/>
  <c r="AE36" i="1"/>
  <c r="AC36" i="1"/>
  <c r="AB36" i="1"/>
  <c r="AA36" i="1"/>
  <c r="R36" i="1"/>
  <c r="P36" i="1"/>
  <c r="O36" i="1"/>
  <c r="N36" i="1"/>
  <c r="M36" i="1"/>
  <c r="L36" i="1"/>
  <c r="K36" i="1"/>
  <c r="B36" i="1"/>
  <c r="AY35" i="1"/>
  <c r="AX35" i="1"/>
  <c r="AW35" i="1"/>
  <c r="AU35" i="1"/>
  <c r="AT35" i="1"/>
  <c r="AS35" i="1"/>
  <c r="AR35" i="1"/>
  <c r="AO35" i="1"/>
  <c r="AN35" i="1"/>
  <c r="AK35" i="1"/>
  <c r="AJ35" i="1"/>
  <c r="AI35" i="1"/>
  <c r="AG35" i="1"/>
  <c r="AF35" i="1"/>
  <c r="AE35" i="1"/>
  <c r="AC35" i="1"/>
  <c r="AB35" i="1"/>
  <c r="AA35" i="1"/>
  <c r="B35" i="1"/>
  <c r="AY34" i="1"/>
  <c r="AX34" i="1"/>
  <c r="AW34" i="1"/>
  <c r="AU34" i="1"/>
  <c r="AT34" i="1"/>
  <c r="AS34" i="1"/>
  <c r="AR34" i="1"/>
  <c r="AO34" i="1"/>
  <c r="AN34" i="1"/>
  <c r="AK34" i="1"/>
  <c r="AJ34" i="1"/>
  <c r="AG34" i="1"/>
  <c r="AF34" i="1"/>
  <c r="AE34" i="1"/>
  <c r="AC34" i="1"/>
  <c r="AB34" i="1"/>
  <c r="AA34" i="1"/>
  <c r="Z34" i="1"/>
  <c r="R34" i="1"/>
  <c r="J34" i="1"/>
  <c r="B34" i="1"/>
  <c r="AY33" i="1"/>
  <c r="AX33" i="1"/>
  <c r="AW33" i="1"/>
  <c r="AU33" i="1"/>
  <c r="AT33" i="1"/>
  <c r="AS33" i="1"/>
  <c r="AR33" i="1"/>
  <c r="AP33" i="1"/>
  <c r="AO33" i="1"/>
  <c r="AN33" i="1"/>
  <c r="AL33" i="1"/>
  <c r="AK33" i="1"/>
  <c r="AJ33" i="1"/>
  <c r="AG33" i="1"/>
  <c r="AF33" i="1"/>
  <c r="AE33" i="1"/>
  <c r="AC33" i="1"/>
  <c r="AB33" i="1"/>
  <c r="AA33" i="1"/>
  <c r="Z33" i="1"/>
  <c r="Z38" i="1" s="1"/>
  <c r="B33" i="1"/>
  <c r="AY32" i="1"/>
  <c r="AX32" i="1"/>
  <c r="AW32" i="1"/>
  <c r="AU32" i="1"/>
  <c r="AT32" i="1"/>
  <c r="AS32" i="1"/>
  <c r="AR32" i="1"/>
  <c r="AP32" i="1"/>
  <c r="AO32" i="1"/>
  <c r="AN32" i="1"/>
  <c r="AL32" i="1"/>
  <c r="AK32" i="1"/>
  <c r="AJ32" i="1"/>
  <c r="AG32" i="1"/>
  <c r="AF32" i="1"/>
  <c r="AE32" i="1"/>
  <c r="AC32" i="1"/>
  <c r="AB32" i="1"/>
  <c r="AA32" i="1"/>
  <c r="Z32" i="1"/>
  <c r="Z37" i="1" s="1"/>
  <c r="B32" i="1"/>
  <c r="AY31" i="1"/>
  <c r="AX31" i="1"/>
  <c r="AW31" i="1"/>
  <c r="AU31" i="1"/>
  <c r="AT31" i="1"/>
  <c r="AS31" i="1"/>
  <c r="AR31" i="1"/>
  <c r="AP31" i="1"/>
  <c r="AO31" i="1"/>
  <c r="AN31" i="1"/>
  <c r="AL31" i="1"/>
  <c r="AK31" i="1"/>
  <c r="AJ31" i="1"/>
  <c r="AI31" i="1"/>
  <c r="AG31" i="1"/>
  <c r="AF31" i="1"/>
  <c r="AE31" i="1"/>
  <c r="AC31" i="1"/>
  <c r="AB31" i="1"/>
  <c r="AA31" i="1"/>
  <c r="Z31" i="1"/>
  <c r="Z36" i="1" s="1"/>
  <c r="X31" i="1"/>
  <c r="W31" i="1"/>
  <c r="V31" i="1"/>
  <c r="U31" i="1"/>
  <c r="T31" i="1"/>
  <c r="S31" i="1"/>
  <c r="R31" i="1"/>
  <c r="B31" i="1"/>
  <c r="BG30" i="1"/>
  <c r="BF30" i="1"/>
  <c r="BC30" i="1"/>
  <c r="BB30" i="1"/>
  <c r="BA30" i="1"/>
  <c r="AR30" i="1"/>
  <c r="AO30" i="1"/>
  <c r="AN30" i="1"/>
  <c r="AK30" i="1"/>
  <c r="AJ30" i="1"/>
  <c r="AI30" i="1"/>
  <c r="AI34" i="1" s="1"/>
  <c r="AG30" i="1"/>
  <c r="AF30" i="1"/>
  <c r="AE30" i="1"/>
  <c r="AC30" i="1"/>
  <c r="AB30" i="1"/>
  <c r="AA30" i="1"/>
  <c r="Z30" i="1"/>
  <c r="Z35" i="1" s="1"/>
  <c r="X30" i="1"/>
  <c r="W30" i="1"/>
  <c r="V30" i="1"/>
  <c r="U30" i="1"/>
  <c r="T30" i="1"/>
  <c r="S30" i="1"/>
  <c r="R30" i="1"/>
  <c r="J30" i="1"/>
  <c r="B30" i="1"/>
  <c r="BG29" i="1"/>
  <c r="BF29" i="1"/>
  <c r="BC29" i="1"/>
  <c r="BB29" i="1"/>
  <c r="BA29" i="1"/>
  <c r="AP29" i="1"/>
  <c r="AO29" i="1"/>
  <c r="AN29" i="1"/>
  <c r="AL29" i="1"/>
  <c r="AK29" i="1"/>
  <c r="AJ29" i="1"/>
  <c r="AI29" i="1"/>
  <c r="AI33" i="1" s="1"/>
  <c r="AG29" i="1"/>
  <c r="AF29" i="1"/>
  <c r="AE29" i="1"/>
  <c r="AC29" i="1"/>
  <c r="AB29" i="1"/>
  <c r="AA29" i="1"/>
  <c r="Z29" i="1"/>
  <c r="X29" i="1"/>
  <c r="W29" i="1"/>
  <c r="V29" i="1"/>
  <c r="U29" i="1"/>
  <c r="T29" i="1"/>
  <c r="S29" i="1"/>
  <c r="R29" i="1"/>
  <c r="P29" i="1"/>
  <c r="O29" i="1"/>
  <c r="N29" i="1"/>
  <c r="M29" i="1"/>
  <c r="L29" i="1"/>
  <c r="K29" i="1"/>
  <c r="B29" i="1"/>
  <c r="AT28" i="1"/>
  <c r="AS28" i="1"/>
  <c r="AR28" i="1"/>
  <c r="AP28" i="1"/>
  <c r="AO28" i="1"/>
  <c r="AN28" i="1"/>
  <c r="AL28" i="1"/>
  <c r="AK28" i="1"/>
  <c r="AJ28" i="1"/>
  <c r="AI28" i="1"/>
  <c r="AI32" i="1" s="1"/>
  <c r="Z28" i="1"/>
  <c r="R28" i="1"/>
  <c r="P28" i="1"/>
  <c r="O28" i="1"/>
  <c r="N28" i="1"/>
  <c r="M28" i="1"/>
  <c r="L28" i="1"/>
  <c r="K28" i="1"/>
  <c r="B28" i="1"/>
  <c r="BG27" i="1"/>
  <c r="BF27" i="1"/>
  <c r="BC27" i="1"/>
  <c r="BB27" i="1"/>
  <c r="BA27" i="1"/>
  <c r="AY27" i="1"/>
  <c r="AX27" i="1"/>
  <c r="AW27" i="1"/>
  <c r="AW28" i="1" s="1"/>
  <c r="AU27" i="1"/>
  <c r="AT27" i="1"/>
  <c r="AS27" i="1"/>
  <c r="AR27" i="1"/>
  <c r="AP27" i="1"/>
  <c r="AO27" i="1"/>
  <c r="AN27" i="1"/>
  <c r="AL27" i="1"/>
  <c r="AK27" i="1"/>
  <c r="AJ27" i="1"/>
  <c r="AI27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BH26" i="1"/>
  <c r="BG26" i="1"/>
  <c r="BF26" i="1"/>
  <c r="BD26" i="1"/>
  <c r="BC26" i="1"/>
  <c r="BB26" i="1"/>
  <c r="AT26" i="1"/>
  <c r="AS26" i="1"/>
  <c r="AR26" i="1"/>
  <c r="AI26" i="1"/>
  <c r="AF26" i="1"/>
  <c r="AE26" i="1"/>
  <c r="AB26" i="1"/>
  <c r="AA26" i="1"/>
  <c r="Z26" i="1"/>
  <c r="X26" i="1"/>
  <c r="W26" i="1"/>
  <c r="V26" i="1"/>
  <c r="U26" i="1"/>
  <c r="T26" i="1"/>
  <c r="S26" i="1"/>
  <c r="R26" i="1"/>
  <c r="P26" i="1"/>
  <c r="O26" i="1"/>
  <c r="N26" i="1"/>
  <c r="M26" i="1"/>
  <c r="L26" i="1"/>
  <c r="K26" i="1"/>
  <c r="B26" i="1"/>
  <c r="BG25" i="1"/>
  <c r="BF25" i="1"/>
  <c r="BC25" i="1"/>
  <c r="BB25" i="1"/>
  <c r="BA25" i="1"/>
  <c r="AY25" i="1"/>
  <c r="AX25" i="1"/>
  <c r="AW25" i="1"/>
  <c r="AW26" i="1" s="1"/>
  <c r="AU25" i="1"/>
  <c r="AT25" i="1"/>
  <c r="AS25" i="1"/>
  <c r="AR25" i="1"/>
  <c r="AG25" i="1"/>
  <c r="AF25" i="1"/>
  <c r="AE25" i="1"/>
  <c r="AC25" i="1"/>
  <c r="AB25" i="1"/>
  <c r="AA25" i="1"/>
  <c r="Z25" i="1"/>
  <c r="X25" i="1"/>
  <c r="W25" i="1"/>
  <c r="V25" i="1"/>
  <c r="U25" i="1"/>
  <c r="T25" i="1"/>
  <c r="S25" i="1"/>
  <c r="R25" i="1"/>
  <c r="P25" i="1"/>
  <c r="O25" i="1"/>
  <c r="N25" i="1"/>
  <c r="M25" i="1"/>
  <c r="L25" i="1"/>
  <c r="K25" i="1"/>
  <c r="J25" i="1"/>
  <c r="B25" i="1"/>
  <c r="BH24" i="1"/>
  <c r="BG24" i="1"/>
  <c r="BF24" i="1"/>
  <c r="BD24" i="1"/>
  <c r="BC24" i="1"/>
  <c r="BB24" i="1"/>
  <c r="AY24" i="1"/>
  <c r="AX24" i="1"/>
  <c r="AW24" i="1"/>
  <c r="AU24" i="1"/>
  <c r="AT24" i="1"/>
  <c r="AS24" i="1"/>
  <c r="AR24" i="1"/>
  <c r="AO24" i="1"/>
  <c r="AN24" i="1"/>
  <c r="AK24" i="1"/>
  <c r="AJ24" i="1"/>
  <c r="AI24" i="1"/>
  <c r="AF24" i="1"/>
  <c r="AE24" i="1"/>
  <c r="AB24" i="1"/>
  <c r="AA24" i="1"/>
  <c r="Z24" i="1"/>
  <c r="X24" i="1"/>
  <c r="W24" i="1"/>
  <c r="V24" i="1"/>
  <c r="U24" i="1"/>
  <c r="T24" i="1"/>
  <c r="S24" i="1"/>
  <c r="R24" i="1"/>
  <c r="O24" i="1"/>
  <c r="N24" i="1"/>
  <c r="L24" i="1"/>
  <c r="K24" i="1"/>
  <c r="J24" i="1"/>
  <c r="B24" i="1"/>
  <c r="BH23" i="1"/>
  <c r="BG23" i="1"/>
  <c r="BF23" i="1"/>
  <c r="BD23" i="1"/>
  <c r="BC23" i="1"/>
  <c r="BB23" i="1"/>
  <c r="BA23" i="1"/>
  <c r="AR23" i="1"/>
  <c r="AP23" i="1"/>
  <c r="AO23" i="1"/>
  <c r="AN23" i="1"/>
  <c r="AL23" i="1"/>
  <c r="AK23" i="1"/>
  <c r="AJ23" i="1"/>
  <c r="AI23" i="1"/>
  <c r="AG23" i="1"/>
  <c r="AF23" i="1"/>
  <c r="AE23" i="1"/>
  <c r="AC23" i="1"/>
  <c r="AB23" i="1"/>
  <c r="AA23" i="1"/>
  <c r="X23" i="1"/>
  <c r="U23" i="1"/>
  <c r="R23" i="1"/>
  <c r="P23" i="1"/>
  <c r="O23" i="1"/>
  <c r="N23" i="1"/>
  <c r="M23" i="1"/>
  <c r="L23" i="1"/>
  <c r="K23" i="1"/>
  <c r="B23" i="1"/>
  <c r="BH22" i="1"/>
  <c r="BG22" i="1"/>
  <c r="BF22" i="1"/>
  <c r="BD22" i="1"/>
  <c r="BC22" i="1"/>
  <c r="BB22" i="1"/>
  <c r="BA22" i="1"/>
  <c r="AO22" i="1"/>
  <c r="AN22" i="1"/>
  <c r="AK22" i="1"/>
  <c r="AJ22" i="1"/>
  <c r="AI22" i="1"/>
  <c r="AG22" i="1"/>
  <c r="AF22" i="1"/>
  <c r="AE22" i="1"/>
  <c r="AC22" i="1"/>
  <c r="AB22" i="1"/>
  <c r="AA22" i="1"/>
  <c r="X22" i="1"/>
  <c r="W22" i="1"/>
  <c r="V22" i="1"/>
  <c r="U22" i="1"/>
  <c r="T22" i="1"/>
  <c r="S22" i="1"/>
  <c r="R22" i="1"/>
  <c r="P22" i="1"/>
  <c r="O22" i="1"/>
  <c r="N22" i="1"/>
  <c r="M22" i="1"/>
  <c r="L22" i="1"/>
  <c r="K22" i="1"/>
  <c r="B22" i="1"/>
  <c r="BH21" i="1"/>
  <c r="BG21" i="1"/>
  <c r="BF21" i="1"/>
  <c r="BD21" i="1"/>
  <c r="BC21" i="1"/>
  <c r="BB21" i="1"/>
  <c r="BA21" i="1"/>
  <c r="AX21" i="1"/>
  <c r="AW21" i="1"/>
  <c r="AT21" i="1"/>
  <c r="AS21" i="1"/>
  <c r="AR21" i="1"/>
  <c r="AO21" i="1"/>
  <c r="AN21" i="1"/>
  <c r="AK21" i="1"/>
  <c r="AJ21" i="1"/>
  <c r="AG21" i="1"/>
  <c r="AF21" i="1"/>
  <c r="AE21" i="1"/>
  <c r="AC21" i="1"/>
  <c r="AB21" i="1"/>
  <c r="AA21" i="1"/>
  <c r="X21" i="1"/>
  <c r="W21" i="1"/>
  <c r="V21" i="1"/>
  <c r="U21" i="1"/>
  <c r="T21" i="1"/>
  <c r="S21" i="1"/>
  <c r="R21" i="1"/>
  <c r="P21" i="1"/>
  <c r="O21" i="1"/>
  <c r="N21" i="1"/>
  <c r="M21" i="1"/>
  <c r="L21" i="1"/>
  <c r="K21" i="1"/>
  <c r="B21" i="1"/>
  <c r="BH20" i="1"/>
  <c r="BG20" i="1"/>
  <c r="BF20" i="1"/>
  <c r="BD20" i="1"/>
  <c r="BC20" i="1"/>
  <c r="BB20" i="1"/>
  <c r="BA20" i="1"/>
  <c r="AY20" i="1"/>
  <c r="AX20" i="1"/>
  <c r="AW20" i="1"/>
  <c r="AU20" i="1"/>
  <c r="AT20" i="1"/>
  <c r="AS20" i="1"/>
  <c r="AR20" i="1"/>
  <c r="AP20" i="1"/>
  <c r="AO20" i="1"/>
  <c r="AN20" i="1"/>
  <c r="AL20" i="1"/>
  <c r="AK20" i="1"/>
  <c r="AJ20" i="1"/>
  <c r="AG20" i="1"/>
  <c r="AF20" i="1"/>
  <c r="AE20" i="1"/>
  <c r="AC20" i="1"/>
  <c r="AB20" i="1"/>
  <c r="AA20" i="1"/>
  <c r="X20" i="1"/>
  <c r="W20" i="1"/>
  <c r="V20" i="1"/>
  <c r="U20" i="1"/>
  <c r="T20" i="1"/>
  <c r="S20" i="1"/>
  <c r="R20" i="1"/>
  <c r="P20" i="1"/>
  <c r="O20" i="1"/>
  <c r="N20" i="1"/>
  <c r="M20" i="1"/>
  <c r="L20" i="1"/>
  <c r="K20" i="1"/>
  <c r="BA19" i="1"/>
  <c r="AX19" i="1"/>
  <c r="AW19" i="1"/>
  <c r="AT19" i="1"/>
  <c r="AS19" i="1"/>
  <c r="AR19" i="1"/>
  <c r="AP19" i="1"/>
  <c r="AO19" i="1"/>
  <c r="AN19" i="1"/>
  <c r="AL19" i="1"/>
  <c r="AK19" i="1"/>
  <c r="AJ19" i="1"/>
  <c r="AG19" i="1"/>
  <c r="AF19" i="1"/>
  <c r="AE19" i="1"/>
  <c r="AC19" i="1"/>
  <c r="AB19" i="1"/>
  <c r="AA19" i="1"/>
  <c r="Z19" i="1"/>
  <c r="X19" i="1"/>
  <c r="W19" i="1"/>
  <c r="V19" i="1"/>
  <c r="U19" i="1"/>
  <c r="T19" i="1"/>
  <c r="S19" i="1"/>
  <c r="R19" i="1"/>
  <c r="P19" i="1"/>
  <c r="O19" i="1"/>
  <c r="N19" i="1"/>
  <c r="M19" i="1"/>
  <c r="L19" i="1"/>
  <c r="K19" i="1"/>
  <c r="J19" i="1"/>
  <c r="AY18" i="1"/>
  <c r="AX18" i="1"/>
  <c r="AW18" i="1"/>
  <c r="AU18" i="1"/>
  <c r="AT18" i="1"/>
  <c r="AS18" i="1"/>
  <c r="AR18" i="1"/>
  <c r="AP18" i="1"/>
  <c r="AO18" i="1"/>
  <c r="AN18" i="1"/>
  <c r="AL18" i="1"/>
  <c r="AK18" i="1"/>
  <c r="AJ18" i="1"/>
  <c r="AI18" i="1"/>
  <c r="AG18" i="1"/>
  <c r="AF18" i="1"/>
  <c r="AE18" i="1"/>
  <c r="AC18" i="1"/>
  <c r="AB18" i="1"/>
  <c r="AA18" i="1"/>
  <c r="Z18" i="1"/>
  <c r="Z23" i="1" s="1"/>
  <c r="X18" i="1"/>
  <c r="W18" i="1"/>
  <c r="V18" i="1"/>
  <c r="U18" i="1"/>
  <c r="T18" i="1"/>
  <c r="S18" i="1"/>
  <c r="R18" i="1"/>
  <c r="P18" i="1"/>
  <c r="O18" i="1"/>
  <c r="N18" i="1"/>
  <c r="M18" i="1"/>
  <c r="L18" i="1"/>
  <c r="K18" i="1"/>
  <c r="J18" i="1"/>
  <c r="J29" i="1" s="1"/>
  <c r="B18" i="1"/>
  <c r="BG17" i="1"/>
  <c r="BF17" i="1"/>
  <c r="BC17" i="1"/>
  <c r="BB17" i="1"/>
  <c r="BA17" i="1"/>
  <c r="AY17" i="1"/>
  <c r="AX17" i="1"/>
  <c r="AW17" i="1"/>
  <c r="AU17" i="1"/>
  <c r="AT17" i="1"/>
  <c r="AS17" i="1"/>
  <c r="AR17" i="1"/>
  <c r="AO17" i="1"/>
  <c r="AN17" i="1"/>
  <c r="AK17" i="1"/>
  <c r="AJ17" i="1"/>
  <c r="AI17" i="1"/>
  <c r="AI21" i="1" s="1"/>
  <c r="AG17" i="1"/>
  <c r="AF17" i="1"/>
  <c r="AE17" i="1"/>
  <c r="AC17" i="1"/>
  <c r="AB17" i="1"/>
  <c r="AA17" i="1"/>
  <c r="Z17" i="1"/>
  <c r="Z22" i="1" s="1"/>
  <c r="X17" i="1"/>
  <c r="W17" i="1"/>
  <c r="V17" i="1"/>
  <c r="U17" i="1"/>
  <c r="T17" i="1"/>
  <c r="S17" i="1"/>
  <c r="R17" i="1"/>
  <c r="P17" i="1"/>
  <c r="O17" i="1"/>
  <c r="N17" i="1"/>
  <c r="M17" i="1"/>
  <c r="L17" i="1"/>
  <c r="K17" i="1"/>
  <c r="J17" i="1"/>
  <c r="J28" i="1" s="1"/>
  <c r="B17" i="1"/>
  <c r="BH16" i="1"/>
  <c r="BG16" i="1"/>
  <c r="BF16" i="1"/>
  <c r="BD16" i="1"/>
  <c r="BC16" i="1"/>
  <c r="BB16" i="1"/>
  <c r="BA16" i="1"/>
  <c r="AY16" i="1"/>
  <c r="AX16" i="1"/>
  <c r="AW16" i="1"/>
  <c r="AU16" i="1"/>
  <c r="AT16" i="1"/>
  <c r="AS16" i="1"/>
  <c r="AR16" i="1"/>
  <c r="AP16" i="1"/>
  <c r="AO16" i="1"/>
  <c r="AN16" i="1"/>
  <c r="AL16" i="1"/>
  <c r="AK16" i="1"/>
  <c r="AJ16" i="1"/>
  <c r="AI16" i="1"/>
  <c r="AI20" i="1" s="1"/>
  <c r="AG16" i="1"/>
  <c r="AF16" i="1"/>
  <c r="AE16" i="1"/>
  <c r="AC16" i="1"/>
  <c r="AB16" i="1"/>
  <c r="AA16" i="1"/>
  <c r="Z16" i="1"/>
  <c r="Z21" i="1" s="1"/>
  <c r="X16" i="1"/>
  <c r="W16" i="1"/>
  <c r="V16" i="1"/>
  <c r="U16" i="1"/>
  <c r="T16" i="1"/>
  <c r="S16" i="1"/>
  <c r="R16" i="1"/>
  <c r="P16" i="1"/>
  <c r="O16" i="1"/>
  <c r="N16" i="1"/>
  <c r="M16" i="1"/>
  <c r="L16" i="1"/>
  <c r="K16" i="1"/>
  <c r="J16" i="1"/>
  <c r="J27" i="1" s="1"/>
  <c r="B16" i="1"/>
  <c r="BG15" i="1"/>
  <c r="BF15" i="1"/>
  <c r="BC15" i="1"/>
  <c r="BB15" i="1"/>
  <c r="BA15" i="1"/>
  <c r="AY15" i="1"/>
  <c r="AX15" i="1"/>
  <c r="AW15" i="1"/>
  <c r="AU15" i="1"/>
  <c r="AT15" i="1"/>
  <c r="AS15" i="1"/>
  <c r="AR15" i="1"/>
  <c r="AP15" i="1"/>
  <c r="AO15" i="1"/>
  <c r="AN15" i="1"/>
  <c r="AL15" i="1"/>
  <c r="AK15" i="1"/>
  <c r="AJ15" i="1"/>
  <c r="AI15" i="1"/>
  <c r="AI19" i="1" s="1"/>
  <c r="AG15" i="1"/>
  <c r="AF15" i="1"/>
  <c r="AE15" i="1"/>
  <c r="AC15" i="1"/>
  <c r="AB15" i="1"/>
  <c r="AA15" i="1"/>
  <c r="Z15" i="1"/>
  <c r="Z20" i="1" s="1"/>
  <c r="X15" i="1"/>
  <c r="W15" i="1"/>
  <c r="V15" i="1"/>
  <c r="U15" i="1"/>
  <c r="T15" i="1"/>
  <c r="S15" i="1"/>
  <c r="R15" i="1"/>
  <c r="P15" i="1"/>
  <c r="O15" i="1"/>
  <c r="N15" i="1"/>
  <c r="M15" i="1"/>
  <c r="L15" i="1"/>
  <c r="K15" i="1"/>
  <c r="J15" i="1"/>
  <c r="J20" i="1" s="1"/>
  <c r="B15" i="1"/>
  <c r="BH14" i="1"/>
  <c r="BG14" i="1"/>
  <c r="BF14" i="1"/>
  <c r="BD14" i="1"/>
  <c r="BC14" i="1"/>
  <c r="BB14" i="1"/>
  <c r="BA14" i="1"/>
  <c r="AY14" i="1"/>
  <c r="AX14" i="1"/>
  <c r="AW14" i="1"/>
  <c r="AU14" i="1"/>
  <c r="AT14" i="1"/>
  <c r="AS14" i="1"/>
  <c r="AR14" i="1"/>
  <c r="AP14" i="1"/>
  <c r="AO14" i="1"/>
  <c r="AN14" i="1"/>
  <c r="AL14" i="1"/>
  <c r="AK14" i="1"/>
  <c r="AJ14" i="1"/>
  <c r="AI14" i="1"/>
  <c r="AG14" i="1"/>
  <c r="AF14" i="1"/>
  <c r="AE14" i="1"/>
  <c r="AC14" i="1"/>
  <c r="AB14" i="1"/>
  <c r="AA14" i="1"/>
  <c r="Z14" i="1"/>
  <c r="X14" i="1"/>
  <c r="W14" i="1"/>
  <c r="V14" i="1"/>
  <c r="U14" i="1"/>
  <c r="T14" i="1"/>
  <c r="S14" i="1"/>
  <c r="R14" i="1"/>
  <c r="P14" i="1"/>
  <c r="O14" i="1"/>
  <c r="N14" i="1"/>
  <c r="M14" i="1"/>
  <c r="L14" i="1"/>
  <c r="K14" i="1"/>
  <c r="J14" i="1"/>
  <c r="B14" i="1"/>
  <c r="BA13" i="1"/>
  <c r="AR13" i="1"/>
  <c r="AI13" i="1"/>
  <c r="Z13" i="1"/>
  <c r="J13" i="1"/>
  <c r="B13" i="1"/>
  <c r="T12" i="1"/>
  <c r="W12" i="1" s="1"/>
  <c r="S12" i="1"/>
  <c r="V12" i="1" s="1"/>
  <c r="R12" i="1"/>
  <c r="L12" i="1"/>
  <c r="O12" i="1" s="1"/>
  <c r="K12" i="1"/>
  <c r="N12" i="1" s="1"/>
  <c r="G12" i="1"/>
  <c r="D12" i="1"/>
  <c r="BG28" i="1" s="1"/>
  <c r="C12" i="1"/>
  <c r="BA11" i="1"/>
  <c r="AR11" i="1"/>
  <c r="AI11" i="1"/>
  <c r="Z11" i="1"/>
  <c r="B11" i="1"/>
  <c r="AR10" i="1"/>
  <c r="AI10" i="1"/>
  <c r="Z10" i="1"/>
  <c r="R10" i="1"/>
  <c r="J10" i="1"/>
  <c r="G10" i="1"/>
  <c r="B10" i="1"/>
  <c r="AX26" i="1" l="1"/>
  <c r="AX28" i="1"/>
  <c r="AB68" i="1"/>
  <c r="AB90" i="1" s="1"/>
  <c r="AA68" i="1"/>
  <c r="AA90" i="1" s="1"/>
  <c r="AK10" i="1"/>
  <c r="AT10" i="1" s="1"/>
  <c r="BC10" i="1" s="1"/>
  <c r="AO10" i="1"/>
  <c r="AX10" i="1" s="1"/>
  <c r="BG10" i="1" s="1"/>
  <c r="AE68" i="1"/>
  <c r="AA100" i="1"/>
  <c r="AA78" i="1"/>
  <c r="AE100" i="1"/>
  <c r="AE78" i="1"/>
  <c r="AE53" i="1"/>
  <c r="AE43" i="1"/>
  <c r="AW40" i="1"/>
  <c r="AW30" i="1"/>
  <c r="AA53" i="1"/>
  <c r="AJ52" i="1"/>
  <c r="AN52" i="1" s="1"/>
  <c r="AA43" i="1"/>
  <c r="AS40" i="1"/>
  <c r="AJ39" i="1"/>
  <c r="AN39" i="1" s="1"/>
  <c r="AS30" i="1"/>
  <c r="AC100" i="1"/>
  <c r="AG89" i="1"/>
  <c r="AC78" i="1"/>
  <c r="AG100" i="1"/>
  <c r="AC89" i="1"/>
  <c r="AC67" i="1"/>
  <c r="AG53" i="1"/>
  <c r="AG43" i="1"/>
  <c r="AY40" i="1"/>
  <c r="AY30" i="1"/>
  <c r="AG78" i="1"/>
  <c r="AG67" i="1"/>
  <c r="AC53" i="1"/>
  <c r="AL52" i="1"/>
  <c r="AP52" i="1" s="1"/>
  <c r="AC43" i="1"/>
  <c r="AU40" i="1"/>
  <c r="AL39" i="1"/>
  <c r="AP39" i="1" s="1"/>
  <c r="AU30" i="1"/>
  <c r="M12" i="1"/>
  <c r="P12" i="1" s="1"/>
  <c r="AB12" i="1"/>
  <c r="AF12" i="1" s="1"/>
  <c r="AF28" i="1" s="1"/>
  <c r="AK12" i="1"/>
  <c r="AO12" i="1" s="1"/>
  <c r="AT12" i="1"/>
  <c r="AW12" i="1"/>
  <c r="AY12" i="1"/>
  <c r="BC12" i="1"/>
  <c r="BF12" i="1"/>
  <c r="BH12" i="1"/>
  <c r="BC19" i="1"/>
  <c r="BF19" i="1"/>
  <c r="BH19" i="1"/>
  <c r="J21" i="1"/>
  <c r="AS23" i="1"/>
  <c r="AU23" i="1"/>
  <c r="AX23" i="1"/>
  <c r="J26" i="1"/>
  <c r="AJ26" i="1"/>
  <c r="AN26" i="1" s="1"/>
  <c r="AL26" i="1"/>
  <c r="AP26" i="1" s="1"/>
  <c r="AA28" i="1"/>
  <c r="AC28" i="1"/>
  <c r="AG28" i="1" s="1"/>
  <c r="BB28" i="1"/>
  <c r="BD28" i="1"/>
  <c r="AF100" i="1"/>
  <c r="AF78" i="1"/>
  <c r="AB100" i="1"/>
  <c r="AB53" i="1"/>
  <c r="AK52" i="1"/>
  <c r="AO52" i="1" s="1"/>
  <c r="AB43" i="1"/>
  <c r="AT40" i="1"/>
  <c r="AK39" i="1"/>
  <c r="AO39" i="1" s="1"/>
  <c r="AT30" i="1"/>
  <c r="AB78" i="1"/>
  <c r="AF53" i="1"/>
  <c r="AF43" i="1"/>
  <c r="AX40" i="1"/>
  <c r="AX30" i="1"/>
  <c r="F12" i="1"/>
  <c r="H12" i="1"/>
  <c r="U12" i="1"/>
  <c r="X12" i="1" s="1"/>
  <c r="AA12" i="1"/>
  <c r="AE12" i="1" s="1"/>
  <c r="AE28" i="1" s="1"/>
  <c r="AC12" i="1"/>
  <c r="AG12" i="1" s="1"/>
  <c r="AJ12" i="1"/>
  <c r="AN12" i="1" s="1"/>
  <c r="AL12" i="1"/>
  <c r="AP12" i="1" s="1"/>
  <c r="AS12" i="1"/>
  <c r="AU12" i="1"/>
  <c r="AX12" i="1"/>
  <c r="BB12" i="1"/>
  <c r="BD12" i="1"/>
  <c r="BG12" i="1"/>
  <c r="BB19" i="1"/>
  <c r="BD19" i="1"/>
  <c r="BG19" i="1"/>
  <c r="J22" i="1"/>
  <c r="J23" i="1"/>
  <c r="AT23" i="1"/>
  <c r="AW23" i="1"/>
  <c r="AY23" i="1"/>
  <c r="AK26" i="1"/>
  <c r="AO26" i="1" s="1"/>
  <c r="AB28" i="1"/>
  <c r="BC28" i="1"/>
  <c r="BF28" i="1"/>
  <c r="BH28" i="1"/>
  <c r="J44" i="1"/>
  <c r="J46" i="1"/>
  <c r="J51" i="1"/>
  <c r="J53" i="1"/>
  <c r="R46" i="1"/>
  <c r="AF68" i="1" l="1"/>
  <c r="AF90" i="1" s="1"/>
  <c r="AE90" i="1"/>
</calcChain>
</file>

<file path=xl/sharedStrings.xml><?xml version="1.0" encoding="utf-8"?>
<sst xmlns="http://schemas.openxmlformats.org/spreadsheetml/2006/main" count="19" uniqueCount="10">
  <si>
    <t>EBITDA</t>
  </si>
  <si>
    <t>EBIT</t>
  </si>
  <si>
    <t>MEDIA CAPITAL</t>
  </si>
  <si>
    <t>ESP</t>
  </si>
  <si>
    <t xml:space="preserve"> - </t>
  </si>
  <si>
    <t>Total Santillana</t>
  </si>
  <si>
    <t xml:space="preserve">Total Santillana </t>
  </si>
  <si>
    <t>IDIOMA/LANGUAGE</t>
  </si>
  <si>
    <t>ESP:ESPAÑOL</t>
  </si>
  <si>
    <t>ENG:ENGLISH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</si>
</sst>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€_-;\-* #,##0.00\ _€_-;_-* &quot;-&quot;??\ _€_-;_-@_-"/>
    <numFmt numFmtId="164" formatCode="#,##0;\-#,##0;&quot;-&quot;"/>
    <numFmt numFmtId="165" formatCode="#,##0.0;\(#,##0.0\)"/>
    <numFmt numFmtId="166" formatCode="0.0%"/>
    <numFmt numFmtId="167" formatCode="#,##0.00;\(#,##0.00\)"/>
    <numFmt numFmtId="168" formatCode="#,##0.0;\(#,###.0\)"/>
    <numFmt numFmtId="169" formatCode="#,##0.0"/>
    <numFmt numFmtId="170" formatCode="0.00;\(0.00\)"/>
    <numFmt numFmtId="171" formatCode="#,##0.00;[Red]\(#,##0.00\)"/>
    <numFmt numFmtId="172" formatCode="0;[Red]0"/>
    <numFmt numFmtId="173" formatCode="0.0%;\(0.0%\)"/>
    <numFmt numFmtId="174" formatCode="#,##0.00;\(#,##0.0\)"/>
    <numFmt numFmtId="175" formatCode="#,##0.0;\(#,##0\)"/>
    <numFmt numFmtId="176" formatCode="0.0"/>
    <numFmt numFmtId="177" formatCode="#,##0.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 tint="0.249977111117893"/>
      <name val="Arial"/>
      <family val="2"/>
    </font>
    <font>
      <sz val="8"/>
      <color indexed="8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i/>
      <sz val="10"/>
      <color rgb="FF595959"/>
      <name val="Arial"/>
      <family val="2"/>
    </font>
    <font>
      <sz val="10"/>
      <color theme="1" tint="0.249977111117893"/>
      <name val="Arial"/>
      <family val="2"/>
    </font>
    <font>
      <b/>
      <sz val="10"/>
      <name val="Arial"/>
      <family val="2"/>
    </font>
    <font>
      <i/>
      <sz val="10"/>
      <color theme="1" tint="0.249977111117893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 tint="0.249977111117893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 Narrow"/>
      <family val="2"/>
    </font>
    <font>
      <b/>
      <sz val="10"/>
      <color theme="1" tint="0.34998626667073579"/>
      <name val="Arial"/>
      <family val="2"/>
    </font>
    <font>
      <b/>
      <sz val="10"/>
      <color theme="0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D9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D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21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 applyBorder="1"/>
    <xf numFmtId="0" fontId="5" fillId="0" borderId="0" xfId="0" applyFont="1" applyFill="1" applyBorder="1"/>
    <xf numFmtId="1" fontId="4" fillId="4" borderId="2" xfId="0" quotePrefix="1" applyNumberFormat="1" applyFont="1" applyFill="1" applyBorder="1" applyAlignment="1">
      <alignment horizontal="center" vertical="center"/>
    </xf>
    <xf numFmtId="1" fontId="4" fillId="4" borderId="3" xfId="0" quotePrefix="1" applyNumberFormat="1" applyFont="1" applyFill="1" applyBorder="1" applyAlignment="1">
      <alignment horizontal="center" vertical="center"/>
    </xf>
    <xf numFmtId="1" fontId="4" fillId="4" borderId="4" xfId="0" quotePrefix="1" applyNumberFormat="1" applyFont="1" applyFill="1" applyBorder="1" applyAlignment="1">
      <alignment horizontal="center" vertical="center"/>
    </xf>
    <xf numFmtId="164" fontId="7" fillId="5" borderId="2" xfId="2" applyNumberFormat="1" applyFont="1" applyFill="1" applyBorder="1" applyAlignment="1" applyProtection="1">
      <alignment vertical="center"/>
    </xf>
    <xf numFmtId="165" fontId="7" fillId="5" borderId="3" xfId="1" applyNumberFormat="1" applyFont="1" applyFill="1" applyBorder="1" applyAlignment="1" applyProtection="1">
      <alignment horizontal="center" vertical="center"/>
    </xf>
    <xf numFmtId="164" fontId="8" fillId="5" borderId="2" xfId="2" applyNumberFormat="1" applyFont="1" applyFill="1" applyBorder="1" applyAlignment="1" applyProtection="1">
      <alignment horizontal="left" vertical="center" indent="1"/>
    </xf>
    <xf numFmtId="166" fontId="9" fillId="5" borderId="4" xfId="1" applyNumberFormat="1" applyFont="1" applyFill="1" applyBorder="1" applyAlignment="1" applyProtection="1">
      <alignment horizontal="center" vertical="center"/>
    </xf>
    <xf numFmtId="166" fontId="9" fillId="5" borderId="2" xfId="1" applyNumberFormat="1" applyFont="1" applyFill="1" applyBorder="1" applyAlignment="1" applyProtection="1">
      <alignment horizontal="center" vertical="center"/>
    </xf>
    <xf numFmtId="166" fontId="9" fillId="5" borderId="3" xfId="1" applyNumberFormat="1" applyFont="1" applyFill="1" applyBorder="1" applyAlignment="1" applyProtection="1">
      <alignment horizontal="center" vertical="center"/>
    </xf>
    <xf numFmtId="165" fontId="8" fillId="5" borderId="3" xfId="1" applyNumberFormat="1" applyFont="1" applyFill="1" applyBorder="1" applyAlignment="1" applyProtection="1">
      <alignment horizontal="center" vertical="center"/>
    </xf>
    <xf numFmtId="164" fontId="7" fillId="5" borderId="2" xfId="2" applyNumberFormat="1" applyFont="1" applyFill="1" applyBorder="1" applyAlignment="1" applyProtection="1">
      <alignment vertical="center" wrapText="1"/>
    </xf>
    <xf numFmtId="0" fontId="2" fillId="0" borderId="0" xfId="0" applyFont="1"/>
    <xf numFmtId="164" fontId="7" fillId="6" borderId="2" xfId="2" applyNumberFormat="1" applyFont="1" applyFill="1" applyBorder="1" applyAlignment="1" applyProtection="1">
      <alignment vertical="center"/>
    </xf>
    <xf numFmtId="165" fontId="7" fillId="6" borderId="2" xfId="1" applyNumberFormat="1" applyFont="1" applyFill="1" applyBorder="1" applyAlignment="1" applyProtection="1">
      <alignment horizontal="center" vertical="center"/>
    </xf>
    <xf numFmtId="164" fontId="8" fillId="6" borderId="2" xfId="2" applyNumberFormat="1" applyFont="1" applyFill="1" applyBorder="1" applyAlignment="1" applyProtection="1">
      <alignment horizontal="left" vertical="center" indent="1"/>
    </xf>
    <xf numFmtId="166" fontId="9" fillId="6" borderId="4" xfId="1" applyNumberFormat="1" applyFont="1" applyFill="1" applyBorder="1" applyAlignment="1" applyProtection="1">
      <alignment horizontal="center" vertical="center"/>
    </xf>
    <xf numFmtId="166" fontId="9" fillId="6" borderId="2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/>
    <xf numFmtId="0" fontId="5" fillId="7" borderId="0" xfId="0" applyFont="1" applyFill="1" applyBorder="1"/>
    <xf numFmtId="14" fontId="10" fillId="9" borderId="0" xfId="0" quotePrefix="1" applyNumberFormat="1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indent="1"/>
    </xf>
    <xf numFmtId="14" fontId="3" fillId="3" borderId="0" xfId="0" quotePrefix="1" applyNumberFormat="1" applyFont="1" applyFill="1" applyBorder="1" applyAlignment="1">
      <alignment horizontal="left" vertical="center" indent="1"/>
    </xf>
    <xf numFmtId="165" fontId="7" fillId="8" borderId="8" xfId="0" applyNumberFormat="1" applyFont="1" applyFill="1" applyBorder="1" applyAlignment="1">
      <alignment horizontal="center"/>
    </xf>
    <xf numFmtId="0" fontId="10" fillId="9" borderId="0" xfId="4" applyFont="1" applyFill="1" applyBorder="1" applyAlignment="1">
      <alignment horizontal="left" indent="1"/>
    </xf>
    <xf numFmtId="168" fontId="8" fillId="5" borderId="2" xfId="2" applyNumberFormat="1" applyFont="1" applyFill="1" applyBorder="1" applyAlignment="1" applyProtection="1">
      <alignment horizontal="center" vertical="center"/>
    </xf>
    <xf numFmtId="168" fontId="7" fillId="8" borderId="8" xfId="2" applyNumberFormat="1" applyFont="1" applyFill="1" applyBorder="1" applyAlignment="1" applyProtection="1">
      <alignment horizontal="center"/>
    </xf>
    <xf numFmtId="0" fontId="12" fillId="9" borderId="0" xfId="0" applyFont="1" applyFill="1" applyBorder="1" applyAlignment="1">
      <alignment horizontal="left" indent="1"/>
    </xf>
    <xf numFmtId="168" fontId="7" fillId="6" borderId="2" xfId="2" applyNumberFormat="1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>
      <alignment horizontal="left" indent="1"/>
    </xf>
    <xf numFmtId="0" fontId="5" fillId="9" borderId="0" xfId="0" applyFont="1" applyFill="1" applyBorder="1"/>
    <xf numFmtId="0" fontId="10" fillId="9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center" vertical="center"/>
    </xf>
    <xf numFmtId="17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172" fontId="4" fillId="4" borderId="2" xfId="0" quotePrefix="1" applyNumberFormat="1" applyFont="1" applyFill="1" applyBorder="1" applyAlignment="1">
      <alignment horizontal="center" vertical="center"/>
    </xf>
    <xf numFmtId="171" fontId="4" fillId="4" borderId="2" xfId="0" quotePrefix="1" applyNumberFormat="1" applyFont="1" applyFill="1" applyBorder="1" applyAlignment="1">
      <alignment horizontal="center" vertical="center"/>
    </xf>
    <xf numFmtId="171" fontId="4" fillId="2" borderId="0" xfId="0" quotePrefix="1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/>
    <xf numFmtId="173" fontId="5" fillId="9" borderId="2" xfId="5" quotePrefix="1" applyNumberFormat="1" applyFont="1" applyFill="1" applyBorder="1" applyAlignment="1">
      <alignment horizontal="right" indent="1"/>
    </xf>
    <xf numFmtId="173" fontId="5" fillId="2" borderId="0" xfId="5" quotePrefix="1" applyNumberFormat="1" applyFont="1" applyFill="1" applyBorder="1" applyAlignment="1">
      <alignment horizontal="right" indent="1"/>
    </xf>
    <xf numFmtId="0" fontId="10" fillId="9" borderId="0" xfId="0" applyFont="1" applyFill="1" applyBorder="1"/>
    <xf numFmtId="173" fontId="10" fillId="9" borderId="2" xfId="5" quotePrefix="1" applyNumberFormat="1" applyFont="1" applyFill="1" applyBorder="1" applyAlignment="1">
      <alignment horizontal="right" indent="1"/>
    </xf>
    <xf numFmtId="173" fontId="10" fillId="2" borderId="0" xfId="5" quotePrefix="1" applyNumberFormat="1" applyFont="1" applyFill="1" applyBorder="1" applyAlignment="1">
      <alignment horizontal="right" indent="1"/>
    </xf>
    <xf numFmtId="0" fontId="12" fillId="9" borderId="0" xfId="0" applyFont="1" applyFill="1" applyBorder="1" applyAlignment="1">
      <alignment horizontal="left" indent="2"/>
    </xf>
    <xf numFmtId="173" fontId="5" fillId="2" borderId="0" xfId="5" quotePrefix="1" applyNumberFormat="1" applyFont="1" applyFill="1" applyBorder="1" applyAlignment="1">
      <alignment horizontal="right"/>
    </xf>
    <xf numFmtId="173" fontId="12" fillId="9" borderId="2" xfId="5" applyNumberFormat="1" applyFont="1" applyFill="1" applyBorder="1" applyAlignment="1">
      <alignment horizontal="right" indent="1"/>
    </xf>
    <xf numFmtId="0" fontId="13" fillId="2" borderId="0" xfId="0" applyFont="1" applyFill="1"/>
    <xf numFmtId="0" fontId="13" fillId="0" borderId="0" xfId="0" applyFont="1"/>
    <xf numFmtId="0" fontId="10" fillId="7" borderId="0" xfId="0" applyFont="1" applyFill="1" applyBorder="1" applyAlignment="1">
      <alignment horizontal="left" indent="1"/>
    </xf>
    <xf numFmtId="14" fontId="10" fillId="7" borderId="0" xfId="0" quotePrefix="1" applyNumberFormat="1" applyFont="1" applyFill="1" applyBorder="1" applyAlignment="1">
      <alignment vertical="center"/>
    </xf>
    <xf numFmtId="14" fontId="10" fillId="7" borderId="0" xfId="0" quotePrefix="1" applyNumberFormat="1" applyFont="1" applyFill="1" applyBorder="1" applyAlignment="1">
      <alignment horizontal="left" vertical="center" indent="1"/>
    </xf>
    <xf numFmtId="167" fontId="10" fillId="2" borderId="2" xfId="0" applyNumberFormat="1" applyFont="1" applyFill="1" applyBorder="1" applyAlignment="1">
      <alignment horizontal="right"/>
    </xf>
    <xf numFmtId="0" fontId="5" fillId="6" borderId="0" xfId="0" applyFont="1" applyFill="1" applyBorder="1" applyAlignment="1"/>
    <xf numFmtId="166" fontId="12" fillId="6" borderId="2" xfId="5" quotePrefix="1" applyNumberFormat="1" applyFont="1" applyFill="1" applyBorder="1" applyAlignment="1">
      <alignment horizontal="right"/>
    </xf>
    <xf numFmtId="173" fontId="12" fillId="6" borderId="2" xfId="5" quotePrefix="1" applyNumberFormat="1" applyFont="1" applyFill="1" applyBorder="1" applyAlignment="1">
      <alignment horizontal="right" indent="1"/>
    </xf>
    <xf numFmtId="173" fontId="12" fillId="2" borderId="0" xfId="5" quotePrefix="1" applyNumberFormat="1" applyFont="1" applyFill="1" applyBorder="1" applyAlignment="1">
      <alignment horizontal="right" indent="1"/>
    </xf>
    <xf numFmtId="173" fontId="14" fillId="6" borderId="2" xfId="5" quotePrefix="1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173" fontId="12" fillId="6" borderId="2" xfId="5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left"/>
    </xf>
    <xf numFmtId="173" fontId="5" fillId="6" borderId="2" xfId="5" quotePrefix="1" applyNumberFormat="1" applyFont="1" applyFill="1" applyBorder="1" applyAlignment="1">
      <alignment horizontal="right" indent="1"/>
    </xf>
    <xf numFmtId="0" fontId="10" fillId="6" borderId="0" xfId="0" applyFont="1" applyFill="1" applyBorder="1" applyAlignment="1">
      <alignment horizontal="left" indent="1"/>
    </xf>
    <xf numFmtId="173" fontId="10" fillId="6" borderId="2" xfId="5" quotePrefix="1" applyNumberFormat="1" applyFont="1" applyFill="1" applyBorder="1" applyAlignment="1">
      <alignment horizontal="right" indent="1"/>
    </xf>
    <xf numFmtId="0" fontId="10" fillId="6" borderId="0" xfId="0" applyFont="1" applyFill="1" applyBorder="1" applyAlignment="1">
      <alignment horizontal="left" indent="2"/>
    </xf>
    <xf numFmtId="173" fontId="5" fillId="6" borderId="0" xfId="5" quotePrefix="1" applyNumberFormat="1" applyFont="1" applyFill="1" applyBorder="1" applyAlignment="1">
      <alignment horizontal="right" indent="1"/>
    </xf>
    <xf numFmtId="173" fontId="10" fillId="6" borderId="0" xfId="5" quotePrefix="1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left"/>
    </xf>
    <xf numFmtId="175" fontId="10" fillId="6" borderId="2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166" fontId="12" fillId="2" borderId="2" xfId="5" quotePrefix="1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168" fontId="7" fillId="6" borderId="4" xfId="2" applyNumberFormat="1" applyFont="1" applyFill="1" applyBorder="1" applyAlignment="1" applyProtection="1">
      <alignment horizontal="center" vertical="center"/>
    </xf>
    <xf numFmtId="168" fontId="7" fillId="5" borderId="2" xfId="2" applyNumberFormat="1" applyFont="1" applyFill="1" applyBorder="1" applyAlignment="1" applyProtection="1">
      <alignment horizontal="center" vertical="center"/>
    </xf>
    <xf numFmtId="169" fontId="7" fillId="8" borderId="8" xfId="2" applyNumberFormat="1" applyFont="1" applyFill="1" applyBorder="1" applyAlignment="1" applyProtection="1">
      <alignment horizontal="center"/>
    </xf>
    <xf numFmtId="175" fontId="5" fillId="6" borderId="2" xfId="0" applyNumberFormat="1" applyFont="1" applyFill="1" applyBorder="1"/>
    <xf numFmtId="175" fontId="5" fillId="2" borderId="2" xfId="0" applyNumberFormat="1" applyFont="1" applyFill="1" applyBorder="1"/>
    <xf numFmtId="175" fontId="5" fillId="6" borderId="3" xfId="0" applyNumberFormat="1" applyFont="1" applyFill="1" applyBorder="1"/>
    <xf numFmtId="175" fontId="5" fillId="6" borderId="0" xfId="0" applyNumberFormat="1" applyFont="1" applyFill="1" applyBorder="1"/>
    <xf numFmtId="175" fontId="5" fillId="2" borderId="0" xfId="0" applyNumberFormat="1" applyFont="1" applyFill="1" applyBorder="1"/>
    <xf numFmtId="175" fontId="5" fillId="2" borderId="7" xfId="0" applyNumberFormat="1" applyFont="1" applyFill="1" applyBorder="1"/>
    <xf numFmtId="168" fontId="8" fillId="5" borderId="3" xfId="1" applyNumberFormat="1" applyFont="1" applyFill="1" applyBorder="1" applyAlignment="1" applyProtection="1">
      <alignment horizontal="center" vertical="center"/>
    </xf>
    <xf numFmtId="169" fontId="8" fillId="5" borderId="2" xfId="2" applyNumberFormat="1" applyFont="1" applyFill="1" applyBorder="1" applyAlignment="1" applyProtection="1">
      <alignment horizontal="center" vertical="center"/>
    </xf>
    <xf numFmtId="175" fontId="10" fillId="6" borderId="3" xfId="0" applyNumberFormat="1" applyFont="1" applyFill="1" applyBorder="1"/>
    <xf numFmtId="175" fontId="10" fillId="6" borderId="0" xfId="0" applyNumberFormat="1" applyFont="1" applyFill="1" applyBorder="1"/>
    <xf numFmtId="0" fontId="0" fillId="2" borderId="0" xfId="0" applyFill="1" applyBorder="1"/>
    <xf numFmtId="175" fontId="5" fillId="6" borderId="0" xfId="6" applyNumberFormat="1" applyFont="1" applyFill="1" applyBorder="1" applyAlignment="1">
      <alignment horizontal="right"/>
    </xf>
    <xf numFmtId="175" fontId="10" fillId="2" borderId="0" xfId="0" applyNumberFormat="1" applyFont="1" applyFill="1" applyBorder="1" applyAlignment="1">
      <alignment horizontal="right"/>
    </xf>
    <xf numFmtId="168" fontId="7" fillId="6" borderId="2" xfId="1" applyNumberFormat="1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>
      <alignment horizontal="left" indent="2"/>
    </xf>
    <xf numFmtId="168" fontId="7" fillId="5" borderId="3" xfId="1" applyNumberFormat="1" applyFont="1" applyFill="1" applyBorder="1" applyAlignment="1" applyProtection="1">
      <alignment horizontal="center" vertical="center"/>
    </xf>
    <xf numFmtId="166" fontId="12" fillId="6" borderId="3" xfId="5" quotePrefix="1" applyNumberFormat="1" applyFont="1" applyFill="1" applyBorder="1" applyAlignment="1">
      <alignment horizontal="right"/>
    </xf>
    <xf numFmtId="166" fontId="12" fillId="6" borderId="0" xfId="5" quotePrefix="1" applyNumberFormat="1" applyFont="1" applyFill="1" applyBorder="1" applyAlignment="1">
      <alignment horizontal="right"/>
    </xf>
    <xf numFmtId="173" fontId="12" fillId="6" borderId="0" xfId="5" quotePrefix="1" applyNumberFormat="1" applyFont="1" applyFill="1" applyBorder="1" applyAlignment="1">
      <alignment horizontal="right" indent="1"/>
    </xf>
    <xf numFmtId="1" fontId="15" fillId="10" borderId="10" xfId="0" quotePrefix="1" applyNumberFormat="1" applyFont="1" applyFill="1" applyBorder="1" applyAlignment="1">
      <alignment horizontal="center" vertical="center"/>
    </xf>
    <xf numFmtId="1" fontId="15" fillId="10" borderId="11" xfId="0" quotePrefix="1" applyNumberFormat="1" applyFont="1" applyFill="1" applyBorder="1" applyAlignment="1">
      <alignment horizontal="center" vertical="center"/>
    </xf>
    <xf numFmtId="165" fontId="5" fillId="6" borderId="0" xfId="0" applyNumberFormat="1" applyFont="1" applyFill="1" applyBorder="1"/>
    <xf numFmtId="173" fontId="5" fillId="6" borderId="0" xfId="5" quotePrefix="1" applyNumberFormat="1" applyFont="1" applyFill="1" applyBorder="1" applyAlignment="1">
      <alignment horizontal="center"/>
    </xf>
    <xf numFmtId="175" fontId="5" fillId="9" borderId="0" xfId="6" quotePrefix="1" applyNumberFormat="1" applyFont="1" applyFill="1" applyBorder="1" applyAlignment="1">
      <alignment horizontal="right"/>
    </xf>
    <xf numFmtId="173" fontId="5" fillId="9" borderId="0" xfId="5" quotePrefix="1" applyNumberFormat="1" applyFont="1" applyFill="1" applyBorder="1" applyAlignment="1">
      <alignment horizontal="right" indent="1"/>
    </xf>
    <xf numFmtId="175" fontId="5" fillId="2" borderId="0" xfId="6" quotePrefix="1" applyNumberFormat="1" applyFont="1" applyFill="1" applyBorder="1" applyAlignment="1">
      <alignment horizontal="right"/>
    </xf>
    <xf numFmtId="0" fontId="16" fillId="11" borderId="0" xfId="0" applyFont="1" applyFill="1" applyBorder="1"/>
    <xf numFmtId="0" fontId="16" fillId="12" borderId="0" xfId="0" applyFont="1" applyFill="1" applyBorder="1"/>
    <xf numFmtId="0" fontId="16" fillId="11" borderId="12" xfId="0" applyFont="1" applyFill="1" applyBorder="1"/>
    <xf numFmtId="175" fontId="10" fillId="9" borderId="0" xfId="0" quotePrefix="1" applyNumberFormat="1" applyFont="1" applyFill="1" applyBorder="1" applyAlignment="1">
      <alignment horizontal="right"/>
    </xf>
    <xf numFmtId="173" fontId="10" fillId="9" borderId="0" xfId="5" quotePrefix="1" applyNumberFormat="1" applyFont="1" applyFill="1" applyBorder="1" applyAlignment="1">
      <alignment horizontal="right" indent="1"/>
    </xf>
    <xf numFmtId="175" fontId="5" fillId="2" borderId="0" xfId="0" applyNumberFormat="1" applyFont="1" applyFill="1" applyBorder="1" applyAlignment="1">
      <alignment horizontal="right"/>
    </xf>
    <xf numFmtId="168" fontId="7" fillId="13" borderId="10" xfId="2" applyNumberFormat="1" applyFont="1" applyFill="1" applyBorder="1" applyAlignment="1" applyProtection="1">
      <alignment horizontal="center" vertical="center"/>
    </xf>
    <xf numFmtId="175" fontId="10" fillId="9" borderId="0" xfId="6" applyNumberFormat="1" applyFont="1" applyFill="1" applyBorder="1" applyAlignment="1">
      <alignment horizontal="right"/>
    </xf>
    <xf numFmtId="168" fontId="7" fillId="13" borderId="11" xfId="2" applyNumberFormat="1" applyFont="1" applyFill="1" applyBorder="1" applyAlignment="1" applyProtection="1">
      <alignment horizontal="center" vertical="center"/>
    </xf>
    <xf numFmtId="168" fontId="7" fillId="13" borderId="10" xfId="1" applyNumberFormat="1" applyFont="1" applyFill="1" applyBorder="1" applyAlignment="1" applyProtection="1">
      <alignment horizontal="center" vertical="center"/>
    </xf>
    <xf numFmtId="168" fontId="8" fillId="9" borderId="2" xfId="2" applyNumberFormat="1" applyFont="1" applyFill="1" applyBorder="1" applyAlignment="1" applyProtection="1">
      <alignment horizontal="center" vertical="center"/>
    </xf>
    <xf numFmtId="168" fontId="8" fillId="9" borderId="3" xfId="1" applyNumberFormat="1" applyFont="1" applyFill="1" applyBorder="1" applyAlignment="1" applyProtection="1">
      <alignment horizontal="center" vertical="center"/>
    </xf>
    <xf numFmtId="166" fontId="9" fillId="14" borderId="11" xfId="1" applyNumberFormat="1" applyFont="1" applyFill="1" applyBorder="1" applyAlignment="1" applyProtection="1">
      <alignment horizontal="center" vertical="center"/>
    </xf>
    <xf numFmtId="175" fontId="5" fillId="9" borderId="0" xfId="0" applyNumberFormat="1" applyFont="1" applyFill="1" applyBorder="1" applyAlignment="1">
      <alignment horizontal="right"/>
    </xf>
    <xf numFmtId="175" fontId="5" fillId="2" borderId="0" xfId="5" quotePrefix="1" applyNumberFormat="1" applyFont="1" applyFill="1" applyBorder="1" applyAlignment="1">
      <alignment horizontal="right"/>
    </xf>
    <xf numFmtId="166" fontId="9" fillId="13" borderId="10" xfId="1" applyNumberFormat="1" applyFont="1" applyFill="1" applyBorder="1" applyAlignment="1" applyProtection="1">
      <alignment horizontal="center" vertical="center"/>
    </xf>
    <xf numFmtId="166" fontId="9" fillId="13" borderId="11" xfId="1" applyNumberFormat="1" applyFont="1" applyFill="1" applyBorder="1" applyAlignment="1" applyProtection="1">
      <alignment horizontal="center" vertical="center"/>
    </xf>
    <xf numFmtId="175" fontId="5" fillId="9" borderId="0" xfId="6" applyNumberFormat="1" applyFont="1" applyFill="1" applyBorder="1" applyAlignment="1">
      <alignment horizontal="right"/>
    </xf>
    <xf numFmtId="168" fontId="7" fillId="9" borderId="2" xfId="2" applyNumberFormat="1" applyFont="1" applyFill="1" applyBorder="1" applyAlignment="1" applyProtection="1">
      <alignment horizontal="center" vertical="center"/>
    </xf>
    <xf numFmtId="175" fontId="12" fillId="9" borderId="0" xfId="5" applyNumberFormat="1" applyFont="1" applyFill="1" applyBorder="1" applyAlignment="1">
      <alignment horizontal="right" indent="1"/>
    </xf>
    <xf numFmtId="169" fontId="9" fillId="5" borderId="3" xfId="1" applyNumberFormat="1" applyFont="1" applyFill="1" applyBorder="1" applyAlignment="1" applyProtection="1">
      <alignment horizontal="center" vertical="center"/>
    </xf>
    <xf numFmtId="168" fontId="7" fillId="5" borderId="4" xfId="2" applyNumberFormat="1" applyFont="1" applyFill="1" applyBorder="1" applyAlignment="1" applyProtection="1">
      <alignment horizontal="center" vertical="center"/>
    </xf>
    <xf numFmtId="168" fontId="7" fillId="5" borderId="2" xfId="1" applyNumberFormat="1" applyFont="1" applyFill="1" applyBorder="1" applyAlignment="1" applyProtection="1">
      <alignment horizontal="center" vertical="center"/>
    </xf>
    <xf numFmtId="175" fontId="5" fillId="7" borderId="2" xfId="6" applyNumberFormat="1" applyFont="1" applyFill="1" applyBorder="1" applyAlignment="1">
      <alignment horizontal="right"/>
    </xf>
    <xf numFmtId="174" fontId="10" fillId="7" borderId="2" xfId="6" applyNumberFormat="1" applyFont="1" applyFill="1" applyBorder="1" applyAlignment="1">
      <alignment horizontal="right"/>
    </xf>
    <xf numFmtId="175" fontId="10" fillId="7" borderId="2" xfId="6" applyNumberFormat="1" applyFont="1" applyFill="1" applyBorder="1" applyAlignment="1">
      <alignment horizontal="right"/>
    </xf>
    <xf numFmtId="175" fontId="5" fillId="9" borderId="3" xfId="0" applyNumberFormat="1" applyFont="1" applyFill="1" applyBorder="1"/>
    <xf numFmtId="175" fontId="5" fillId="9" borderId="0" xfId="0" applyNumberFormat="1" applyFont="1" applyFill="1" applyBorder="1"/>
    <xf numFmtId="175" fontId="10" fillId="9" borderId="3" xfId="0" applyNumberFormat="1" applyFont="1" applyFill="1" applyBorder="1"/>
    <xf numFmtId="175" fontId="10" fillId="9" borderId="0" xfId="0" applyNumberFormat="1" applyFont="1" applyFill="1" applyBorder="1"/>
    <xf numFmtId="168" fontId="8" fillId="5" borderId="4" xfId="2" applyNumberFormat="1" applyFont="1" applyFill="1" applyBorder="1" applyAlignment="1" applyProtection="1">
      <alignment horizontal="center" vertical="center"/>
    </xf>
    <xf numFmtId="168" fontId="8" fillId="5" borderId="2" xfId="1" applyNumberFormat="1" applyFont="1" applyFill="1" applyBorder="1" applyAlignment="1" applyProtection="1">
      <alignment horizontal="center" vertical="center"/>
    </xf>
    <xf numFmtId="173" fontId="5" fillId="9" borderId="0" xfId="5" quotePrefix="1" applyNumberFormat="1" applyFont="1" applyFill="1" applyBorder="1" applyAlignment="1">
      <alignment horizontal="center"/>
    </xf>
    <xf numFmtId="0" fontId="2" fillId="2" borderId="0" xfId="0" applyFont="1" applyFill="1" applyBorder="1"/>
    <xf numFmtId="166" fontId="12" fillId="9" borderId="3" xfId="5" quotePrefix="1" applyNumberFormat="1" applyFont="1" applyFill="1" applyBorder="1" applyAlignment="1">
      <alignment horizontal="right"/>
    </xf>
    <xf numFmtId="166" fontId="12" fillId="9" borderId="0" xfId="5" quotePrefix="1" applyNumberFormat="1" applyFont="1" applyFill="1" applyBorder="1" applyAlignment="1">
      <alignment horizontal="right"/>
    </xf>
    <xf numFmtId="173" fontId="12" fillId="9" borderId="0" xfId="5" quotePrefix="1" applyNumberFormat="1" applyFont="1" applyFill="1" applyBorder="1" applyAlignment="1">
      <alignment horizontal="right" indent="1"/>
    </xf>
    <xf numFmtId="165" fontId="7" fillId="8" borderId="8" xfId="2" applyNumberFormat="1" applyFont="1" applyFill="1" applyBorder="1" applyAlignment="1" applyProtection="1">
      <alignment horizontal="center"/>
    </xf>
    <xf numFmtId="165" fontId="0" fillId="2" borderId="0" xfId="0" applyNumberFormat="1" applyFill="1"/>
    <xf numFmtId="165" fontId="7" fillId="8" borderId="2" xfId="2" applyNumberFormat="1" applyFont="1" applyFill="1" applyBorder="1" applyAlignment="1" applyProtection="1">
      <alignment horizontal="center" vertical="center"/>
    </xf>
    <xf numFmtId="174" fontId="5" fillId="9" borderId="3" xfId="0" applyNumberFormat="1" applyFont="1" applyFill="1" applyBorder="1"/>
    <xf numFmtId="174" fontId="5" fillId="9" borderId="0" xfId="0" applyNumberFormat="1" applyFont="1" applyFill="1" applyBorder="1"/>
    <xf numFmtId="165" fontId="8" fillId="5" borderId="2" xfId="2" applyNumberFormat="1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>
      <alignment horizontal="right"/>
    </xf>
    <xf numFmtId="175" fontId="5" fillId="9" borderId="2" xfId="0" applyNumberFormat="1" applyFont="1" applyFill="1" applyBorder="1"/>
    <xf numFmtId="2" fontId="10" fillId="2" borderId="2" xfId="0" applyNumberFormat="1" applyFont="1" applyFill="1" applyBorder="1" applyAlignment="1">
      <alignment horizontal="right"/>
    </xf>
    <xf numFmtId="165" fontId="2" fillId="2" borderId="8" xfId="0" applyNumberFormat="1" applyFont="1" applyFill="1" applyBorder="1" applyAlignment="1">
      <alignment horizontal="center"/>
    </xf>
    <xf numFmtId="175" fontId="10" fillId="9" borderId="2" xfId="0" applyNumberFormat="1" applyFont="1" applyFill="1" applyBorder="1"/>
    <xf numFmtId="0" fontId="5" fillId="7" borderId="13" xfId="0" applyFont="1" applyFill="1" applyBorder="1"/>
    <xf numFmtId="176" fontId="5" fillId="7" borderId="0" xfId="0" applyNumberFormat="1" applyFont="1" applyFill="1" applyBorder="1" applyAlignment="1">
      <alignment horizontal="right"/>
    </xf>
    <xf numFmtId="0" fontId="10" fillId="7" borderId="0" xfId="0" applyFont="1" applyFill="1" applyBorder="1" applyAlignment="1">
      <alignment horizontal="right"/>
    </xf>
    <xf numFmtId="0" fontId="13" fillId="2" borderId="0" xfId="0" applyFont="1" applyFill="1" applyBorder="1"/>
    <xf numFmtId="168" fontId="7" fillId="5" borderId="5" xfId="2" applyNumberFormat="1" applyFont="1" applyFill="1" applyBorder="1" applyAlignment="1" applyProtection="1">
      <alignment horizontal="center" vertical="center"/>
    </xf>
    <xf numFmtId="168" fontId="7" fillId="5" borderId="6" xfId="2" applyNumberFormat="1" applyFont="1" applyFill="1" applyBorder="1" applyAlignment="1" applyProtection="1">
      <alignment horizontal="center" vertical="center"/>
    </xf>
    <xf numFmtId="168" fontId="7" fillId="5" borderId="5" xfId="1" applyNumberFormat="1" applyFont="1" applyFill="1" applyBorder="1" applyAlignment="1" applyProtection="1">
      <alignment horizontal="center" vertical="center"/>
    </xf>
    <xf numFmtId="14" fontId="10" fillId="7" borderId="2" xfId="0" quotePrefix="1" applyNumberFormat="1" applyFont="1" applyFill="1" applyBorder="1" applyAlignment="1">
      <alignment horizontal="left" vertical="center" indent="1"/>
    </xf>
    <xf numFmtId="176" fontId="10" fillId="7" borderId="0" xfId="0" applyNumberFormat="1" applyFont="1" applyFill="1" applyBorder="1" applyAlignment="1">
      <alignment horizontal="right"/>
    </xf>
    <xf numFmtId="165" fontId="7" fillId="2" borderId="8" xfId="0" applyNumberFormat="1" applyFont="1" applyFill="1" applyBorder="1" applyAlignment="1">
      <alignment horizontal="center"/>
    </xf>
    <xf numFmtId="0" fontId="5" fillId="7" borderId="2" xfId="0" applyFont="1" applyFill="1" applyBorder="1"/>
    <xf numFmtId="173" fontId="5" fillId="7" borderId="0" xfId="5" applyNumberFormat="1" applyFont="1" applyFill="1" applyBorder="1" applyAlignment="1">
      <alignment horizontal="right" indent="1"/>
    </xf>
    <xf numFmtId="0" fontId="17" fillId="2" borderId="0" xfId="0" applyFont="1" applyFill="1" applyBorder="1"/>
    <xf numFmtId="173" fontId="10" fillId="7" borderId="0" xfId="5" applyNumberFormat="1" applyFont="1" applyFill="1" applyBorder="1" applyAlignment="1">
      <alignment horizontal="right" indent="1"/>
    </xf>
    <xf numFmtId="177" fontId="0" fillId="2" borderId="0" xfId="0" applyNumberFormat="1" applyFill="1"/>
    <xf numFmtId="170" fontId="8" fillId="5" borderId="2" xfId="2" applyNumberFormat="1" applyFont="1" applyFill="1" applyBorder="1" applyAlignment="1" applyProtection="1">
      <alignment horizontal="center" vertical="center"/>
    </xf>
    <xf numFmtId="165" fontId="5" fillId="9" borderId="2" xfId="0" quotePrefix="1" applyNumberFormat="1" applyFont="1" applyFill="1" applyBorder="1" applyAlignment="1">
      <alignment horizontal="right"/>
    </xf>
    <xf numFmtId="165" fontId="10" fillId="9" borderId="2" xfId="0" quotePrefix="1" applyNumberFormat="1" applyFont="1" applyFill="1" applyBorder="1" applyAlignment="1">
      <alignment horizontal="right"/>
    </xf>
    <xf numFmtId="165" fontId="5" fillId="9" borderId="2" xfId="0" applyNumberFormat="1" applyFont="1" applyFill="1" applyBorder="1" applyAlignment="1">
      <alignment horizontal="right"/>
    </xf>
    <xf numFmtId="14" fontId="10" fillId="7" borderId="5" xfId="0" quotePrefix="1" applyNumberFormat="1" applyFont="1" applyFill="1" applyBorder="1" applyAlignment="1">
      <alignment horizontal="left" vertical="center" indent="1"/>
    </xf>
    <xf numFmtId="166" fontId="12" fillId="9" borderId="2" xfId="5" quotePrefix="1" applyNumberFormat="1" applyFont="1" applyFill="1" applyBorder="1" applyAlignment="1">
      <alignment horizontal="right"/>
    </xf>
    <xf numFmtId="165" fontId="7" fillId="5" borderId="2" xfId="2" applyNumberFormat="1" applyFont="1" applyFill="1" applyBorder="1" applyAlignment="1" applyProtection="1">
      <alignment horizontal="center" vertical="center"/>
    </xf>
    <xf numFmtId="174" fontId="5" fillId="7" borderId="3" xfId="0" applyNumberFormat="1" applyFont="1" applyFill="1" applyBorder="1"/>
    <xf numFmtId="174" fontId="5" fillId="7" borderId="0" xfId="0" applyNumberFormat="1" applyFont="1" applyFill="1" applyBorder="1"/>
    <xf numFmtId="176" fontId="5" fillId="7" borderId="3" xfId="0" applyNumberFormat="1" applyFont="1" applyFill="1" applyBorder="1" applyAlignment="1">
      <alignment horizontal="right"/>
    </xf>
    <xf numFmtId="176" fontId="10" fillId="2" borderId="0" xfId="0" applyNumberFormat="1" applyFont="1" applyFill="1" applyBorder="1" applyAlignment="1">
      <alignment horizontal="right"/>
    </xf>
    <xf numFmtId="174" fontId="10" fillId="2" borderId="0" xfId="0" applyNumberFormat="1" applyFont="1" applyFill="1" applyBorder="1"/>
    <xf numFmtId="176" fontId="10" fillId="7" borderId="3" xfId="0" applyNumberFormat="1" applyFont="1" applyFill="1" applyBorder="1" applyAlignment="1">
      <alignment horizontal="right"/>
    </xf>
    <xf numFmtId="174" fontId="10" fillId="7" borderId="3" xfId="0" applyNumberFormat="1" applyFont="1" applyFill="1" applyBorder="1"/>
    <xf numFmtId="174" fontId="10" fillId="7" borderId="0" xfId="0" applyNumberFormat="1" applyFont="1" applyFill="1" applyBorder="1"/>
    <xf numFmtId="174" fontId="5" fillId="2" borderId="0" xfId="0" applyNumberFormat="1" applyFont="1" applyFill="1" applyBorder="1"/>
    <xf numFmtId="175" fontId="10" fillId="2" borderId="0" xfId="0" applyNumberFormat="1" applyFont="1" applyFill="1" applyBorder="1"/>
    <xf numFmtId="175" fontId="10" fillId="7" borderId="3" xfId="0" applyNumberFormat="1" applyFont="1" applyFill="1" applyBorder="1"/>
    <xf numFmtId="175" fontId="10" fillId="7" borderId="0" xfId="0" applyNumberFormat="1" applyFont="1" applyFill="1" applyBorder="1"/>
    <xf numFmtId="0" fontId="0" fillId="2" borderId="14" xfId="0" applyFill="1" applyBorder="1"/>
    <xf numFmtId="175" fontId="5" fillId="7" borderId="3" xfId="0" applyNumberFormat="1" applyFont="1" applyFill="1" applyBorder="1"/>
    <xf numFmtId="175" fontId="5" fillId="7" borderId="0" xfId="0" applyNumberFormat="1" applyFont="1" applyFill="1" applyBorder="1"/>
    <xf numFmtId="0" fontId="18" fillId="2" borderId="0" xfId="7" applyFont="1" applyFill="1"/>
    <xf numFmtId="0" fontId="2" fillId="2" borderId="0" xfId="7" applyFont="1" applyFill="1"/>
    <xf numFmtId="0" fontId="19" fillId="4" borderId="5" xfId="8" applyFont="1" applyFill="1" applyBorder="1" applyAlignment="1" applyProtection="1">
      <alignment horizontal="center" vertical="center"/>
      <protection locked="0"/>
    </xf>
    <xf numFmtId="0" fontId="19" fillId="4" borderId="5" xfId="8" applyFont="1" applyFill="1" applyBorder="1" applyAlignment="1" applyProtection="1">
      <alignment horizontal="center" vertical="center" wrapText="1"/>
      <protection locked="0"/>
    </xf>
    <xf numFmtId="3" fontId="11" fillId="15" borderId="9" xfId="2" applyNumberFormat="1" applyFont="1" applyFill="1" applyBorder="1" applyAlignment="1" applyProtection="1">
      <alignment horizontal="left" vertical="center"/>
    </xf>
    <xf numFmtId="176" fontId="20" fillId="15" borderId="15" xfId="2" applyNumberFormat="1" applyFont="1" applyFill="1" applyBorder="1" applyAlignment="1" applyProtection="1">
      <alignment horizontal="center" vertical="center"/>
    </xf>
    <xf numFmtId="166" fontId="20" fillId="16" borderId="15" xfId="9" applyNumberFormat="1" applyFont="1" applyFill="1" applyBorder="1" applyAlignment="1" applyProtection="1">
      <alignment horizontal="center" vertical="center"/>
    </xf>
    <xf numFmtId="166" fontId="7" fillId="16" borderId="15" xfId="9" applyNumberFormat="1" applyFont="1" applyFill="1" applyBorder="1" applyAlignment="1" applyProtection="1">
      <alignment horizontal="center" vertical="center"/>
    </xf>
    <xf numFmtId="164" fontId="7" fillId="8" borderId="15" xfId="2" applyNumberFormat="1" applyFont="1" applyFill="1" applyBorder="1" applyAlignment="1" applyProtection="1">
      <alignment horizontal="left" vertical="center"/>
    </xf>
    <xf numFmtId="176" fontId="7" fillId="8" borderId="15" xfId="2" applyNumberFormat="1" applyFont="1" applyFill="1" applyBorder="1" applyAlignment="1" applyProtection="1">
      <alignment horizontal="center" vertical="center"/>
    </xf>
    <xf numFmtId="166" fontId="7" fillId="8" borderId="15" xfId="9" applyNumberFormat="1" applyFont="1" applyFill="1" applyBorder="1" applyAlignment="1" applyProtection="1">
      <alignment horizontal="center" vertical="center"/>
    </xf>
    <xf numFmtId="164" fontId="8" fillId="5" borderId="15" xfId="2" applyNumberFormat="1" applyFont="1" applyFill="1" applyBorder="1" applyAlignment="1" applyProtection="1">
      <alignment horizontal="left" vertical="center" indent="1"/>
    </xf>
    <xf numFmtId="176" fontId="8" fillId="5" borderId="15" xfId="2" applyNumberFormat="1" applyFont="1" applyFill="1" applyBorder="1" applyAlignment="1" applyProtection="1">
      <alignment horizontal="center" vertical="center"/>
    </xf>
    <xf numFmtId="166" fontId="8" fillId="5" borderId="15" xfId="9" applyNumberFormat="1" applyFont="1" applyFill="1" applyBorder="1" applyAlignment="1" applyProtection="1">
      <alignment horizontal="center" vertical="center"/>
    </xf>
    <xf numFmtId="166" fontId="8" fillId="7" borderId="15" xfId="9" applyNumberFormat="1" applyFont="1" applyFill="1" applyBorder="1" applyAlignment="1" applyProtection="1">
      <alignment horizontal="center" vertical="center"/>
    </xf>
    <xf numFmtId="164" fontId="7" fillId="2" borderId="0" xfId="2" applyNumberFormat="1" applyFont="1" applyFill="1" applyBorder="1" applyAlignment="1" applyProtection="1">
      <alignment horizontal="left" vertical="center"/>
    </xf>
    <xf numFmtId="176" fontId="7" fillId="2" borderId="0" xfId="2" applyNumberFormat="1" applyFont="1" applyFill="1" applyBorder="1" applyAlignment="1" applyProtection="1">
      <alignment horizontal="center" vertical="center"/>
    </xf>
    <xf numFmtId="166" fontId="8" fillId="2" borderId="0" xfId="9" applyNumberFormat="1" applyFont="1" applyFill="1" applyBorder="1" applyAlignment="1" applyProtection="1">
      <alignment horizontal="center" vertical="center"/>
    </xf>
    <xf numFmtId="168" fontId="8" fillId="5" borderId="15" xfId="2" applyNumberFormat="1" applyFont="1" applyFill="1" applyBorder="1" applyAlignment="1" applyProtection="1">
      <alignment horizontal="center" vertical="center"/>
    </xf>
    <xf numFmtId="168" fontId="7" fillId="8" borderId="15" xfId="2" applyNumberFormat="1" applyFont="1" applyFill="1" applyBorder="1" applyAlignment="1" applyProtection="1">
      <alignment horizontal="center" vertical="center"/>
    </xf>
    <xf numFmtId="0" fontId="0" fillId="2" borderId="16" xfId="0" applyFill="1" applyBorder="1"/>
    <xf numFmtId="0" fontId="21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0">
    <cellStyle name="Comma 3" xfId="2"/>
    <cellStyle name="Normal" xfId="0" builtinId="0"/>
    <cellStyle name="Normal 23" xfId="3"/>
    <cellStyle name="Normal 46" xfId="4"/>
    <cellStyle name="Normal 615" xfId="7"/>
    <cellStyle name="Normal_Business Case Template to be populated" xfId="8"/>
    <cellStyle name="Normal_uunn" xfId="6"/>
    <cellStyle name="Porcentaje" xfId="1" builtinId="5"/>
    <cellStyle name="Porcentaje 13" xfId="9"/>
    <cellStyle name="Porcentaje 2" xfId="5"/>
  </cellStyles>
  <dxfs count="1">
    <dxf>
      <numFmt numFmtId="178" formatCode="\(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W/RESULTS/CURRENT_RESULTS/Tablas_n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PL_MainOp"/>
      <sheetName val="Acdo_concepto_apendice"/>
      <sheetName val="UN"/>
      <sheetName val="Detalles"/>
      <sheetName val="Detalles_2"/>
      <sheetName val="load"/>
      <sheetName val="load2"/>
      <sheetName val="inicializar"/>
      <sheetName val="tablas_FMA"/>
      <sheetName val="apéndice_FMA"/>
    </sheetNames>
    <sheetDataSet>
      <sheetData sheetId="0">
        <row r="14">
          <cell r="C14">
            <v>1374.0619999999999</v>
          </cell>
          <cell r="D14">
            <v>1454.7280000000001</v>
          </cell>
          <cell r="E14">
            <v>-5.54509159100534</v>
          </cell>
          <cell r="F14">
            <v>312.30699999999979</v>
          </cell>
          <cell r="G14">
            <v>385.98099999999999</v>
          </cell>
          <cell r="H14">
            <v>-19.087468035991463</v>
          </cell>
        </row>
        <row r="15">
          <cell r="C15">
            <v>248.41399999999999</v>
          </cell>
          <cell r="D15">
            <v>183.38499999999999</v>
          </cell>
          <cell r="E15">
            <v>35.460370259290563</v>
          </cell>
          <cell r="F15">
            <v>46.413999999999987</v>
          </cell>
          <cell r="G15">
            <v>4.0029999999999859</v>
          </cell>
          <cell r="H15" t="str">
            <v xml:space="preserve"> - </v>
          </cell>
        </row>
        <row r="16">
          <cell r="C16">
            <v>0.18078805759856542</v>
          </cell>
          <cell r="D16">
            <v>0.12606136679846677</v>
          </cell>
          <cell r="F16">
            <v>0.14861658560326862</v>
          </cell>
          <cell r="G16">
            <v>1.0370976809739304E-2</v>
          </cell>
        </row>
        <row r="17">
          <cell r="C17">
            <v>120.828</v>
          </cell>
          <cell r="D17">
            <v>28.721</v>
          </cell>
          <cell r="E17" t="str">
            <v xml:space="preserve"> - </v>
          </cell>
          <cell r="F17">
            <v>23.874000000000009</v>
          </cell>
          <cell r="G17">
            <v>-24.709</v>
          </cell>
          <cell r="H17">
            <v>196.62066453518966</v>
          </cell>
        </row>
        <row r="18">
          <cell r="C18">
            <v>8.7934896678606947E-2</v>
          </cell>
          <cell r="D18">
            <v>1.9743209727179238E-2</v>
          </cell>
          <cell r="F18">
            <v>7.6444011821701158E-2</v>
          </cell>
          <cell r="G18">
            <v>0</v>
          </cell>
        </row>
        <row r="19">
          <cell r="C19">
            <v>-108.80500000000001</v>
          </cell>
          <cell r="D19">
            <v>-39.064999999999998</v>
          </cell>
          <cell r="E19">
            <v>-178.52297452963012</v>
          </cell>
          <cell r="F19">
            <v>-34.194000000000003</v>
          </cell>
          <cell r="G19">
            <v>-70.546999999999997</v>
          </cell>
          <cell r="H19">
            <v>51.530185550058818</v>
          </cell>
        </row>
        <row r="20">
          <cell r="C20">
            <v>-81.884</v>
          </cell>
          <cell r="D20">
            <v>-114.681</v>
          </cell>
          <cell r="E20">
            <v>28.598460076211403</v>
          </cell>
          <cell r="F20">
            <v>-17.501000000000005</v>
          </cell>
          <cell r="G20">
            <v>-29.694000000000003</v>
          </cell>
          <cell r="H20">
            <v>41.06216744123391</v>
          </cell>
        </row>
        <row r="21">
          <cell r="C21">
            <v>-26.920999999999999</v>
          </cell>
          <cell r="D21">
            <v>75.614999999999995</v>
          </cell>
          <cell r="E21">
            <v>-135.60272432718378</v>
          </cell>
          <cell r="F21">
            <v>-16.692999999999998</v>
          </cell>
          <cell r="G21">
            <v>-40.853999999999999</v>
          </cell>
          <cell r="H21">
            <v>59.139863905615123</v>
          </cell>
        </row>
        <row r="22">
          <cell r="C22">
            <v>4.1550000000000002</v>
          </cell>
          <cell r="D22">
            <v>36.04</v>
          </cell>
          <cell r="E22">
            <v>-88.471143174250827</v>
          </cell>
          <cell r="F22">
            <v>1.7660000000000005</v>
          </cell>
          <cell r="G22">
            <v>-1.1030000000000015</v>
          </cell>
          <cell r="H22" t="str">
            <v xml:space="preserve"> - </v>
          </cell>
        </row>
        <row r="23">
          <cell r="C23">
            <v>16.178000000000001</v>
          </cell>
          <cell r="D23">
            <v>25.695</v>
          </cell>
          <cell r="E23">
            <v>-37.038334306285265</v>
          </cell>
          <cell r="F23">
            <v>-8.5539999999999985</v>
          </cell>
          <cell r="G23">
            <v>-96.360000000000014</v>
          </cell>
          <cell r="H23">
            <v>91.122872561228732</v>
          </cell>
        </row>
        <row r="24">
          <cell r="C24">
            <v>25.323</v>
          </cell>
          <cell r="D24">
            <v>-132.607</v>
          </cell>
          <cell r="E24">
            <v>119.09627696878748</v>
          </cell>
          <cell r="F24">
            <v>-15.603999999999999</v>
          </cell>
          <cell r="G24">
            <v>-31.085999999999999</v>
          </cell>
          <cell r="H24">
            <v>49.80377018593579</v>
          </cell>
        </row>
        <row r="25">
          <cell r="C25">
            <v>-2.6840000000000002</v>
          </cell>
          <cell r="D25">
            <v>-2203.0039999999999</v>
          </cell>
          <cell r="E25">
            <v>99.878166358299836</v>
          </cell>
          <cell r="F25">
            <v>-2.6160000000000001</v>
          </cell>
          <cell r="G25">
            <v>-86.873000000000047</v>
          </cell>
          <cell r="H25">
            <v>96.988707653701383</v>
          </cell>
        </row>
        <row r="26">
          <cell r="C26">
            <v>-33.523000000000003</v>
          </cell>
          <cell r="D26">
            <v>73.084000000000003</v>
          </cell>
          <cell r="E26">
            <v>-145.86913688358601</v>
          </cell>
          <cell r="F26">
            <v>-11.507000000000005</v>
          </cell>
          <cell r="G26">
            <v>61.847999999999999</v>
          </cell>
          <cell r="H26">
            <v>-118.60529038934162</v>
          </cell>
        </row>
        <row r="27">
          <cell r="C27">
            <v>5.2939999999999996</v>
          </cell>
          <cell r="D27">
            <v>-2236.8319999999999</v>
          </cell>
          <cell r="E27" t="str">
            <v>n.a</v>
          </cell>
          <cell r="F27">
            <v>-38.28</v>
          </cell>
          <cell r="G27">
            <v>-152.47199999999975</v>
          </cell>
          <cell r="H27">
            <v>74.893750983787143</v>
          </cell>
        </row>
        <row r="30">
          <cell r="C30">
            <v>288.70800000000003</v>
          </cell>
          <cell r="D30">
            <v>261.76900000000001</v>
          </cell>
          <cell r="E30">
            <v>10.291134549927616</v>
          </cell>
          <cell r="F30">
            <v>54.009000000000015</v>
          </cell>
          <cell r="G30">
            <v>69.509000000000015</v>
          </cell>
          <cell r="H30">
            <v>-22.299270598052047</v>
          </cell>
        </row>
        <row r="31">
          <cell r="C31">
            <v>0.20657915261247056</v>
          </cell>
          <cell r="D31">
            <v>0.18527478485266505</v>
          </cell>
          <cell r="F31">
            <v>0.16902902746263984</v>
          </cell>
          <cell r="G31">
            <v>0.17556900989373775</v>
          </cell>
        </row>
        <row r="32">
          <cell r="C32">
            <v>173.48699999999999</v>
          </cell>
          <cell r="D32">
            <v>134.07400000000001</v>
          </cell>
          <cell r="E32">
            <v>29.396452705222476</v>
          </cell>
          <cell r="F32">
            <v>44.718999999999994</v>
          </cell>
          <cell r="G32">
            <v>54.122000000000014</v>
          </cell>
          <cell r="H32">
            <v>-17.373711244965111</v>
          </cell>
        </row>
        <row r="33">
          <cell r="C33">
            <v>0.12413510345844131</v>
          </cell>
          <cell r="D33">
            <v>9.4894855786346807E-2</v>
          </cell>
          <cell r="F33">
            <v>0.13995462013926918</v>
          </cell>
          <cell r="G33">
            <v>0.13670382185715338</v>
          </cell>
        </row>
        <row r="39">
          <cell r="C39">
            <v>1436.1389999999999</v>
          </cell>
          <cell r="D39">
            <v>1412.8689999999999</v>
          </cell>
          <cell r="E39">
            <v>1.6470033669080417</v>
          </cell>
          <cell r="F39">
            <v>347.2639999999999</v>
          </cell>
          <cell r="G39">
            <v>395.90699999999993</v>
          </cell>
          <cell r="H39">
            <v>-12.286471317758977</v>
          </cell>
        </row>
        <row r="40">
          <cell r="C40">
            <v>297.36599999999999</v>
          </cell>
          <cell r="D40">
            <v>261.76900000000001</v>
          </cell>
          <cell r="E40">
            <v>13.598630853920815</v>
          </cell>
          <cell r="F40">
            <v>63.329999999999984</v>
          </cell>
          <cell r="G40">
            <v>69.509000000000015</v>
          </cell>
          <cell r="H40">
            <v>-8.8894963242170491</v>
          </cell>
        </row>
        <row r="41">
          <cell r="C41">
            <v>0.207059344534199</v>
          </cell>
          <cell r="D41">
            <v>0.18527478485266505</v>
          </cell>
          <cell r="F41">
            <v>0.18236845742720237</v>
          </cell>
          <cell r="G41">
            <v>0.17556900989373775</v>
          </cell>
        </row>
        <row r="42">
          <cell r="C42">
            <v>179.744</v>
          </cell>
          <cell r="D42">
            <v>134.07400000000001</v>
          </cell>
          <cell r="E42">
            <v>34.063278487999156</v>
          </cell>
          <cell r="F42">
            <v>51.538999999999987</v>
          </cell>
          <cell r="G42">
            <v>54.122000000000014</v>
          </cell>
          <cell r="H42">
            <v>-4.7725509035143308</v>
          </cell>
        </row>
        <row r="43">
          <cell r="C43">
            <v>0.12515780157770245</v>
          </cell>
          <cell r="D43">
            <v>9.4894855786346807E-2</v>
          </cell>
          <cell r="F43">
            <v>0.14841446277183931</v>
          </cell>
          <cell r="G43">
            <v>0.13670382185715338</v>
          </cell>
        </row>
        <row r="52">
          <cell r="C52">
            <v>23.504000000000001</v>
          </cell>
          <cell r="D52">
            <v>-41.859000000000002</v>
          </cell>
          <cell r="F52">
            <v>7.218</v>
          </cell>
          <cell r="G52">
            <v>9.9249999999999972</v>
          </cell>
        </row>
        <row r="53">
          <cell r="C53">
            <v>0</v>
          </cell>
          <cell r="D53">
            <v>-5.2060000000000004</v>
          </cell>
          <cell r="F53">
            <v>0</v>
          </cell>
          <cell r="G53">
            <v>-1.8130000000000006</v>
          </cell>
        </row>
        <row r="54">
          <cell r="C54">
            <v>23.504000000000001</v>
          </cell>
          <cell r="D54">
            <v>25.106999999999999</v>
          </cell>
          <cell r="F54">
            <v>7.218</v>
          </cell>
          <cell r="G54">
            <v>10.051</v>
          </cell>
        </row>
        <row r="55">
          <cell r="C55">
            <v>0</v>
          </cell>
          <cell r="D55">
            <v>3.25</v>
          </cell>
          <cell r="F55">
            <v>0</v>
          </cell>
          <cell r="G55">
            <v>3.25</v>
          </cell>
        </row>
        <row r="56">
          <cell r="C56">
            <v>0</v>
          </cell>
          <cell r="D56">
            <v>-65.010000000000005</v>
          </cell>
          <cell r="F56">
            <v>0</v>
          </cell>
          <cell r="G56">
            <v>-1.5620000000000047</v>
          </cell>
        </row>
        <row r="57">
          <cell r="C57">
            <v>-16.791</v>
          </cell>
          <cell r="D57">
            <v>-120.244</v>
          </cell>
          <cell r="F57">
            <v>-0.37699999999999889</v>
          </cell>
          <cell r="G57">
            <v>-55.581000000000003</v>
          </cell>
        </row>
        <row r="58">
          <cell r="C58">
            <v>-30.943000000000001</v>
          </cell>
          <cell r="D58">
            <v>-45.906999999999996</v>
          </cell>
          <cell r="F58">
            <v>-4.4780000000000015</v>
          </cell>
          <cell r="G58">
            <v>-7.0549999999999997</v>
          </cell>
        </row>
        <row r="59">
          <cell r="C59">
            <v>0</v>
          </cell>
          <cell r="D59">
            <v>-5.2060000000000004</v>
          </cell>
          <cell r="F59">
            <v>0</v>
          </cell>
          <cell r="G59">
            <v>-1.8130000000000006</v>
          </cell>
        </row>
        <row r="60">
          <cell r="C60">
            <v>14.151999999999999</v>
          </cell>
          <cell r="D60">
            <v>13.202999999999999</v>
          </cell>
          <cell r="F60">
            <v>4.0999999999999996</v>
          </cell>
          <cell r="G60">
            <v>3.8040000000000003</v>
          </cell>
        </row>
        <row r="61">
          <cell r="C61">
            <v>0</v>
          </cell>
          <cell r="D61">
            <v>-44.988999999999997</v>
          </cell>
          <cell r="F61">
            <v>0</v>
          </cell>
          <cell r="G61">
            <v>-44.988999999999997</v>
          </cell>
        </row>
        <row r="62">
          <cell r="C62">
            <v>0</v>
          </cell>
          <cell r="D62">
            <v>-37.344999999999999</v>
          </cell>
          <cell r="F62">
            <v>0</v>
          </cell>
          <cell r="G62">
            <v>-5.5279999999999987</v>
          </cell>
        </row>
        <row r="64">
          <cell r="C64">
            <v>-12.364000000000001</v>
          </cell>
          <cell r="D64">
            <v>-26.968</v>
          </cell>
          <cell r="F64">
            <v>-13.25</v>
          </cell>
          <cell r="G64">
            <v>-13.324</v>
          </cell>
        </row>
        <row r="65">
          <cell r="C65">
            <v>-0.39</v>
          </cell>
          <cell r="D65">
            <v>-7.0460000000000003</v>
          </cell>
          <cell r="F65">
            <v>-0.39</v>
          </cell>
          <cell r="G65">
            <v>-0.25499999999999989</v>
          </cell>
        </row>
        <row r="66">
          <cell r="C66">
            <v>0</v>
          </cell>
          <cell r="D66">
            <v>-7.7039999999999997</v>
          </cell>
          <cell r="F66">
            <v>0</v>
          </cell>
          <cell r="G66">
            <v>0</v>
          </cell>
        </row>
        <row r="67">
          <cell r="C67">
            <v>1.028</v>
          </cell>
          <cell r="D67">
            <v>1.0660000000000001</v>
          </cell>
          <cell r="F67">
            <v>0.14200000000000002</v>
          </cell>
          <cell r="G67">
            <v>0.21500000000000008</v>
          </cell>
        </row>
        <row r="68">
          <cell r="C68">
            <v>-13.002000000000001</v>
          </cell>
          <cell r="D68">
            <v>-13.285</v>
          </cell>
          <cell r="F68">
            <v>-13.002000000000001</v>
          </cell>
          <cell r="G68">
            <v>-13.285</v>
          </cell>
        </row>
        <row r="87">
          <cell r="C87">
            <v>1374.0619999999999</v>
          </cell>
          <cell r="D87">
            <v>1454.7280000000001</v>
          </cell>
          <cell r="E87">
            <v>-5.54509159100534</v>
          </cell>
          <cell r="F87">
            <v>312.30699999999979</v>
          </cell>
          <cell r="G87">
            <v>385.98099999999999</v>
          </cell>
          <cell r="H87">
            <v>-19.087468035991463</v>
          </cell>
        </row>
        <row r="88">
          <cell r="C88">
            <v>573.91499999999996</v>
          </cell>
          <cell r="D88">
            <v>579.99599999999998</v>
          </cell>
          <cell r="E88">
            <v>-1.0484555065897037</v>
          </cell>
          <cell r="F88">
            <v>108.83099999999996</v>
          </cell>
          <cell r="G88">
            <v>104.15799999999996</v>
          </cell>
          <cell r="H88">
            <v>4.4864532729123097</v>
          </cell>
        </row>
        <row r="89">
          <cell r="C89">
            <v>176.70699999999999</v>
          </cell>
          <cell r="D89">
            <v>183.012</v>
          </cell>
          <cell r="E89">
            <v>-3.4451292811400385</v>
          </cell>
          <cell r="F89">
            <v>52.180999999999997</v>
          </cell>
          <cell r="G89">
            <v>50.927999999999997</v>
          </cell>
          <cell r="H89">
            <v>2.4603361608545402</v>
          </cell>
        </row>
        <row r="90">
          <cell r="C90">
            <v>623.44000000000005</v>
          </cell>
          <cell r="D90">
            <v>691.71900000000005</v>
          </cell>
          <cell r="E90">
            <v>-9.8709157909497911</v>
          </cell>
          <cell r="F90">
            <v>151.29500000000007</v>
          </cell>
          <cell r="G90">
            <v>230.89400000000006</v>
          </cell>
          <cell r="H90">
            <v>-34.474260916264591</v>
          </cell>
        </row>
        <row r="91">
          <cell r="C91">
            <v>1125.6479999999999</v>
          </cell>
          <cell r="D91">
            <v>1271.3430000000001</v>
          </cell>
          <cell r="E91">
            <v>-11.459928595194228</v>
          </cell>
          <cell r="F91">
            <v>265.89299999999992</v>
          </cell>
          <cell r="G91">
            <v>381.97800000000007</v>
          </cell>
          <cell r="H91">
            <v>-30.390493693354102</v>
          </cell>
        </row>
        <row r="92">
          <cell r="C92">
            <v>533.096</v>
          </cell>
          <cell r="D92">
            <v>614.93700000000001</v>
          </cell>
          <cell r="E92">
            <v>-13.30884301969145</v>
          </cell>
          <cell r="F92">
            <v>124.78300000000002</v>
          </cell>
          <cell r="G92">
            <v>180.88100000000003</v>
          </cell>
          <cell r="H92">
            <v>-31.01376042812678</v>
          </cell>
        </row>
        <row r="93">
          <cell r="C93">
            <v>134.84899999999999</v>
          </cell>
          <cell r="D93">
            <v>137.792</v>
          </cell>
          <cell r="E93">
            <v>-2.1358279145378631</v>
          </cell>
          <cell r="F93">
            <v>33.824999999999989</v>
          </cell>
          <cell r="G93">
            <v>32.677000000000007</v>
          </cell>
          <cell r="H93">
            <v>3.5131744040149999</v>
          </cell>
        </row>
        <row r="94">
          <cell r="C94">
            <v>457.70400000000001</v>
          </cell>
          <cell r="D94">
            <v>518.61400000000003</v>
          </cell>
          <cell r="E94">
            <v>-11.744765856687252</v>
          </cell>
          <cell r="F94">
            <v>107.286</v>
          </cell>
          <cell r="G94">
            <v>168.42000000000002</v>
          </cell>
          <cell r="H94">
            <v>-36.298539365871044</v>
          </cell>
        </row>
        <row r="95">
          <cell r="C95">
            <v>248.41399999999999</v>
          </cell>
          <cell r="D95">
            <v>183.38499999999999</v>
          </cell>
          <cell r="E95">
            <v>35.460370259290563</v>
          </cell>
          <cell r="F95">
            <v>46.413999999999987</v>
          </cell>
          <cell r="G95">
            <v>4.0029999999999859</v>
          </cell>
          <cell r="H95" t="str">
            <v xml:space="preserve"> - </v>
          </cell>
        </row>
        <row r="96">
          <cell r="E96" t="str">
            <v>-</v>
          </cell>
          <cell r="H96" t="str">
            <v>-</v>
          </cell>
        </row>
        <row r="97">
          <cell r="C97">
            <v>40.819000000000003</v>
          </cell>
          <cell r="D97">
            <v>-34.941000000000003</v>
          </cell>
          <cell r="E97" t="str">
            <v xml:space="preserve"> - </v>
          </cell>
          <cell r="F97">
            <v>-15.951999999999998</v>
          </cell>
          <cell r="G97">
            <v>-76.722999999999999</v>
          </cell>
          <cell r="H97">
            <v>79.20832084251137</v>
          </cell>
        </row>
        <row r="98">
          <cell r="C98">
            <v>41.857999999999997</v>
          </cell>
          <cell r="D98">
            <v>45.220999999999997</v>
          </cell>
          <cell r="E98">
            <v>-7.4368103314831595</v>
          </cell>
          <cell r="F98">
            <v>18.355999999999998</v>
          </cell>
          <cell r="G98">
            <v>18.251999999999995</v>
          </cell>
          <cell r="H98">
            <v>0.56980056980058502</v>
          </cell>
        </row>
        <row r="99">
          <cell r="C99">
            <v>165.73699999999999</v>
          </cell>
          <cell r="D99">
            <v>173.10499999999999</v>
          </cell>
          <cell r="E99">
            <v>-4.2563761878628554</v>
          </cell>
          <cell r="F99">
            <v>44.009999999999991</v>
          </cell>
          <cell r="G99">
            <v>62.47399999999999</v>
          </cell>
          <cell r="H99">
            <v>-29.554694753017259</v>
          </cell>
        </row>
        <row r="100">
          <cell r="C100">
            <v>120.828</v>
          </cell>
          <cell r="D100">
            <v>28.721</v>
          </cell>
          <cell r="E100" t="str">
            <v xml:space="preserve"> - </v>
          </cell>
          <cell r="F100">
            <v>23.874000000000009</v>
          </cell>
          <cell r="G100">
            <v>-24.709</v>
          </cell>
          <cell r="H100">
            <v>196.62066453518966</v>
          </cell>
        </row>
        <row r="102">
          <cell r="C102">
            <v>-12.352</v>
          </cell>
          <cell r="D102">
            <v>-106.867</v>
          </cell>
          <cell r="E102">
            <v>88.441707917317785</v>
          </cell>
          <cell r="F102">
            <v>-25.136000000000003</v>
          </cell>
          <cell r="G102">
            <v>-77.830000000000013</v>
          </cell>
          <cell r="H102">
            <v>67.703970191442892</v>
          </cell>
        </row>
        <row r="103">
          <cell r="C103">
            <v>32.090000000000003</v>
          </cell>
          <cell r="D103">
            <v>36.052999999999997</v>
          </cell>
          <cell r="E103">
            <v>-10.992150445177916</v>
          </cell>
          <cell r="F103">
            <v>21.729000000000003</v>
          </cell>
          <cell r="G103">
            <v>17.859999999999996</v>
          </cell>
          <cell r="H103">
            <v>21.662933930571153</v>
          </cell>
        </row>
        <row r="104">
          <cell r="C104">
            <v>101.09</v>
          </cell>
          <cell r="D104">
            <v>99.534999999999997</v>
          </cell>
          <cell r="E104">
            <v>1.5622645300648081</v>
          </cell>
          <cell r="F104">
            <v>27.281000000000006</v>
          </cell>
          <cell r="G104">
            <v>35.260999999999996</v>
          </cell>
          <cell r="H104">
            <v>-22.631235642778115</v>
          </cell>
        </row>
        <row r="141">
          <cell r="C141">
            <v>1397.566</v>
          </cell>
          <cell r="D141">
            <v>1412.8689999999999</v>
          </cell>
          <cell r="E141">
            <v>-1.0831152782034206</v>
          </cell>
          <cell r="F141">
            <v>319.52500000000009</v>
          </cell>
          <cell r="G141">
            <v>395.90699999999993</v>
          </cell>
          <cell r="H141">
            <v>-19.292914750181193</v>
          </cell>
        </row>
        <row r="142">
          <cell r="C142">
            <v>573.91499999999996</v>
          </cell>
          <cell r="D142">
            <v>545.76499999999999</v>
          </cell>
          <cell r="E142">
            <v>5.1578976299322923</v>
          </cell>
          <cell r="F142">
            <v>108.83099999999996</v>
          </cell>
          <cell r="G142">
            <v>108.07</v>
          </cell>
          <cell r="H142">
            <v>0.70417322106039359</v>
          </cell>
        </row>
        <row r="143">
          <cell r="C143">
            <v>823.65200000000004</v>
          </cell>
          <cell r="D143">
            <v>867.10400000000004</v>
          </cell>
          <cell r="E143">
            <v>-5.0111635974462114</v>
          </cell>
          <cell r="F143">
            <v>210.69500000000005</v>
          </cell>
          <cell r="G143">
            <v>287.83699999999999</v>
          </cell>
          <cell r="H143">
            <v>-26.800585053346143</v>
          </cell>
        </row>
        <row r="144">
          <cell r="C144">
            <v>176.70699999999999</v>
          </cell>
          <cell r="D144">
            <v>182.422</v>
          </cell>
          <cell r="E144">
            <v>-3.1328458190349866</v>
          </cell>
          <cell r="F144">
            <v>52.180999999999997</v>
          </cell>
          <cell r="G144">
            <v>50.337999999999994</v>
          </cell>
          <cell r="H144">
            <v>3.6612499503357379</v>
          </cell>
        </row>
        <row r="145">
          <cell r="C145">
            <v>646.94399999999996</v>
          </cell>
          <cell r="D145">
            <v>684.68200000000002</v>
          </cell>
          <cell r="E145">
            <v>-5.5117558224109953</v>
          </cell>
          <cell r="F145">
            <v>158.51299999999998</v>
          </cell>
          <cell r="G145">
            <v>237.49900000000002</v>
          </cell>
          <cell r="H145">
            <v>-33.257403189066075</v>
          </cell>
        </row>
        <row r="146">
          <cell r="C146">
            <v>288.70800000000003</v>
          </cell>
          <cell r="D146">
            <v>261.76900000000001</v>
          </cell>
          <cell r="E146">
            <v>10.291134549927616</v>
          </cell>
          <cell r="F146">
            <v>54.009000000000015</v>
          </cell>
          <cell r="G146">
            <v>69.509000000000015</v>
          </cell>
          <cell r="H146">
            <v>-22.299270598052047</v>
          </cell>
        </row>
        <row r="147">
          <cell r="C147">
            <v>64.614999999999995</v>
          </cell>
          <cell r="D147">
            <v>30.711500000000001</v>
          </cell>
          <cell r="E147">
            <v>110.39350080588702</v>
          </cell>
          <cell r="F147">
            <v>-13.391000000000005</v>
          </cell>
          <cell r="G147">
            <v>-21.232500000000002</v>
          </cell>
          <cell r="H147">
            <v>36.931590721770853</v>
          </cell>
        </row>
        <row r="148">
          <cell r="C148">
            <v>224.09399999999999</v>
          </cell>
          <cell r="D148">
            <v>231.05799999999999</v>
          </cell>
          <cell r="E148">
            <v>-3.0139618623895292</v>
          </cell>
          <cell r="F148">
            <v>67.400000000000006</v>
          </cell>
          <cell r="G148">
            <v>90.74199999999999</v>
          </cell>
          <cell r="H148">
            <v>-25.723479755791129</v>
          </cell>
        </row>
        <row r="149">
          <cell r="C149">
            <v>42.473999999999997</v>
          </cell>
          <cell r="D149">
            <v>46.874000000000002</v>
          </cell>
          <cell r="E149">
            <v>-9.386866919827634</v>
          </cell>
          <cell r="F149">
            <v>18.378999999999998</v>
          </cell>
          <cell r="G149">
            <v>18.619000000000003</v>
          </cell>
          <cell r="H149">
            <v>-1.2890058542349507</v>
          </cell>
        </row>
        <row r="150">
          <cell r="C150">
            <v>181.62</v>
          </cell>
          <cell r="D150">
            <v>184.184</v>
          </cell>
          <cell r="E150">
            <v>-1.3920861746948665</v>
          </cell>
          <cell r="F150">
            <v>49.021000000000015</v>
          </cell>
          <cell r="G150">
            <v>72.12299999999999</v>
          </cell>
          <cell r="H150">
            <v>-32.031390818462874</v>
          </cell>
        </row>
        <row r="151">
          <cell r="C151">
            <v>0.20657915261247056</v>
          </cell>
          <cell r="D151">
            <v>0.18527478485266505</v>
          </cell>
          <cell r="F151">
            <v>0.16902902746263984</v>
          </cell>
          <cell r="G151">
            <v>0.17556900989373775</v>
          </cell>
        </row>
        <row r="152">
          <cell r="C152">
            <v>173.48699999999999</v>
          </cell>
          <cell r="D152">
            <v>134.07400000000001</v>
          </cell>
          <cell r="E152">
            <v>29.396452705222476</v>
          </cell>
          <cell r="F152">
            <v>44.718999999999994</v>
          </cell>
          <cell r="G152">
            <v>54.122000000000014</v>
          </cell>
          <cell r="H152">
            <v>-17.373711244965111</v>
          </cell>
        </row>
        <row r="153">
          <cell r="C153">
            <v>24.835999999999999</v>
          </cell>
          <cell r="D153">
            <v>-17.236000000000001</v>
          </cell>
          <cell r="E153" t="str">
            <v xml:space="preserve"> - </v>
          </cell>
          <cell r="F153">
            <v>-9.1829999999999998</v>
          </cell>
          <cell r="G153">
            <v>-12.855</v>
          </cell>
          <cell r="H153">
            <v>28.564760793465581</v>
          </cell>
        </row>
        <row r="154">
          <cell r="C154">
            <v>148.65100000000001</v>
          </cell>
          <cell r="D154">
            <v>151.309</v>
          </cell>
          <cell r="E154">
            <v>-1.7566701253725736</v>
          </cell>
          <cell r="F154">
            <v>53.902000000000015</v>
          </cell>
          <cell r="G154">
            <v>66.977000000000004</v>
          </cell>
          <cell r="H154">
            <v>-19.521626827119739</v>
          </cell>
        </row>
        <row r="155">
          <cell r="C155">
            <v>32.706000000000003</v>
          </cell>
          <cell r="D155">
            <v>37.706000000000003</v>
          </cell>
          <cell r="E155">
            <v>-13.260489046836046</v>
          </cell>
          <cell r="F155">
            <v>21.752000000000002</v>
          </cell>
          <cell r="G155">
            <v>18.227000000000004</v>
          </cell>
          <cell r="H155">
            <v>19.339441487902551</v>
          </cell>
        </row>
        <row r="156">
          <cell r="C156">
            <v>115.94499999999999</v>
          </cell>
          <cell r="D156">
            <v>113.60299999999999</v>
          </cell>
          <cell r="E156">
            <v>2.061565275564905</v>
          </cell>
          <cell r="F156">
            <v>32.149999999999991</v>
          </cell>
          <cell r="G156">
            <v>48.75</v>
          </cell>
          <cell r="H156">
            <v>-34.051282051282065</v>
          </cell>
        </row>
        <row r="165">
          <cell r="C165">
            <v>1436.1389999999999</v>
          </cell>
          <cell r="D165">
            <v>1412.8689999999999</v>
          </cell>
          <cell r="E165">
            <v>1.6470033669080417</v>
          </cell>
          <cell r="F165">
            <v>347.2639999999999</v>
          </cell>
          <cell r="G165">
            <v>395.90699999999993</v>
          </cell>
          <cell r="H165">
            <v>-12.286471317758977</v>
          </cell>
        </row>
      </sheetData>
      <sheetData sheetId="1"/>
      <sheetData sheetId="2">
        <row r="14">
          <cell r="C14">
            <v>241.26490573705101</v>
          </cell>
          <cell r="D14">
            <v>260.22371194701395</v>
          </cell>
          <cell r="E14">
            <v>-7.2855798067407801E-2</v>
          </cell>
          <cell r="G14">
            <v>70.721278642626373</v>
          </cell>
          <cell r="H14">
            <v>72.30462590941417</v>
          </cell>
          <cell r="I14">
            <v>-2.1898284471749723E-2</v>
          </cell>
        </row>
        <row r="15">
          <cell r="C15">
            <v>111.14032572844701</v>
          </cell>
          <cell r="D15">
            <v>109.37159917333497</v>
          </cell>
          <cell r="E15">
            <v>1.6171717049770069E-2</v>
          </cell>
          <cell r="G15">
            <v>37.038133510589191</v>
          </cell>
          <cell r="H15">
            <v>36.476134653167193</v>
          </cell>
          <cell r="I15">
            <v>1.5407302960298713E-2</v>
          </cell>
        </row>
        <row r="16">
          <cell r="C16">
            <v>96.129991669008007</v>
          </cell>
          <cell r="D16">
            <v>108.99607212065931</v>
          </cell>
          <cell r="E16">
            <v>-0.11804168903819279</v>
          </cell>
          <cell r="G16">
            <v>23.822916426734679</v>
          </cell>
          <cell r="H16">
            <v>26.262235219742422</v>
          </cell>
          <cell r="I16">
            <v>-9.2883137044405303E-2</v>
          </cell>
        </row>
        <row r="17">
          <cell r="C17">
            <v>33.994588339595992</v>
          </cell>
          <cell r="D17">
            <v>41.856040653019676</v>
          </cell>
          <cell r="E17">
            <v>-0.18782121267976465</v>
          </cell>
          <cell r="G17">
            <v>9.8602287053025037</v>
          </cell>
          <cell r="H17">
            <v>9.566256036504555</v>
          </cell>
          <cell r="I17">
            <v>3.0730169428474164E-2</v>
          </cell>
        </row>
        <row r="18">
          <cell r="C18">
            <v>234.86561766625744</v>
          </cell>
          <cell r="D18">
            <v>258.76985987085942</v>
          </cell>
          <cell r="E18">
            <v>-9.2376454570603908E-2</v>
          </cell>
          <cell r="G18">
            <v>61.012771605967089</v>
          </cell>
          <cell r="H18">
            <v>63.853445902860472</v>
          </cell>
          <cell r="I18">
            <v>-4.4487407949993313E-2</v>
          </cell>
        </row>
        <row r="19">
          <cell r="C19">
            <v>6.3992880707935704</v>
          </cell>
          <cell r="D19">
            <v>1.4538520761545219</v>
          </cell>
          <cell r="E19" t="str">
            <v>---</v>
          </cell>
          <cell r="G19">
            <v>9.7085070366592703</v>
          </cell>
          <cell r="H19">
            <v>8.4511800065536793</v>
          </cell>
          <cell r="I19">
            <v>0.14877532239646596</v>
          </cell>
        </row>
        <row r="20">
          <cell r="C20">
            <v>2.6523907616170274E-2</v>
          </cell>
          <cell r="D20">
            <v>5.5869315877353689E-3</v>
          </cell>
          <cell r="G20">
            <v>0.1372784432492937</v>
          </cell>
          <cell r="H20">
            <v>0.11688297809799363</v>
          </cell>
        </row>
        <row r="21">
          <cell r="C21">
            <v>-6.4632549891479103</v>
          </cell>
          <cell r="D21">
            <v>-21.594771385601462</v>
          </cell>
          <cell r="E21">
            <v>0.70070278245884321</v>
          </cell>
          <cell r="G21">
            <v>2.6416472333607706</v>
          </cell>
          <cell r="H21">
            <v>-0.14062764358171265</v>
          </cell>
          <cell r="I21" t="str">
            <v>---</v>
          </cell>
        </row>
        <row r="22">
          <cell r="C22">
            <v>-2.6789039083007213E-2</v>
          </cell>
          <cell r="D22">
            <v>-8.2985409838433666E-2</v>
          </cell>
          <cell r="G22">
            <v>3.7352933714755412E-2</v>
          </cell>
          <cell r="H22">
            <v>-1.9449328699645857E-3</v>
          </cell>
        </row>
        <row r="24">
          <cell r="C24">
            <v>0</v>
          </cell>
          <cell r="D24">
            <v>5.2060000000000004</v>
          </cell>
          <cell r="G24">
            <v>0</v>
          </cell>
          <cell r="H24">
            <v>1.8130000000000002</v>
          </cell>
        </row>
        <row r="25">
          <cell r="C25">
            <v>0</v>
          </cell>
          <cell r="D25">
            <v>5.2060000000000004</v>
          </cell>
          <cell r="G25">
            <v>0</v>
          </cell>
          <cell r="H25">
            <v>1.8130000000000002</v>
          </cell>
        </row>
        <row r="26">
          <cell r="C26">
            <v>10.085927824142301</v>
          </cell>
          <cell r="D26">
            <v>18.361906620000006</v>
          </cell>
          <cell r="G26">
            <v>0.35604648896315716</v>
          </cell>
          <cell r="H26">
            <v>2.7147963858964008</v>
          </cell>
        </row>
        <row r="27">
          <cell r="C27">
            <v>10.085927824142301</v>
          </cell>
          <cell r="D27">
            <v>13.155906620000007</v>
          </cell>
          <cell r="G27">
            <v>0.35604648896315716</v>
          </cell>
          <cell r="H27">
            <v>0.90179638589640199</v>
          </cell>
        </row>
        <row r="28">
          <cell r="C28">
            <v>0</v>
          </cell>
          <cell r="D28">
            <v>5.2060000000000004</v>
          </cell>
          <cell r="G28">
            <v>0</v>
          </cell>
          <cell r="H28">
            <v>1.8130000000000002</v>
          </cell>
        </row>
        <row r="29">
          <cell r="C29">
            <v>4.6737715400000006</v>
          </cell>
          <cell r="D29">
            <v>4.5597500000000002</v>
          </cell>
          <cell r="G29">
            <v>4.6737715400000006</v>
          </cell>
          <cell r="H29">
            <v>4.5597500000000002</v>
          </cell>
        </row>
        <row r="30">
          <cell r="C30">
            <v>4.6737715400000006</v>
          </cell>
          <cell r="D30">
            <v>4.5597500000000002</v>
          </cell>
          <cell r="G30">
            <v>4.6737715400000006</v>
          </cell>
          <cell r="H30">
            <v>4.5597500000000002</v>
          </cell>
        </row>
        <row r="32">
          <cell r="C32">
            <v>241.26490573705101</v>
          </cell>
          <cell r="D32">
            <v>255.01771194701396</v>
          </cell>
          <cell r="E32">
            <v>-5.3928827550693538E-2</v>
          </cell>
          <cell r="G32">
            <v>70.721278642626373</v>
          </cell>
          <cell r="H32">
            <v>70.491625909414182</v>
          </cell>
          <cell r="I32">
            <v>3.2578725522278093E-3</v>
          </cell>
        </row>
        <row r="33">
          <cell r="C33">
            <v>111.14032572844701</v>
          </cell>
          <cell r="D33">
            <v>104.16559917333497</v>
          </cell>
          <cell r="E33">
            <v>6.6958061110999501E-2</v>
          </cell>
          <cell r="G33">
            <v>37.038133510589191</v>
          </cell>
          <cell r="H33">
            <v>34.663134653167191</v>
          </cell>
          <cell r="I33">
            <v>6.8516563236008285E-2</v>
          </cell>
        </row>
        <row r="34">
          <cell r="C34">
            <v>96.129991669008007</v>
          </cell>
          <cell r="D34">
            <v>108.99607212065931</v>
          </cell>
          <cell r="E34">
            <v>-0.11804168903819279</v>
          </cell>
          <cell r="G34">
            <v>23.822916426734679</v>
          </cell>
          <cell r="H34">
            <v>26.262235219742422</v>
          </cell>
          <cell r="I34">
            <v>-9.2883137044405303E-2</v>
          </cell>
        </row>
        <row r="35">
          <cell r="C35">
            <v>33.994588339595992</v>
          </cell>
          <cell r="D35">
            <v>41.856040653019676</v>
          </cell>
          <cell r="E35">
            <v>-0.18782121267976465</v>
          </cell>
          <cell r="G35">
            <v>9.8602287053025037</v>
          </cell>
          <cell r="H35">
            <v>9.566256036504555</v>
          </cell>
          <cell r="I35">
            <v>3.0730169428474164E-2</v>
          </cell>
        </row>
        <row r="36">
          <cell r="C36">
            <v>16.48521589493587</v>
          </cell>
          <cell r="D36">
            <v>14.609758696154529</v>
          </cell>
          <cell r="E36">
            <v>0.12837016940430265</v>
          </cell>
          <cell r="G36">
            <v>10.064553525622426</v>
          </cell>
          <cell r="H36">
            <v>9.3529763924500813</v>
          </cell>
          <cell r="I36">
            <v>7.608028752716027E-2</v>
          </cell>
        </row>
        <row r="37">
          <cell r="C37">
            <v>6.832827942619521E-2</v>
          </cell>
          <cell r="D37">
            <v>5.7289192129486508E-2</v>
          </cell>
          <cell r="G37">
            <v>0.14231294624184213</v>
          </cell>
          <cell r="H37">
            <v>0.13268209197599154</v>
          </cell>
        </row>
        <row r="38">
          <cell r="C38">
            <v>8.2964443749943904</v>
          </cell>
          <cell r="D38">
            <v>-3.8791147656014546</v>
          </cell>
          <cell r="E38" t="str">
            <v>---</v>
          </cell>
          <cell r="G38">
            <v>7.6714652623239274</v>
          </cell>
          <cell r="H38">
            <v>5.3209187423146895</v>
          </cell>
          <cell r="I38">
            <v>0.44175576321368715</v>
          </cell>
        </row>
        <row r="39">
          <cell r="C39">
            <v>3.4387282102422687E-2</v>
          </cell>
          <cell r="D39">
            <v>-1.5211158221070675E-2</v>
          </cell>
          <cell r="G39">
            <v>0.10847464030012668</v>
          </cell>
          <cell r="H39">
            <v>7.5482990691013108E-2</v>
          </cell>
        </row>
        <row r="41">
          <cell r="C41">
            <v>241.26490573705101</v>
          </cell>
          <cell r="D41">
            <v>255.01771194701396</v>
          </cell>
          <cell r="E41">
            <v>-5.3928827550693538E-2</v>
          </cell>
          <cell r="G41">
            <v>70.721278642626373</v>
          </cell>
          <cell r="H41">
            <v>70.491625909414182</v>
          </cell>
          <cell r="I41">
            <v>3.2578725522278093E-3</v>
          </cell>
        </row>
        <row r="42">
          <cell r="C42">
            <v>16.48521589493587</v>
          </cell>
          <cell r="D42">
            <v>14.609758696154529</v>
          </cell>
          <cell r="E42">
            <v>0.12837016940430265</v>
          </cell>
          <cell r="G42">
            <v>10.064553525622426</v>
          </cell>
          <cell r="H42">
            <v>9.3529763924500813</v>
          </cell>
          <cell r="I42">
            <v>7.608028752716027E-2</v>
          </cell>
        </row>
        <row r="43">
          <cell r="C43">
            <v>6.832827942619521E-2</v>
          </cell>
          <cell r="D43">
            <v>5.7289192129486508E-2</v>
          </cell>
        </row>
        <row r="44">
          <cell r="C44">
            <v>8.2964443749943904</v>
          </cell>
          <cell r="D44">
            <v>-3.8791147656014546</v>
          </cell>
          <cell r="E44" t="str">
            <v>---</v>
          </cell>
          <cell r="G44">
            <v>7.6714652623239274</v>
          </cell>
          <cell r="H44">
            <v>5.3209187423146895</v>
          </cell>
          <cell r="I44">
            <v>0.44175576321368715</v>
          </cell>
        </row>
        <row r="45">
          <cell r="C45">
            <v>3.4387282102422687E-2</v>
          </cell>
          <cell r="D45">
            <v>-1.5211158221070675E-2</v>
          </cell>
        </row>
        <row r="61">
          <cell r="C61">
            <v>314.76426431952399</v>
          </cell>
          <cell r="D61">
            <v>305.13586461894874</v>
          </cell>
          <cell r="E61">
            <v>3.1554467425843613E-2</v>
          </cell>
          <cell r="G61">
            <v>91.137424433319524</v>
          </cell>
          <cell r="H61">
            <v>91.767304178274145</v>
          </cell>
          <cell r="I61">
            <v>-6.8638797946049398E-3</v>
          </cell>
        </row>
        <row r="62">
          <cell r="C62">
            <v>278.52154702384797</v>
          </cell>
          <cell r="D62">
            <v>272.91916921813674</v>
          </cell>
          <cell r="E62">
            <v>2.0527608308940008E-2</v>
          </cell>
          <cell r="G62">
            <v>79.046578085361801</v>
          </cell>
          <cell r="H62">
            <v>80.166625807469245</v>
          </cell>
          <cell r="I62">
            <v>-1.3971496378023772E-2</v>
          </cell>
        </row>
        <row r="63">
          <cell r="C63">
            <v>170.02609031999998</v>
          </cell>
          <cell r="D63">
            <v>157.30861327000002</v>
          </cell>
          <cell r="E63">
            <v>8.084412407966525E-2</v>
          </cell>
          <cell r="G63">
            <v>50.01694539999994</v>
          </cell>
          <cell r="H63">
            <v>47.796231140000017</v>
          </cell>
          <cell r="I63">
            <v>4.6462120695149066E-2</v>
          </cell>
        </row>
        <row r="64">
          <cell r="C64">
            <v>108.47580643463699</v>
          </cell>
          <cell r="D64">
            <v>115.30259214408021</v>
          </cell>
          <cell r="E64">
            <v>-5.920756491677634E-2</v>
          </cell>
          <cell r="G64">
            <v>29.02097088536236</v>
          </cell>
          <cell r="H64">
            <v>32.257753677469182</v>
          </cell>
          <cell r="I64">
            <v>-0.10034123344328197</v>
          </cell>
        </row>
        <row r="65">
          <cell r="C65">
            <v>1.965026921100798E-2</v>
          </cell>
          <cell r="D65">
            <v>0.30796380405651874</v>
          </cell>
          <cell r="E65">
            <v>-0.93619292607711235</v>
          </cell>
          <cell r="G65">
            <v>8.6617999995214634E-3</v>
          </cell>
          <cell r="H65">
            <v>0.112640990000029</v>
          </cell>
          <cell r="I65">
            <v>-0.92310259347401658</v>
          </cell>
        </row>
        <row r="66">
          <cell r="C66">
            <v>36.242717295676016</v>
          </cell>
          <cell r="D66">
            <v>32.216695400812</v>
          </cell>
          <cell r="E66">
            <v>0.12496694166722459</v>
          </cell>
          <cell r="G66">
            <v>12.090846347957715</v>
          </cell>
          <cell r="H66">
            <v>11.6006783708049</v>
          </cell>
          <cell r="I66">
            <v>4.2253389110968466E-2</v>
          </cell>
        </row>
        <row r="67">
          <cell r="C67">
            <v>260.0627822536897</v>
          </cell>
          <cell r="D67">
            <v>259.39902471577017</v>
          </cell>
          <cell r="E67">
            <v>2.5588281939256793E-3</v>
          </cell>
          <cell r="G67">
            <v>64.197226048547947</v>
          </cell>
          <cell r="H67">
            <v>72.102614682381329</v>
          </cell>
          <cell r="I67">
            <v>-0.10964080385513547</v>
          </cell>
        </row>
        <row r="68">
          <cell r="C68">
            <v>54.701482065834306</v>
          </cell>
          <cell r="D68">
            <v>45.736839903178584</v>
          </cell>
          <cell r="E68">
            <v>0.19600484383339967</v>
          </cell>
          <cell r="G68">
            <v>26.940198384771591</v>
          </cell>
          <cell r="H68">
            <v>19.664689495892809</v>
          </cell>
          <cell r="I68">
            <v>0.36997832538359449</v>
          </cell>
        </row>
        <row r="69">
          <cell r="C69">
            <v>0.1737855540370544</v>
          </cell>
          <cell r="D69">
            <v>0.14989008244014315</v>
          </cell>
          <cell r="G69">
            <v>0.29559973361417868</v>
          </cell>
          <cell r="H69">
            <v>0.21428862569277057</v>
          </cell>
        </row>
        <row r="70">
          <cell r="C70">
            <v>42.279682384571402</v>
          </cell>
          <cell r="D70">
            <v>24.822136734634174</v>
          </cell>
          <cell r="E70">
            <v>0.7033055146126409</v>
          </cell>
          <cell r="G70">
            <v>24.365951874783779</v>
          </cell>
          <cell r="H70">
            <v>9.7397175238641225</v>
          </cell>
          <cell r="I70">
            <v>1.5017103232288469</v>
          </cell>
        </row>
        <row r="71">
          <cell r="C71">
            <v>0.13432173590599339</v>
          </cell>
          <cell r="D71">
            <v>8.1347817850359425E-2</v>
          </cell>
          <cell r="G71">
            <v>0.26735396601657391</v>
          </cell>
          <cell r="H71">
            <v>0.10613494218968235</v>
          </cell>
        </row>
        <row r="74">
          <cell r="C74">
            <v>-23.503878101888606</v>
          </cell>
          <cell r="D74">
            <v>-25.106729376871197</v>
          </cell>
          <cell r="G74">
            <v>-7.2175540989188463</v>
          </cell>
          <cell r="H74">
            <v>-10.383531053735897</v>
          </cell>
        </row>
        <row r="76">
          <cell r="C76">
            <v>-23.503878101888606</v>
          </cell>
          <cell r="D76">
            <v>-25.106729376871197</v>
          </cell>
          <cell r="G76">
            <v>-7.2175540989188463</v>
          </cell>
          <cell r="H76">
            <v>-10.383531053735897</v>
          </cell>
        </row>
        <row r="77">
          <cell r="C77">
            <v>-3.3956326695669681</v>
          </cell>
          <cell r="D77">
            <v>-5.0894100421633013</v>
          </cell>
          <cell r="G77">
            <v>-2.6614749763718368</v>
          </cell>
          <cell r="H77">
            <v>-1.2975989811208817</v>
          </cell>
        </row>
        <row r="78">
          <cell r="C78">
            <v>9.5743239592746789</v>
          </cell>
          <cell r="D78">
            <v>6.5465671000491241</v>
          </cell>
          <cell r="G78">
            <v>1.0519368349941587</v>
          </cell>
          <cell r="H78">
            <v>2.394332503544673</v>
          </cell>
        </row>
        <row r="79">
          <cell r="C79">
            <v>1.18243075</v>
          </cell>
          <cell r="D79">
            <v>1.5669999999999999</v>
          </cell>
          <cell r="G79">
            <v>0.38743074999999993</v>
          </cell>
          <cell r="H79">
            <v>0.31199999999999983</v>
          </cell>
        </row>
        <row r="81">
          <cell r="C81">
            <v>-14.152387378841647</v>
          </cell>
          <cell r="D81">
            <v>-13.202977142212426</v>
          </cell>
          <cell r="G81">
            <v>-4.1008425613659956</v>
          </cell>
          <cell r="H81">
            <v>-4.0039314846655563</v>
          </cell>
        </row>
        <row r="82">
          <cell r="C82">
            <v>0.21332569540799384</v>
          </cell>
          <cell r="D82">
            <v>7.9136873958260114</v>
          </cell>
          <cell r="G82">
            <v>1.0989054032908996</v>
          </cell>
          <cell r="H82">
            <v>8.7643703882423605</v>
          </cell>
        </row>
        <row r="83">
          <cell r="C83">
            <v>-1.0278498545920061</v>
          </cell>
          <cell r="D83">
            <v>-1.0663126041739888</v>
          </cell>
          <cell r="G83">
            <v>-0.14227014670910043</v>
          </cell>
          <cell r="H83">
            <v>-0.21562961175763962</v>
          </cell>
        </row>
        <row r="84">
          <cell r="C84">
            <v>1.2411755499999999</v>
          </cell>
          <cell r="D84">
            <v>8.98</v>
          </cell>
          <cell r="G84">
            <v>1.2411755499999999</v>
          </cell>
          <cell r="H84">
            <v>8.98</v>
          </cell>
        </row>
        <row r="86">
          <cell r="C86">
            <v>338.26814242141256</v>
          </cell>
          <cell r="D86">
            <v>330.24259399581996</v>
          </cell>
          <cell r="E86">
            <v>2.4301978519748989E-2</v>
          </cell>
          <cell r="G86">
            <v>98.354978532238334</v>
          </cell>
          <cell r="H86">
            <v>102.15062202188204</v>
          </cell>
          <cell r="I86">
            <v>-3.7157321360516346E-2</v>
          </cell>
        </row>
        <row r="87">
          <cell r="C87">
            <v>189.82651439999998</v>
          </cell>
          <cell r="D87">
            <v>175.47699664000001</v>
          </cell>
          <cell r="E87">
            <v>8.1774352392403521E-2</v>
          </cell>
          <cell r="G87">
            <v>56.023019819999945</v>
          </cell>
          <cell r="H87">
            <v>53.523947700000008</v>
          </cell>
          <cell r="I87">
            <v>4.6690728681059834E-2</v>
          </cell>
        </row>
        <row r="88">
          <cell r="C88">
            <v>137.97445676427162</v>
          </cell>
          <cell r="D88">
            <v>145.92426693049538</v>
          </cell>
          <cell r="E88">
            <v>-5.4479013898423759E-2</v>
          </cell>
          <cell r="G88">
            <v>37.7999416328704</v>
          </cell>
          <cell r="H88">
            <v>44.594099036570242</v>
          </cell>
          <cell r="I88">
            <v>-0.15235552574182884</v>
          </cell>
        </row>
        <row r="89">
          <cell r="C89">
            <v>10.467171257141002</v>
          </cell>
          <cell r="D89">
            <v>8.8416389899622718</v>
          </cell>
          <cell r="G89">
            <v>4.5320170793680292</v>
          </cell>
          <cell r="H89">
            <v>4.0328838499494939</v>
          </cell>
        </row>
        <row r="90">
          <cell r="C90">
            <v>74.809727498155965</v>
          </cell>
          <cell r="D90">
            <v>65.754159237886483</v>
          </cell>
          <cell r="E90">
            <v>0.13771856206856964</v>
          </cell>
          <cell r="G90">
            <v>31.496277507318624</v>
          </cell>
          <cell r="H90">
            <v>28.753711256998933</v>
          </cell>
          <cell r="I90">
            <v>9.5381296202316251E-2</v>
          </cell>
        </row>
        <row r="91">
          <cell r="C91">
            <v>29.085649609999809</v>
          </cell>
          <cell r="D91">
            <v>16.873499589999991</v>
          </cell>
          <cell r="E91">
            <v>0.72374731482716825</v>
          </cell>
          <cell r="G91">
            <v>14.574105169999836</v>
          </cell>
          <cell r="H91">
            <v>10.778545380000011</v>
          </cell>
          <cell r="I91">
            <v>0.35214026162033196</v>
          </cell>
        </row>
        <row r="92">
          <cell r="C92">
            <v>44.200858145641547</v>
          </cell>
          <cell r="D92">
            <v>47.521076417082341</v>
          </cell>
          <cell r="E92">
            <v>-6.9868330470883006E-2</v>
          </cell>
          <cell r="G92">
            <v>14.881898101284026</v>
          </cell>
          <cell r="H92">
            <v>16.896173426749211</v>
          </cell>
          <cell r="I92">
            <v>-0.11921488224524737</v>
          </cell>
        </row>
        <row r="93">
          <cell r="C93">
            <v>1.5232197425145932</v>
          </cell>
          <cell r="D93">
            <v>1.3560670643014776</v>
          </cell>
          <cell r="G93">
            <v>2.0402742360347292</v>
          </cell>
          <cell r="H93">
            <v>1.0754762837470369</v>
          </cell>
        </row>
        <row r="94">
          <cell r="C94">
            <v>0.22115510778711886</v>
          </cell>
          <cell r="D94">
            <v>0.19910865658570609</v>
          </cell>
          <cell r="G94">
            <v>0.3202306378115361</v>
          </cell>
          <cell r="H94">
            <v>0.2814834671377674</v>
          </cell>
        </row>
        <row r="95">
          <cell r="C95">
            <v>62.608347452301047</v>
          </cell>
          <cell r="D95">
            <v>52.75314346516808</v>
          </cell>
          <cell r="E95">
            <v>0.18681737882862232</v>
          </cell>
          <cell r="G95">
            <v>30.028030340621697</v>
          </cell>
          <cell r="H95">
            <v>27.577566253212613</v>
          </cell>
          <cell r="I95">
            <v>8.8857155301861376E-2</v>
          </cell>
        </row>
        <row r="96">
          <cell r="C96">
            <v>0.18508496544822101</v>
          </cell>
          <cell r="D96">
            <v>0.15974057987757873</v>
          </cell>
          <cell r="G96">
            <v>0.30530259666295639</v>
          </cell>
          <cell r="H96">
            <v>0.26996963608606439</v>
          </cell>
        </row>
        <row r="110">
          <cell r="C110">
            <v>346.65994633935526</v>
          </cell>
          <cell r="D110">
            <v>330.24259399581996</v>
          </cell>
          <cell r="E110">
            <v>4.9713006868348127E-2</v>
          </cell>
          <cell r="G110">
            <v>103.48975745049555</v>
          </cell>
          <cell r="H110">
            <v>102.15062202188204</v>
          </cell>
          <cell r="I110">
            <v>1.3109420208196498E-2</v>
          </cell>
        </row>
        <row r="111">
          <cell r="C111">
            <v>189.82651439999998</v>
          </cell>
          <cell r="D111">
            <v>175.47699664000001</v>
          </cell>
          <cell r="E111">
            <v>8.1774352392403521E-2</v>
          </cell>
          <cell r="G111">
            <v>56.023019819999945</v>
          </cell>
          <cell r="H111">
            <v>53.523947700000008</v>
          </cell>
          <cell r="I111">
            <v>4.6690728681059834E-2</v>
          </cell>
        </row>
        <row r="112">
          <cell r="C112">
            <v>146.36626068221432</v>
          </cell>
          <cell r="D112">
            <v>145.92426693049538</v>
          </cell>
          <cell r="E112">
            <v>3.028925627082053E-3</v>
          </cell>
          <cell r="G112">
            <v>42.934720551127626</v>
          </cell>
          <cell r="H112">
            <v>44.594099036570242</v>
          </cell>
          <cell r="I112">
            <v>-3.721071893574554E-2</v>
          </cell>
        </row>
        <row r="113">
          <cell r="C113">
            <v>10.467171257141002</v>
          </cell>
          <cell r="D113">
            <v>8.8416389899622718</v>
          </cell>
          <cell r="G113">
            <v>4.5320170793680292</v>
          </cell>
          <cell r="H113">
            <v>4.0328838499494939</v>
          </cell>
        </row>
        <row r="114">
          <cell r="C114">
            <v>79.561965841667288</v>
          </cell>
          <cell r="D114">
            <v>65.754159237886483</v>
          </cell>
          <cell r="E114">
            <v>0.20999137946280619</v>
          </cell>
          <cell r="G114">
            <v>33.898356641158031</v>
          </cell>
          <cell r="H114">
            <v>28.753711256998933</v>
          </cell>
          <cell r="I114">
            <v>0.1789210908524666</v>
          </cell>
        </row>
        <row r="115">
          <cell r="C115">
            <v>29.085649609999809</v>
          </cell>
          <cell r="D115">
            <v>16.873499589999991</v>
          </cell>
          <cell r="E115">
            <v>0.72374731482716825</v>
          </cell>
          <cell r="G115">
            <v>14.574105169999836</v>
          </cell>
          <cell r="H115">
            <v>10.778545380000011</v>
          </cell>
          <cell r="I115">
            <v>0.35214026162033196</v>
          </cell>
        </row>
        <row r="116">
          <cell r="C116">
            <v>48.95309648915287</v>
          </cell>
          <cell r="D116">
            <v>47.521076417082341</v>
          </cell>
          <cell r="E116">
            <v>3.0134419925634561E-2</v>
          </cell>
          <cell r="G116">
            <v>17.283977235123434</v>
          </cell>
          <cell r="H116">
            <v>16.896173426749211</v>
          </cell>
          <cell r="I116">
            <v>2.2952167841759376E-2</v>
          </cell>
        </row>
        <row r="117">
          <cell r="C117">
            <v>1.5232197425145932</v>
          </cell>
          <cell r="D117">
            <v>1.3560670643014776</v>
          </cell>
          <cell r="G117">
            <v>2.0402742360347292</v>
          </cell>
          <cell r="H117">
            <v>1.0754762837470369</v>
          </cell>
        </row>
        <row r="118">
          <cell r="C118">
            <v>0.22951011987921391</v>
          </cell>
          <cell r="D118">
            <v>0.19910865658570609</v>
          </cell>
          <cell r="G118">
            <v>0.3275527692426311</v>
          </cell>
          <cell r="H118">
            <v>0.2814834671377674</v>
          </cell>
        </row>
        <row r="119">
          <cell r="C119">
            <v>67.722193764300755</v>
          </cell>
          <cell r="D119">
            <v>52.75314346516808</v>
          </cell>
          <cell r="E119">
            <v>0.28375655583475251</v>
          </cell>
          <cell r="G119">
            <v>32.712395165613451</v>
          </cell>
          <cell r="H119">
            <v>27.577566253212613</v>
          </cell>
          <cell r="I119">
            <v>0.18619586896297141</v>
          </cell>
        </row>
        <row r="120">
          <cell r="C120">
            <v>0.19535626910299461</v>
          </cell>
          <cell r="D120">
            <v>0.15974057987757873</v>
          </cell>
          <cell r="G120">
            <v>0.3160930701887234</v>
          </cell>
          <cell r="H120">
            <v>0.26996963608606439</v>
          </cell>
        </row>
        <row r="148">
          <cell r="C148">
            <v>642.81593545148894</v>
          </cell>
          <cell r="D148">
            <v>716.64113369479344</v>
          </cell>
          <cell r="E148">
            <v>-0.10301557470289659</v>
          </cell>
          <cell r="G148">
            <v>97.739752010551229</v>
          </cell>
          <cell r="H148">
            <v>174.61438749788704</v>
          </cell>
          <cell r="I148">
            <v>-0.44025373045658134</v>
          </cell>
        </row>
        <row r="149">
          <cell r="C149">
            <v>139.63301521191764</v>
          </cell>
          <cell r="D149">
            <v>148.71473345662841</v>
          </cell>
          <cell r="E149">
            <v>-6.1068046410878242E-2</v>
          </cell>
          <cell r="G149">
            <v>-19.784168229020025</v>
          </cell>
          <cell r="H149">
            <v>-20.158012740278025</v>
          </cell>
          <cell r="I149">
            <v>1.8545702697717582E-2</v>
          </cell>
        </row>
        <row r="150">
          <cell r="C150">
            <v>503.18292023957133</v>
          </cell>
          <cell r="D150">
            <v>567.92640023816512</v>
          </cell>
          <cell r="E150">
            <v>-0.11399977175113363</v>
          </cell>
          <cell r="G150">
            <v>117.52392023957134</v>
          </cell>
          <cell r="H150">
            <v>194.77240023816512</v>
          </cell>
          <cell r="I150">
            <v>-0.39660896463839518</v>
          </cell>
        </row>
        <row r="151">
          <cell r="C151">
            <v>475.65610697003495</v>
          </cell>
          <cell r="D151">
            <v>545.90490714183068</v>
          </cell>
          <cell r="E151">
            <v>-0.12868321799779039</v>
          </cell>
          <cell r="G151">
            <v>103.77249519221135</v>
          </cell>
          <cell r="H151">
            <v>159.62697537217571</v>
          </cell>
          <cell r="I151">
            <v>-0.34990627398494356</v>
          </cell>
        </row>
        <row r="152">
          <cell r="C152">
            <v>167.15982848145399</v>
          </cell>
          <cell r="D152">
            <v>170.73622655296279</v>
          </cell>
          <cell r="E152">
            <v>-2.0946919957841505E-2</v>
          </cell>
          <cell r="G152">
            <v>-6.0327431816601518</v>
          </cell>
          <cell r="H152">
            <v>14.987412125711387</v>
          </cell>
          <cell r="I152">
            <v>-1.4025206707508087</v>
          </cell>
        </row>
        <row r="153">
          <cell r="C153">
            <v>0.26004306872704924</v>
          </cell>
          <cell r="D153">
            <v>0.23824508324368213</v>
          </cell>
          <cell r="G153">
            <v>-6.1722513691347444E-2</v>
          </cell>
          <cell r="H153">
            <v>8.5831484681597306E-2</v>
          </cell>
        </row>
        <row r="154">
          <cell r="C154">
            <v>88.699006554616503</v>
          </cell>
          <cell r="D154">
            <v>85.145411958571287</v>
          </cell>
          <cell r="E154">
            <v>4.1735596954704586E-2</v>
          </cell>
          <cell r="G154">
            <v>-7.5331520528761331</v>
          </cell>
          <cell r="H154">
            <v>10.108907957774122</v>
          </cell>
          <cell r="I154">
            <v>-1.7451993909077848</v>
          </cell>
        </row>
        <row r="155">
          <cell r="C155">
            <v>0.13798507731815604</v>
          </cell>
          <cell r="D155">
            <v>0.11881178452538202</v>
          </cell>
          <cell r="G155">
            <v>-7.7073574445563481E-2</v>
          </cell>
          <cell r="H155">
            <v>5.789275501651573E-2</v>
          </cell>
        </row>
        <row r="157">
          <cell r="C157">
            <v>0</v>
          </cell>
          <cell r="D157">
            <v>65.009628309629733</v>
          </cell>
          <cell r="G157">
            <v>0</v>
          </cell>
          <cell r="H157">
            <v>1.5620632949075883</v>
          </cell>
        </row>
        <row r="158">
          <cell r="C158">
            <v>0</v>
          </cell>
          <cell r="D158">
            <v>43.403628309629738</v>
          </cell>
          <cell r="G158">
            <v>0</v>
          </cell>
          <cell r="H158">
            <v>4.0360632949075921</v>
          </cell>
        </row>
        <row r="159">
          <cell r="C159">
            <v>0</v>
          </cell>
          <cell r="D159">
            <v>21.606000000000002</v>
          </cell>
          <cell r="G159">
            <v>0</v>
          </cell>
          <cell r="H159">
            <v>-2.4739999999999966</v>
          </cell>
        </row>
        <row r="160">
          <cell r="C160">
            <v>4.5496446517170996</v>
          </cell>
          <cell r="D160">
            <v>52.42491942308363</v>
          </cell>
          <cell r="G160">
            <v>1.8272444223541653</v>
          </cell>
          <cell r="H160">
            <v>8.2434282479397893</v>
          </cell>
        </row>
        <row r="161">
          <cell r="C161">
            <v>4.5496446517170996</v>
          </cell>
          <cell r="D161">
            <v>14.699037755219445</v>
          </cell>
          <cell r="G161">
            <v>1.8272444223541653</v>
          </cell>
          <cell r="H161">
            <v>2.3343125121186734</v>
          </cell>
        </row>
        <row r="162">
          <cell r="C162">
            <v>0</v>
          </cell>
          <cell r="D162">
            <v>36.929881667864187</v>
          </cell>
          <cell r="G162">
            <v>0</v>
          </cell>
          <cell r="H162">
            <v>5.707115735821116</v>
          </cell>
        </row>
        <row r="163">
          <cell r="C163">
            <v>0</v>
          </cell>
          <cell r="D163">
            <v>0.79600000000000004</v>
          </cell>
          <cell r="G163">
            <v>0</v>
          </cell>
          <cell r="H163">
            <v>0.20200000000000007</v>
          </cell>
        </row>
        <row r="164">
          <cell r="C164">
            <v>1.959325</v>
          </cell>
          <cell r="D164">
            <v>14.494507684451332</v>
          </cell>
          <cell r="G164">
            <v>1.959325</v>
          </cell>
          <cell r="H164">
            <v>0</v>
          </cell>
        </row>
        <row r="165">
          <cell r="C165">
            <v>1.959325</v>
          </cell>
          <cell r="D165">
            <v>6.7910000000000039</v>
          </cell>
          <cell r="G165">
            <v>1.959325</v>
          </cell>
          <cell r="H165">
            <v>0</v>
          </cell>
        </row>
        <row r="166">
          <cell r="C166">
            <v>0</v>
          </cell>
          <cell r="D166">
            <v>7.7035076844513268</v>
          </cell>
          <cell r="G166">
            <v>0</v>
          </cell>
          <cell r="H166">
            <v>0</v>
          </cell>
        </row>
        <row r="168">
          <cell r="C168">
            <v>642.81593545148894</v>
          </cell>
          <cell r="D168">
            <v>651.63150538516368</v>
          </cell>
          <cell r="E168">
            <v>-1.3528458739059994E-2</v>
          </cell>
          <cell r="G168">
            <v>97.739752010551229</v>
          </cell>
          <cell r="H168">
            <v>173.05232420297943</v>
          </cell>
          <cell r="I168">
            <v>-0.43520115976073986</v>
          </cell>
        </row>
        <row r="169">
          <cell r="C169">
            <v>139.63301521191764</v>
          </cell>
          <cell r="D169">
            <v>116.43910514699866</v>
          </cell>
          <cell r="E169">
            <v>0.19919347572825991</v>
          </cell>
          <cell r="G169">
            <v>-19.784168229020025</v>
          </cell>
          <cell r="H169">
            <v>-17.684076035185598</v>
          </cell>
          <cell r="I169">
            <v>-0.11875611650028663</v>
          </cell>
        </row>
        <row r="170">
          <cell r="C170">
            <v>503.18292023957133</v>
          </cell>
          <cell r="D170">
            <v>535.19240023816508</v>
          </cell>
          <cell r="E170">
            <v>-5.9809294721579122E-2</v>
          </cell>
          <cell r="G170">
            <v>117.52392023957134</v>
          </cell>
          <cell r="H170">
            <v>190.73640023816506</v>
          </cell>
          <cell r="I170">
            <v>-0.38384115411204245</v>
          </cell>
        </row>
        <row r="171">
          <cell r="C171">
            <v>5.8365820000000008</v>
          </cell>
          <cell r="D171">
            <v>7.1783380000000001</v>
          </cell>
          <cell r="E171">
            <v>-0.18691736165112305</v>
          </cell>
          <cell r="G171">
            <v>0.26658200000000054</v>
          </cell>
          <cell r="H171">
            <v>0.76433800000000041</v>
          </cell>
          <cell r="I171">
            <v>-0.6512249816180794</v>
          </cell>
        </row>
        <row r="172">
          <cell r="C172">
            <v>497.34633823957131</v>
          </cell>
          <cell r="D172">
            <v>528.01406223816502</v>
          </cell>
          <cell r="E172">
            <v>-5.8081263723542255E-2</v>
          </cell>
          <cell r="G172">
            <v>117.25733823957131</v>
          </cell>
          <cell r="H172">
            <v>189.97206223816499</v>
          </cell>
          <cell r="I172">
            <v>-0.38276535582075416</v>
          </cell>
        </row>
        <row r="173">
          <cell r="C173">
            <v>171.70947313317109</v>
          </cell>
          <cell r="D173">
            <v>158.04160656081359</v>
          </cell>
          <cell r="E173">
            <v>8.6482710912573341E-2</v>
          </cell>
          <cell r="G173">
            <v>-4.205498759305982</v>
          </cell>
          <cell r="H173">
            <v>21.606777078743562</v>
          </cell>
          <cell r="I173">
            <v>-1.1946379482687073</v>
          </cell>
        </row>
        <row r="174">
          <cell r="C174">
            <v>31.419026989999665</v>
          </cell>
          <cell r="D174">
            <v>20.412606560813614</v>
          </cell>
          <cell r="E174">
            <v>0.53919720621643885</v>
          </cell>
          <cell r="G174">
            <v>-38.323944902477407</v>
          </cell>
          <cell r="H174">
            <v>-32.676222921256411</v>
          </cell>
          <cell r="I174">
            <v>-0.17283888639243744</v>
          </cell>
        </row>
        <row r="175">
          <cell r="C175">
            <v>140.29044614317144</v>
          </cell>
          <cell r="D175">
            <v>137.62899999999996</v>
          </cell>
          <cell r="E175">
            <v>1.9337829550250856E-2</v>
          </cell>
          <cell r="G175">
            <v>34.11844614317144</v>
          </cell>
          <cell r="H175">
            <v>54.282999999999959</v>
          </cell>
          <cell r="I175">
            <v>-0.37147088143301832</v>
          </cell>
        </row>
        <row r="176">
          <cell r="C176">
            <v>0.96180199999999905</v>
          </cell>
          <cell r="D176">
            <v>1.0547149999999998</v>
          </cell>
          <cell r="E176">
            <v>-8.8092991945692256E-2</v>
          </cell>
          <cell r="G176">
            <v>-0.66419800000000107</v>
          </cell>
          <cell r="H176">
            <v>-0.57128500000000026</v>
          </cell>
          <cell r="I176">
            <v>-0.16263861295150539</v>
          </cell>
        </row>
        <row r="177">
          <cell r="C177">
            <v>139.32864414317143</v>
          </cell>
          <cell r="D177">
            <v>136.57428499999997</v>
          </cell>
          <cell r="E177">
            <v>2.0167479867615315E-2</v>
          </cell>
          <cell r="G177">
            <v>34.782644143171439</v>
          </cell>
          <cell r="H177">
            <v>54.854284999999976</v>
          </cell>
          <cell r="I177">
            <v>-0.36590834894354279</v>
          </cell>
        </row>
        <row r="178">
          <cell r="C178">
            <v>0.26712074742292913</v>
          </cell>
          <cell r="D178">
            <v>0.24253217540087937</v>
          </cell>
          <cell r="G178">
            <v>-4.3027516162021662E-2</v>
          </cell>
          <cell r="H178">
            <v>0.1248569019702976</v>
          </cell>
        </row>
        <row r="179">
          <cell r="C179">
            <v>95.207976206333598</v>
          </cell>
          <cell r="D179">
            <v>87.007299650873406</v>
          </cell>
          <cell r="E179">
            <v>9.4252741877593374E-2</v>
          </cell>
          <cell r="G179">
            <v>-3.7465826305219707</v>
          </cell>
          <cell r="H179">
            <v>16.790272910806294</v>
          </cell>
          <cell r="I179">
            <v>-1.2231400674917352</v>
          </cell>
        </row>
        <row r="180">
          <cell r="C180">
            <v>0.14811079028316748</v>
          </cell>
          <cell r="D180">
            <v>0.13352224214427061</v>
          </cell>
          <cell r="G180">
            <v>-3.8332229757627366E-2</v>
          </cell>
          <cell r="H180">
            <v>9.7024255456473182E-2</v>
          </cell>
        </row>
        <row r="182">
          <cell r="C182">
            <v>671.39320168553115</v>
          </cell>
          <cell r="D182">
            <v>651.63150538516368</v>
          </cell>
          <cell r="E182">
            <v>3.0326489951842971E-2</v>
          </cell>
          <cell r="G182">
            <v>119.68236090594098</v>
          </cell>
          <cell r="H182">
            <v>173.05232420297943</v>
          </cell>
          <cell r="I182">
            <v>-0.30840362036651331</v>
          </cell>
        </row>
        <row r="183">
          <cell r="C183">
            <v>139.63301521191764</v>
          </cell>
          <cell r="D183">
            <v>116.43910514699866</v>
          </cell>
          <cell r="E183">
            <v>0.19919347572825991</v>
          </cell>
          <cell r="G183">
            <v>-19.784168229020025</v>
          </cell>
          <cell r="H183">
            <v>-17.684076035185598</v>
          </cell>
          <cell r="I183">
            <v>-0.11875611650028663</v>
          </cell>
        </row>
        <row r="184">
          <cell r="C184">
            <v>531.76018647361354</v>
          </cell>
          <cell r="D184">
            <v>535.19240023816508</v>
          </cell>
          <cell r="E184">
            <v>-6.4130465287327888E-3</v>
          </cell>
          <cell r="G184">
            <v>139.46652913496104</v>
          </cell>
          <cell r="H184">
            <v>190.73640023816506</v>
          </cell>
          <cell r="I184">
            <v>-0.26879961580057793</v>
          </cell>
        </row>
        <row r="185">
          <cell r="C185">
            <v>5.8365820000000008</v>
          </cell>
          <cell r="D185">
            <v>7.1783380000000001</v>
          </cell>
          <cell r="E185">
            <v>-0.18691736165112305</v>
          </cell>
          <cell r="G185">
            <v>0.26658200000000054</v>
          </cell>
          <cell r="H185">
            <v>0.76433800000000041</v>
          </cell>
          <cell r="I185">
            <v>-0.6512249816180794</v>
          </cell>
        </row>
        <row r="186">
          <cell r="C186">
            <v>525.92360447361352</v>
          </cell>
          <cell r="D186">
            <v>528.01406223816502</v>
          </cell>
          <cell r="E186">
            <v>-3.9590948689707129E-3</v>
          </cell>
          <cell r="G186">
            <v>139.19994713496101</v>
          </cell>
          <cell r="H186">
            <v>189.97206223816499</v>
          </cell>
          <cell r="I186">
            <v>-0.26726095671663436</v>
          </cell>
        </row>
        <row r="187">
          <cell r="C187">
            <v>175.22470337990416</v>
          </cell>
          <cell r="D187">
            <v>158.04160656081359</v>
          </cell>
          <cell r="E187">
            <v>0.10872514645362454</v>
          </cell>
          <cell r="G187">
            <v>2.4382363619649823</v>
          </cell>
          <cell r="H187">
            <v>21.606777078743562</v>
          </cell>
          <cell r="I187">
            <v>-0.88715409276084567</v>
          </cell>
        </row>
        <row r="188">
          <cell r="C188">
            <v>31.419026989999665</v>
          </cell>
          <cell r="D188">
            <v>20.412606560813614</v>
          </cell>
          <cell r="E188">
            <v>0.53919720621643885</v>
          </cell>
          <cell r="G188">
            <v>-38.323944902477407</v>
          </cell>
          <cell r="H188">
            <v>-32.676222921256411</v>
          </cell>
          <cell r="I188">
            <v>-0.17283888639243744</v>
          </cell>
        </row>
        <row r="189">
          <cell r="C189">
            <v>143.80567638990451</v>
          </cell>
          <cell r="D189">
            <v>137.62899999999996</v>
          </cell>
          <cell r="E189">
            <v>4.4879178006848444E-2</v>
          </cell>
          <cell r="G189">
            <v>40.76218126444239</v>
          </cell>
          <cell r="H189">
            <v>54.282999999999959</v>
          </cell>
          <cell r="I189">
            <v>-0.24908016755812279</v>
          </cell>
        </row>
        <row r="190">
          <cell r="C190">
            <v>0.96180199999999905</v>
          </cell>
          <cell r="D190">
            <v>1.0547149999999998</v>
          </cell>
          <cell r="E190">
            <v>-8.8092991945692256E-2</v>
          </cell>
          <cell r="G190">
            <v>-0.66419800000000107</v>
          </cell>
          <cell r="H190">
            <v>-0.57128500000000026</v>
          </cell>
          <cell r="I190">
            <v>-0.16263861295150539</v>
          </cell>
        </row>
        <row r="191">
          <cell r="C191">
            <v>142.8438743899045</v>
          </cell>
          <cell r="D191">
            <v>136.57428499999997</v>
          </cell>
          <cell r="E191">
            <v>4.5906075143681155E-2</v>
          </cell>
          <cell r="G191">
            <v>41.426379264442389</v>
          </cell>
          <cell r="H191">
            <v>54.854284999999976</v>
          </cell>
          <cell r="I191">
            <v>-0.24479228442331522</v>
          </cell>
        </row>
        <row r="192">
          <cell r="C192">
            <v>0.26098671082757902</v>
          </cell>
          <cell r="D192">
            <v>0.24253217540087937</v>
          </cell>
          <cell r="G192">
            <v>2.0372562368494766E-2</v>
          </cell>
          <cell r="H192">
            <v>0.1248569019702976</v>
          </cell>
        </row>
        <row r="193">
          <cell r="C193">
            <v>95.970171264183733</v>
          </cell>
          <cell r="D193">
            <v>87.007299650873406</v>
          </cell>
          <cell r="E193">
            <v>0.10301286960145711</v>
          </cell>
          <cell r="G193">
            <v>0.11482371776143907</v>
          </cell>
          <cell r="H193">
            <v>16.790272910806294</v>
          </cell>
          <cell r="I193">
            <v>-0.9931612953302541</v>
          </cell>
        </row>
        <row r="194">
          <cell r="C194">
            <v>0.14294182756580023</v>
          </cell>
          <cell r="D194">
            <v>0.13352224214427061</v>
          </cell>
          <cell r="G194">
            <v>9.5940384942505986E-4</v>
          </cell>
          <cell r="H194">
            <v>9.7024255456473182E-2</v>
          </cell>
        </row>
        <row r="214">
          <cell r="C214">
            <v>174.38623621819801</v>
          </cell>
          <cell r="D214">
            <v>179.772622629122</v>
          </cell>
          <cell r="E214">
            <v>-2.9962217450853555E-2</v>
          </cell>
          <cell r="G214">
            <v>53.219084336139517</v>
          </cell>
          <cell r="H214">
            <v>51.431876339328198</v>
          </cell>
          <cell r="I214">
            <v>3.4749033556932506E-2</v>
          </cell>
        </row>
        <row r="215">
          <cell r="C215">
            <v>116.57436237</v>
          </cell>
          <cell r="D215">
            <v>114.12568539000006</v>
          </cell>
          <cell r="E215">
            <v>2.1455967354168489E-2</v>
          </cell>
          <cell r="G215">
            <v>34.40041801000001</v>
          </cell>
          <cell r="H215">
            <v>32.740779340000003</v>
          </cell>
          <cell r="I215">
            <v>5.0690261608171194E-2</v>
          </cell>
        </row>
        <row r="216">
          <cell r="C216">
            <v>57.811873848198005</v>
          </cell>
          <cell r="D216">
            <v>65.646937239121939</v>
          </cell>
          <cell r="E216">
            <v>-0.11935154510536207</v>
          </cell>
          <cell r="G216">
            <v>18.818666326139507</v>
          </cell>
          <cell r="H216">
            <v>18.691096999328195</v>
          </cell>
          <cell r="I216">
            <v>6.8251385574584931E-3</v>
          </cell>
        </row>
        <row r="217">
          <cell r="C217">
            <v>132.9902764595968</v>
          </cell>
          <cell r="D217">
            <v>137.65960318236688</v>
          </cell>
          <cell r="E217">
            <v>-3.3919367881544094E-2</v>
          </cell>
          <cell r="G217">
            <v>34.038671701847733</v>
          </cell>
          <cell r="H217">
            <v>33.329884033315125</v>
          </cell>
          <cell r="I217">
            <v>2.1265830622876881E-2</v>
          </cell>
        </row>
        <row r="218">
          <cell r="C218">
            <v>41.395959758601201</v>
          </cell>
          <cell r="D218">
            <v>42.113019446755125</v>
          </cell>
          <cell r="E218">
            <v>-1.7027031012595194E-2</v>
          </cell>
          <cell r="G218">
            <v>19.18041263429177</v>
          </cell>
          <cell r="H218">
            <v>18.101992306013074</v>
          </cell>
          <cell r="I218">
            <v>5.9574676093551826E-2</v>
          </cell>
        </row>
        <row r="219">
          <cell r="C219">
            <v>0.237380888861006</v>
          </cell>
          <cell r="D219">
            <v>0.2342571345450967</v>
          </cell>
          <cell r="G219">
            <v>0.36040478474123078</v>
          </cell>
          <cell r="H219">
            <v>0.35196056598407821</v>
          </cell>
        </row>
        <row r="220">
          <cell r="C220">
            <v>30.9573243714364</v>
          </cell>
          <cell r="D220">
            <v>32.434863086755129</v>
          </cell>
          <cell r="E220">
            <v>-4.5554029667604391E-2</v>
          </cell>
          <cell r="G220">
            <v>14.865604397126976</v>
          </cell>
          <cell r="H220">
            <v>15.085872286013082</v>
          </cell>
          <cell r="I220">
            <v>-1.4600938196349968E-2</v>
          </cell>
        </row>
        <row r="221">
          <cell r="C221">
            <v>0.17752160401410086</v>
          </cell>
          <cell r="D221">
            <v>0.18042159374661584</v>
          </cell>
          <cell r="G221">
            <v>0.27932845111038823</v>
          </cell>
          <cell r="H221">
            <v>0.29331755634350504</v>
          </cell>
        </row>
        <row r="223">
          <cell r="C223">
            <v>0.77888552000000011</v>
          </cell>
          <cell r="D223">
            <v>1.7088330500000009</v>
          </cell>
          <cell r="G223">
            <v>2.2583609999999643E-2</v>
          </cell>
          <cell r="H223">
            <v>0.30877801999999988</v>
          </cell>
        </row>
        <row r="224">
          <cell r="C224">
            <v>0.77888552000000011</v>
          </cell>
          <cell r="D224">
            <v>1.7088330500000009</v>
          </cell>
          <cell r="G224">
            <v>2.2583609999999643E-2</v>
          </cell>
          <cell r="H224">
            <v>0.30877801999999988</v>
          </cell>
        </row>
        <row r="226">
          <cell r="C226">
            <v>42.174845278601204</v>
          </cell>
          <cell r="D226">
            <v>43.821852496755128</v>
          </cell>
          <cell r="E226">
            <v>-3.7584153209312167E-2</v>
          </cell>
          <cell r="G226">
            <v>19.202996244291771</v>
          </cell>
          <cell r="H226">
            <v>18.410770326013076</v>
          </cell>
          <cell r="I226">
            <v>4.3030568751343257E-2</v>
          </cell>
        </row>
        <row r="227">
          <cell r="C227">
            <v>0.24184732805306147</v>
          </cell>
          <cell r="D227">
            <v>0.24376265894035121</v>
          </cell>
          <cell r="G227">
            <v>0.36082913646170311</v>
          </cell>
          <cell r="H227">
            <v>0.35796419723336032</v>
          </cell>
        </row>
        <row r="228">
          <cell r="C228">
            <v>32.126209891436403</v>
          </cell>
          <cell r="D228">
            <v>34.143696136755125</v>
          </cell>
          <cell r="E228">
            <v>-5.908810332771592E-2</v>
          </cell>
          <cell r="G228">
            <v>15.278188007126978</v>
          </cell>
          <cell r="H228">
            <v>15.39465030601308</v>
          </cell>
          <cell r="I228">
            <v>-7.5651149309063741E-3</v>
          </cell>
        </row>
        <row r="229">
          <cell r="C229">
            <v>0.18422445823785652</v>
          </cell>
          <cell r="D229">
            <v>0.18992711814187033</v>
          </cell>
          <cell r="G229">
            <v>0.28708100106773182</v>
          </cell>
          <cell r="H229">
            <v>0.29932118759278703</v>
          </cell>
        </row>
      </sheetData>
      <sheetData sheetId="3"/>
      <sheetData sheetId="4"/>
      <sheetData sheetId="5"/>
      <sheetData sheetId="6"/>
      <sheetData sheetId="7">
        <row r="14">
          <cell r="R14">
            <v>2015</v>
          </cell>
        </row>
        <row r="17">
          <cell r="R17">
            <v>2014</v>
          </cell>
        </row>
      </sheetData>
      <sheetData sheetId="8">
        <row r="14">
          <cell r="S14">
            <v>1374.0619999999999</v>
          </cell>
          <cell r="T14">
            <v>1454.7280000000001</v>
          </cell>
          <cell r="U14">
            <v>-5.54509159100534</v>
          </cell>
          <cell r="V14">
            <v>312.30699999999979</v>
          </cell>
          <cell r="W14">
            <v>385.98099999999999</v>
          </cell>
          <cell r="X14">
            <v>-19.087468035991463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H107"/>
  <sheetViews>
    <sheetView tabSelected="1" topLeftCell="F10" workbookViewId="0">
      <selection activeCell="Q32" sqref="Q32"/>
    </sheetView>
  </sheetViews>
  <sheetFormatPr baseColWidth="10" defaultRowHeight="15" x14ac:dyDescent="0.25"/>
  <cols>
    <col min="1" max="1" width="18.5703125" style="2" bestFit="1" customWidth="1"/>
    <col min="2" max="2" width="49" style="2" customWidth="1"/>
    <col min="3" max="3" width="11.42578125" style="2"/>
    <col min="4" max="4" width="19.28515625" style="2" bestFit="1" customWidth="1"/>
    <col min="5" max="5" width="7.140625" style="2" bestFit="1" customWidth="1"/>
    <col min="6" max="9" width="11.42578125" style="2"/>
    <col min="10" max="10" width="36.7109375" style="2" bestFit="1" customWidth="1"/>
    <col min="11" max="17" width="11.42578125" style="2"/>
    <col min="18" max="18" width="44.42578125" style="2" bestFit="1" customWidth="1"/>
    <col min="19" max="25" width="11.42578125" style="2"/>
    <col min="26" max="26" width="49.28515625" style="2" customWidth="1"/>
    <col min="27" max="29" width="11.42578125" style="2"/>
    <col min="30" max="30" width="2.42578125" style="2" customWidth="1"/>
    <col min="31" max="34" width="11.42578125" style="2"/>
    <col min="35" max="35" width="49.7109375" style="2" customWidth="1"/>
    <col min="36" max="38" width="11.42578125" style="2"/>
    <col min="39" max="39" width="2.140625" style="2" customWidth="1"/>
    <col min="40" max="43" width="11.42578125" style="2"/>
    <col min="44" max="44" width="48.85546875" style="2" customWidth="1"/>
    <col min="45" max="47" width="11.42578125" style="2"/>
    <col min="48" max="48" width="2.42578125" style="2" customWidth="1"/>
    <col min="49" max="52" width="11.42578125" style="2"/>
    <col min="53" max="53" width="34" style="2" customWidth="1"/>
    <col min="54" max="56" width="11.42578125" style="2"/>
    <col min="57" max="57" width="3" style="2" customWidth="1"/>
    <col min="58" max="16384" width="11.42578125" style="2"/>
  </cols>
  <sheetData>
    <row r="5" spans="1:60" ht="15.75" thickBot="1" x14ac:dyDescent="0.3"/>
    <row r="6" spans="1:60" ht="15.75" thickBot="1" x14ac:dyDescent="0.3">
      <c r="A6" s="2" t="s">
        <v>7</v>
      </c>
      <c r="B6" s="213" t="s">
        <v>3</v>
      </c>
    </row>
    <row r="7" spans="1:60" x14ac:dyDescent="0.25">
      <c r="A7" s="2" t="s">
        <v>8</v>
      </c>
    </row>
    <row r="8" spans="1:60" x14ac:dyDescent="0.25">
      <c r="A8" s="2" t="s">
        <v>9</v>
      </c>
    </row>
    <row r="10" spans="1:60" ht="16.5" customHeight="1" x14ac:dyDescent="0.25">
      <c r="B10" s="22" t="str">
        <f>+IF($B$6="esp","CUENTA DE PÉRDIDAS Y GANANCIAS CONSOLIDADA","Consolidated P&amp;L ")</f>
        <v>CUENTA DE PÉRDIDAS Y GANANCIAS CONSOLIDADA</v>
      </c>
      <c r="C10" s="214"/>
      <c r="D10" s="76" t="str">
        <f>+IF($B$6="esp","ENERO-DICIEMBRE","JANUARY-DECEMBER")</f>
        <v>ENERO-DICIEMBRE</v>
      </c>
      <c r="E10" s="76"/>
      <c r="F10" s="77"/>
      <c r="G10" s="76" t="str">
        <f>+IF($B$6="esp","OCTUBRE-DICIEMBRE","OCTOBER-DECEMBER")</f>
        <v>OCTUBRE-DICIEMBRE</v>
      </c>
      <c r="H10" s="76"/>
      <c r="J10" s="22" t="str">
        <f>+IF($B$6="esp","Millones de euros","Eur Million")</f>
        <v>Millones de euros</v>
      </c>
      <c r="K10" s="76"/>
      <c r="L10" s="76" t="str">
        <f>+IF($B$6="esp","ENERO-DICIEMBRE","JANUARY-DECEMBER")</f>
        <v>ENERO-DICIEMBRE</v>
      </c>
      <c r="M10" s="76"/>
      <c r="N10" s="77"/>
      <c r="O10" s="76" t="str">
        <f>+IF($B$6="esp","OCTUBRE-DICIEMBRE","OCTOBER-DECEMBER")</f>
        <v>OCTUBRE-DICIEMBRE</v>
      </c>
      <c r="P10" s="76"/>
      <c r="R10" s="22" t="str">
        <f>+IF($B$6="esp","Resultados Operativos del Grupo","Group Operating Results")</f>
        <v>Resultados Operativos del Grupo</v>
      </c>
      <c r="S10" s="76"/>
      <c r="T10" s="76" t="str">
        <f>+IF($B$6="esp","ENERO-DICIEMBRE","JANUARY-DECEMBER")</f>
        <v>ENERO-DICIEMBRE</v>
      </c>
      <c r="U10" s="76"/>
      <c r="V10" s="77"/>
      <c r="W10" s="76" t="str">
        <f>+IF($B$6="esp","OCTUBRE-DICIEMBRE","OCTOBER-DECEMBER")</f>
        <v>OCTUBRE-DICIEMBRE</v>
      </c>
      <c r="X10" s="76"/>
      <c r="Z10" s="39" t="str">
        <f>+IF($B$6="esp","EDUCACIÓN","EDUCATION")</f>
        <v>EDUCACIÓN</v>
      </c>
      <c r="AA10" s="76"/>
      <c r="AB10" s="76" t="str">
        <f>+T10</f>
        <v>ENERO-DICIEMBRE</v>
      </c>
      <c r="AC10" s="76"/>
      <c r="AD10" s="36"/>
      <c r="AE10" s="78"/>
      <c r="AF10" s="76" t="str">
        <f>+W10</f>
        <v>OCTUBRE-DICIEMBRE</v>
      </c>
      <c r="AG10" s="76"/>
      <c r="AI10" s="39" t="str">
        <f>+IF($B$6="esp","RADIO","RADIO")</f>
        <v>RADIO</v>
      </c>
      <c r="AJ10" s="76"/>
      <c r="AK10" s="76" t="str">
        <f>+AB10</f>
        <v>ENERO-DICIEMBRE</v>
      </c>
      <c r="AL10" s="76"/>
      <c r="AM10" s="36"/>
      <c r="AN10" s="76"/>
      <c r="AO10" s="76" t="str">
        <f>+AF10</f>
        <v>OCTUBRE-DICIEMBRE</v>
      </c>
      <c r="AP10" s="76"/>
      <c r="AR10" s="39" t="str">
        <f>+IF($B$6="esp","PRENSA","PRESS")</f>
        <v>PRENSA</v>
      </c>
      <c r="AS10" s="76"/>
      <c r="AT10" s="76" t="str">
        <f>+AK10</f>
        <v>ENERO-DICIEMBRE</v>
      </c>
      <c r="AU10" s="76"/>
      <c r="AV10" s="36"/>
      <c r="AW10" s="76"/>
      <c r="AX10" s="76" t="str">
        <f>+AO10</f>
        <v>OCTUBRE-DICIEMBRE</v>
      </c>
      <c r="AY10" s="76"/>
      <c r="BA10" s="39" t="s">
        <v>2</v>
      </c>
      <c r="BB10" s="76"/>
      <c r="BC10" s="76" t="str">
        <f>+AT10</f>
        <v>ENERO-DICIEMBRE</v>
      </c>
      <c r="BD10" s="76"/>
      <c r="BE10" s="36"/>
      <c r="BF10" s="76"/>
      <c r="BG10" s="76" t="str">
        <f>+AX10</f>
        <v>OCTUBRE-DICIEMBRE</v>
      </c>
      <c r="BH10" s="76"/>
    </row>
    <row r="11" spans="1:60" x14ac:dyDescent="0.25">
      <c r="B11" s="4" t="str">
        <f>+IF($B$6="esp","Millones de euros","Eur Million")</f>
        <v>Millones de euros</v>
      </c>
      <c r="C11" s="3"/>
      <c r="D11" s="3"/>
      <c r="E11" s="3"/>
      <c r="F11" s="3"/>
      <c r="G11" s="3"/>
      <c r="H11" s="3"/>
      <c r="J11" s="3"/>
      <c r="K11" s="3"/>
      <c r="L11" s="3"/>
      <c r="M11" s="3"/>
      <c r="N11" s="3"/>
      <c r="O11" s="3"/>
      <c r="P11" s="3"/>
      <c r="R11" s="3"/>
      <c r="S11" s="3"/>
      <c r="T11" s="3"/>
      <c r="U11" s="3"/>
      <c r="V11" s="3"/>
      <c r="W11" s="3"/>
      <c r="X11" s="3"/>
      <c r="Z11" s="4" t="str">
        <f>+IF($B$6="esp","Millones de euros","Eur Million")</f>
        <v>Millones de euros</v>
      </c>
      <c r="AA11" s="37"/>
      <c r="AB11" s="37"/>
      <c r="AC11" s="38"/>
      <c r="AD11" s="38"/>
      <c r="AE11" s="37"/>
      <c r="AF11" s="37"/>
      <c r="AG11" s="38"/>
      <c r="AI11" s="39" t="str">
        <f>+IF($B$6="esp","Millones de euros","Eur Million")</f>
        <v>Millones de euros</v>
      </c>
      <c r="AJ11" s="37"/>
      <c r="AK11" s="37"/>
      <c r="AL11" s="38"/>
      <c r="AM11" s="38"/>
      <c r="AN11" s="37"/>
      <c r="AO11" s="37"/>
      <c r="AP11" s="38"/>
      <c r="AR11" s="39" t="str">
        <f>+IF($B$6="esp","Millones de euros","Eur Million")</f>
        <v>Millones de euros</v>
      </c>
      <c r="AS11" s="37"/>
      <c r="AT11" s="37"/>
      <c r="AU11" s="38"/>
      <c r="AV11" s="38"/>
      <c r="AW11" s="37"/>
      <c r="AX11" s="37"/>
      <c r="AY11" s="38"/>
      <c r="BA11" s="39" t="str">
        <f>+IF($B$6="esp","Millones de euros","Eur Million")</f>
        <v>Millones de euros</v>
      </c>
      <c r="BB11" s="37"/>
      <c r="BC11" s="37"/>
      <c r="BD11" s="38"/>
      <c r="BE11" s="38"/>
      <c r="BF11" s="37"/>
      <c r="BG11" s="37"/>
      <c r="BH11" s="38"/>
    </row>
    <row r="12" spans="1:60" ht="15.75" customHeight="1" x14ac:dyDescent="0.25">
      <c r="C12" s="5">
        <f>+[1]inicializar!$R$14</f>
        <v>2015</v>
      </c>
      <c r="D12" s="5">
        <f>+[1]inicializar!$R$17</f>
        <v>2014</v>
      </c>
      <c r="E12" s="6" t="str">
        <f>+IF($B$6="ESP","Var. %","% Chg.")</f>
        <v>Var. %</v>
      </c>
      <c r="F12" s="7">
        <f>+C12</f>
        <v>2015</v>
      </c>
      <c r="G12" s="5">
        <f>+D12</f>
        <v>2014</v>
      </c>
      <c r="H12" s="5" t="str">
        <f>+E12</f>
        <v>Var. %</v>
      </c>
      <c r="K12" s="5">
        <f>+[1]inicializar!$R$14</f>
        <v>2015</v>
      </c>
      <c r="L12" s="5">
        <f>+[1]inicializar!$R$17</f>
        <v>2014</v>
      </c>
      <c r="M12" s="6" t="str">
        <f>+$E$12</f>
        <v>Var. %</v>
      </c>
      <c r="N12" s="7">
        <f>+K12</f>
        <v>2015</v>
      </c>
      <c r="O12" s="5">
        <f>+L12</f>
        <v>2014</v>
      </c>
      <c r="P12" s="5" t="str">
        <f>+M12</f>
        <v>Var. %</v>
      </c>
      <c r="R12" s="22" t="str">
        <f>+IF($B$6="esp","Millones de euros","Eur Million")</f>
        <v>Millones de euros</v>
      </c>
      <c r="S12" s="5">
        <f>+[1]inicializar!$R$14</f>
        <v>2015</v>
      </c>
      <c r="T12" s="5">
        <f>+[1]inicializar!$R$17</f>
        <v>2014</v>
      </c>
      <c r="U12" s="6" t="str">
        <f>+$E$12</f>
        <v>Var. %</v>
      </c>
      <c r="V12" s="7">
        <f>+S12</f>
        <v>2015</v>
      </c>
      <c r="W12" s="5">
        <f>+T12</f>
        <v>2014</v>
      </c>
      <c r="X12" s="5" t="str">
        <f>+U12</f>
        <v>Var. %</v>
      </c>
      <c r="AA12" s="40">
        <f>+$C$12</f>
        <v>2015</v>
      </c>
      <c r="AB12" s="40">
        <f>+$D$12</f>
        <v>2014</v>
      </c>
      <c r="AC12" s="41" t="str">
        <f>+$E$12</f>
        <v>Var. %</v>
      </c>
      <c r="AD12" s="42"/>
      <c r="AE12" s="40">
        <f>+AA12</f>
        <v>2015</v>
      </c>
      <c r="AF12" s="40">
        <f>+AB12</f>
        <v>2014</v>
      </c>
      <c r="AG12" s="41" t="str">
        <f>+AC12</f>
        <v>Var. %</v>
      </c>
      <c r="AJ12" s="40">
        <f>+$C$12</f>
        <v>2015</v>
      </c>
      <c r="AK12" s="40">
        <f>+$D$12</f>
        <v>2014</v>
      </c>
      <c r="AL12" s="40" t="str">
        <f>+$E$12</f>
        <v>Var. %</v>
      </c>
      <c r="AM12" s="42"/>
      <c r="AN12" s="40">
        <f>+AJ12</f>
        <v>2015</v>
      </c>
      <c r="AO12" s="40">
        <f>+AK12</f>
        <v>2014</v>
      </c>
      <c r="AP12" s="41" t="str">
        <f>+AL12</f>
        <v>Var. %</v>
      </c>
      <c r="AS12" s="40">
        <f>+$C$12</f>
        <v>2015</v>
      </c>
      <c r="AT12" s="40">
        <f>+$D$12</f>
        <v>2014</v>
      </c>
      <c r="AU12" s="40" t="str">
        <f>+$E$12</f>
        <v>Var. %</v>
      </c>
      <c r="AV12" s="42"/>
      <c r="AW12" s="40">
        <f>+$C$12</f>
        <v>2015</v>
      </c>
      <c r="AX12" s="40">
        <f>+$D$12</f>
        <v>2014</v>
      </c>
      <c r="AY12" s="40" t="str">
        <f>+$E$12</f>
        <v>Var. %</v>
      </c>
      <c r="BA12" s="4"/>
      <c r="BB12" s="40">
        <f>+$C$12</f>
        <v>2015</v>
      </c>
      <c r="BC12" s="40">
        <f>+$D$12</f>
        <v>2014</v>
      </c>
      <c r="BD12" s="40" t="str">
        <f>+$E$12</f>
        <v>Var. %</v>
      </c>
      <c r="BE12" s="42"/>
      <c r="BF12" s="40">
        <f>+$C$12</f>
        <v>2015</v>
      </c>
      <c r="BG12" s="40">
        <f>+$D$12</f>
        <v>2014</v>
      </c>
      <c r="BH12" s="40" t="str">
        <f>+$E$12</f>
        <v>Var. %</v>
      </c>
    </row>
    <row r="13" spans="1:60" x14ac:dyDescent="0.25">
      <c r="B13" s="22" t="str">
        <f>+IF($B$6="esp","Resultados de explotación ajustados","Operating adjusted results")</f>
        <v>Resultados de explotación ajustados</v>
      </c>
      <c r="J13" s="22" t="str">
        <f>+IF($B$6="esp","Resultados de explotación ajustados","Adjusted operating results")</f>
        <v>Resultados de explotación ajustados</v>
      </c>
      <c r="K13" s="16"/>
      <c r="L13" s="16"/>
      <c r="M13" s="16"/>
      <c r="N13" s="16"/>
      <c r="O13" s="16"/>
      <c r="P13" s="16"/>
      <c r="R13" s="3"/>
      <c r="S13" s="16"/>
      <c r="T13" s="16"/>
      <c r="U13" s="16"/>
      <c r="V13" s="16"/>
      <c r="W13" s="16"/>
      <c r="X13" s="16"/>
      <c r="Z13" s="22" t="str">
        <f>+IF($B$6="esp","Resultados de explotación ajustados","Adjusted operating results")</f>
        <v>Resultados de explotación ajustados</v>
      </c>
      <c r="AI13" s="22" t="str">
        <f>+IF($B$6="esp","Resultados de explotación ajustados","Adjusted operating results")</f>
        <v>Resultados de explotación ajustados</v>
      </c>
      <c r="AR13" s="22" t="str">
        <f>+IF($B$6="esp","Resultados de explotación ajustados","Adjusted operating results")</f>
        <v>Resultados de explotación ajustados</v>
      </c>
      <c r="BA13" s="22" t="str">
        <f>+IF($B$6="esp","Resultados de explotación ajustados","Adjusted operating results")</f>
        <v>Resultados de explotación ajustados</v>
      </c>
    </row>
    <row r="14" spans="1:60" x14ac:dyDescent="0.25">
      <c r="B14" s="17" t="str">
        <f>+IF($B$6="esp","Ingresos de explotación ajustados","Adjusted Operating Revenues")</f>
        <v>Ingresos de explotación ajustados</v>
      </c>
      <c r="C14" s="32">
        <f>+[1]tablas_FMA!S14</f>
        <v>1374.0619999999999</v>
      </c>
      <c r="D14" s="32">
        <f>+[1]tablas_FMA!T14</f>
        <v>1454.7280000000001</v>
      </c>
      <c r="E14" s="32">
        <f>+[1]tablas_FMA!U14</f>
        <v>-5.54509159100534</v>
      </c>
      <c r="F14" s="32">
        <f>+[1]tablas_FMA!V14</f>
        <v>312.30699999999979</v>
      </c>
      <c r="G14" s="32">
        <f>+[1]tablas_FMA!W14</f>
        <v>385.98099999999999</v>
      </c>
      <c r="H14" s="32">
        <f>+[1]tablas_FMA!X14</f>
        <v>-19.087468035991463</v>
      </c>
      <c r="J14" s="34" t="str">
        <f>+IF($B$6="esp","Ingresos de explotación ajustados","Adjusted Operating Revenues")</f>
        <v>Ingresos de explotación ajustados</v>
      </c>
      <c r="K14" s="80">
        <f>+[1]ConsPL_MainOp!C141</f>
        <v>1397.566</v>
      </c>
      <c r="L14" s="80">
        <f>+[1]ConsPL_MainOp!D141</f>
        <v>1412.8689999999999</v>
      </c>
      <c r="M14" s="80">
        <f>+[1]ConsPL_MainOp!E141</f>
        <v>-1.0831152782034206</v>
      </c>
      <c r="N14" s="80">
        <f>+[1]ConsPL_MainOp!F141</f>
        <v>319.52500000000009</v>
      </c>
      <c r="O14" s="80">
        <f>+[1]ConsPL_MainOp!G141</f>
        <v>395.90699999999993</v>
      </c>
      <c r="P14" s="80">
        <f>+[1]ConsPL_MainOp!H141</f>
        <v>-19.292914750181193</v>
      </c>
      <c r="R14" s="23" t="str">
        <f>+IF($B$6="esp","Ingresos de explotación","Operating Revenues")</f>
        <v>Ingresos de explotación</v>
      </c>
      <c r="S14" s="81">
        <f>+[1]ConsPL_MainOp!C87</f>
        <v>1374.0619999999999</v>
      </c>
      <c r="T14" s="81">
        <f>+[1]ConsPL_MainOp!D87</f>
        <v>1454.7280000000001</v>
      </c>
      <c r="U14" s="27">
        <f>+[1]ConsPL_MainOp!E87</f>
        <v>-5.54509159100534</v>
      </c>
      <c r="V14" s="81">
        <f>+[1]ConsPL_MainOp!F87</f>
        <v>312.30699999999979</v>
      </c>
      <c r="W14" s="81">
        <f>+[1]ConsPL_MainOp!G87</f>
        <v>385.98099999999999</v>
      </c>
      <c r="X14" s="27">
        <f>+[1]ConsPL_MainOp!H87</f>
        <v>-19.087468035991463</v>
      </c>
      <c r="Z14" s="65" t="str">
        <f>+IF($B$6="esp","Ingresos ajustados","Adjusted Revenue")</f>
        <v>Ingresos ajustados</v>
      </c>
      <c r="AA14" s="82">
        <f>+[1]UN!C168</f>
        <v>642.81593545148894</v>
      </c>
      <c r="AB14" s="82">
        <f>+[1]UN!D168</f>
        <v>651.63150538516368</v>
      </c>
      <c r="AC14" s="66">
        <f>+[1]UN!E168</f>
        <v>-1.3528458739059994E-2</v>
      </c>
      <c r="AD14" s="45"/>
      <c r="AE14" s="82">
        <f>+[1]UN!G168</f>
        <v>97.739752010551229</v>
      </c>
      <c r="AF14" s="82">
        <f>+[1]UN!H168</f>
        <v>173.05232420297943</v>
      </c>
      <c r="AG14" s="66">
        <f>+[1]UN!I168</f>
        <v>-0.43520115976073986</v>
      </c>
      <c r="AI14" s="65" t="str">
        <f>+IF($B$6="esp","Ingresos ajustados","Adjusted Revenues")</f>
        <v>Ingresos ajustados</v>
      </c>
      <c r="AJ14" s="82">
        <f>+[1]UN!C86</f>
        <v>338.26814242141256</v>
      </c>
      <c r="AK14" s="82">
        <f>+[1]UN!D86</f>
        <v>330.24259399581996</v>
      </c>
      <c r="AL14" s="66">
        <f>+[1]UN!E86</f>
        <v>2.4301978519748989E-2</v>
      </c>
      <c r="AM14" s="83"/>
      <c r="AN14" s="82">
        <f>+[1]UN!G86</f>
        <v>98.354978532238334</v>
      </c>
      <c r="AO14" s="82">
        <f>+[1]UN!H86</f>
        <v>102.15062202188204</v>
      </c>
      <c r="AP14" s="66">
        <f>+[1]UN!I86</f>
        <v>-3.7157321360516346E-2</v>
      </c>
      <c r="AR14" s="65" t="str">
        <f>+IF($B$6="esp","Ingresos ajustados","Adjusted Revenues")</f>
        <v>Ingresos ajustados</v>
      </c>
      <c r="AS14" s="84">
        <f>+[1]UN!C32</f>
        <v>241.26490573705101</v>
      </c>
      <c r="AT14" s="85">
        <f>+[1]UN!D32</f>
        <v>255.01771194701396</v>
      </c>
      <c r="AU14" s="70">
        <f>+[1]UN!E32</f>
        <v>-5.3928827550693538E-2</v>
      </c>
      <c r="AV14" s="86"/>
      <c r="AW14" s="85">
        <f>+[1]UN!G32</f>
        <v>70.721278642626373</v>
      </c>
      <c r="AX14" s="85">
        <f>+[1]UN!H32</f>
        <v>70.491625909414182</v>
      </c>
      <c r="AY14" s="70">
        <f>+[1]UN!I32</f>
        <v>3.2578725522278093E-3</v>
      </c>
      <c r="BA14" s="58" t="str">
        <f>+IF($B$6="esp","EBITDA ajustado","Adjusted EBITDA")</f>
        <v>EBITDA ajustado</v>
      </c>
      <c r="BB14" s="85">
        <f>+[1]UN!C226</f>
        <v>42.174845278601204</v>
      </c>
      <c r="BC14" s="85">
        <f>+[1]UN!D226</f>
        <v>43.821852496755128</v>
      </c>
      <c r="BD14" s="70">
        <f>+[1]UN!E226</f>
        <v>-3.7584153209312167E-2</v>
      </c>
      <c r="BE14" s="87"/>
      <c r="BF14" s="85">
        <f>+[1]UN!G226</f>
        <v>19.202996244291771</v>
      </c>
      <c r="BG14" s="85">
        <f>+[1]UN!H226</f>
        <v>18.410770326013076</v>
      </c>
      <c r="BH14" s="70">
        <f>+[1]UN!I226</f>
        <v>4.3030568751343257E-2</v>
      </c>
    </row>
    <row r="15" spans="1:60" x14ac:dyDescent="0.25">
      <c r="B15" s="17" t="str">
        <f>+IF($B$6="esp","EBITDA ajustado","Adjusted EBITDA")</f>
        <v>EBITDA ajustado</v>
      </c>
      <c r="C15" s="32">
        <f>+[1]ConsPL_MainOp!C30</f>
        <v>288.70800000000003</v>
      </c>
      <c r="D15" s="32">
        <f>+[1]ConsPL_MainOp!D30</f>
        <v>261.76900000000001</v>
      </c>
      <c r="E15" s="32">
        <f>+[1]ConsPL_MainOp!E30</f>
        <v>10.291134549927616</v>
      </c>
      <c r="F15" s="79">
        <f>+[1]ConsPL_MainOp!F30</f>
        <v>54.009000000000015</v>
      </c>
      <c r="G15" s="32">
        <f>+[1]ConsPL_MainOp!G30</f>
        <v>69.509000000000015</v>
      </c>
      <c r="H15" s="18">
        <f>+[1]ConsPL_MainOp!H30</f>
        <v>-22.299270598052047</v>
      </c>
      <c r="J15" s="35" t="str">
        <f>+IF($B$6="esp","España","Spain")</f>
        <v>España</v>
      </c>
      <c r="K15" s="29">
        <f>+[1]ConsPL_MainOp!C142</f>
        <v>573.91499999999996</v>
      </c>
      <c r="L15" s="29">
        <f>+[1]ConsPL_MainOp!D142</f>
        <v>545.76499999999999</v>
      </c>
      <c r="M15" s="88">
        <f>+[1]ConsPL_MainOp!E142</f>
        <v>5.1578976299322923</v>
      </c>
      <c r="N15" s="29">
        <f>+[1]ConsPL_MainOp!F142</f>
        <v>108.83099999999996</v>
      </c>
      <c r="O15" s="29">
        <f>+[1]ConsPL_MainOp!G142</f>
        <v>108.07</v>
      </c>
      <c r="P15" s="88">
        <f>+[1]ConsPL_MainOp!H142</f>
        <v>0.70417322106039359</v>
      </c>
      <c r="R15" s="28" t="str">
        <f>+IF($B$6="esp","España","Spain")</f>
        <v>España</v>
      </c>
      <c r="S15" s="89">
        <f>+[1]ConsPL_MainOp!C88</f>
        <v>573.91499999999996</v>
      </c>
      <c r="T15" s="89">
        <f>+[1]ConsPL_MainOp!D88</f>
        <v>579.99599999999998</v>
      </c>
      <c r="U15" s="29">
        <f>+[1]ConsPL_MainOp!E88</f>
        <v>-1.0484555065897037</v>
      </c>
      <c r="V15" s="89">
        <f>+[1]ConsPL_MainOp!F88</f>
        <v>108.83099999999996</v>
      </c>
      <c r="W15" s="89">
        <f>+[1]ConsPL_MainOp!G88</f>
        <v>104.15799999999996</v>
      </c>
      <c r="X15" s="29">
        <f>+[1]ConsPL_MainOp!H88</f>
        <v>4.4864532729123097</v>
      </c>
      <c r="Z15" s="67" t="str">
        <f>+IF($B$6="esp","España","Spain")</f>
        <v>España</v>
      </c>
      <c r="AA15" s="73">
        <f>+[1]UN!C169</f>
        <v>139.63301521191764</v>
      </c>
      <c r="AB15" s="73">
        <f>+[1]UN!D169</f>
        <v>116.43910514699866</v>
      </c>
      <c r="AC15" s="68">
        <f>+[1]UN!E169</f>
        <v>0.19919347572825991</v>
      </c>
      <c r="AD15" s="45"/>
      <c r="AE15" s="73">
        <f>+[1]UN!G169</f>
        <v>-19.784168229020025</v>
      </c>
      <c r="AF15" s="73">
        <f>+[1]UN!H169</f>
        <v>-17.684076035185598</v>
      </c>
      <c r="AG15" s="68">
        <f>+[1]UN!I169</f>
        <v>-0.11875611650028663</v>
      </c>
      <c r="AI15" s="67" t="str">
        <f>+IF($B$6="esp","España","Spain")</f>
        <v>España</v>
      </c>
      <c r="AJ15" s="73">
        <f>+[1]UN!C87</f>
        <v>189.82651439999998</v>
      </c>
      <c r="AK15" s="73">
        <f>+[1]UN!D87</f>
        <v>175.47699664000001</v>
      </c>
      <c r="AL15" s="68">
        <f>+[1]UN!E87</f>
        <v>8.1774352392403521E-2</v>
      </c>
      <c r="AN15" s="73">
        <f>+[1]UN!G87</f>
        <v>56.023019819999945</v>
      </c>
      <c r="AO15" s="73">
        <f>+[1]UN!H87</f>
        <v>53.523947700000008</v>
      </c>
      <c r="AP15" s="68">
        <f>+[1]UN!I87</f>
        <v>4.6690728681059834E-2</v>
      </c>
      <c r="AR15" s="33" t="str">
        <f>+IF($B$6="esp","Publicidad","Advertising")</f>
        <v>Publicidad</v>
      </c>
      <c r="AS15" s="90">
        <f>+[1]UN!C33</f>
        <v>111.14032572844701</v>
      </c>
      <c r="AT15" s="91">
        <f>+[1]UN!D33</f>
        <v>104.16559917333497</v>
      </c>
      <c r="AU15" s="71">
        <f>+[1]UN!E33</f>
        <v>6.6958061110999501E-2</v>
      </c>
      <c r="AV15" s="92"/>
      <c r="AW15" s="91">
        <f>+[1]UN!G33</f>
        <v>37.038133510589191</v>
      </c>
      <c r="AX15" s="91">
        <f>+[1]UN!H33</f>
        <v>34.663134653167191</v>
      </c>
      <c r="AY15" s="71">
        <f>+[1]UN!I33</f>
        <v>6.8516563236008285E-2</v>
      </c>
      <c r="BA15" s="33" t="str">
        <f>+IF($B$6="esp","% margen ajustado","% adjusted margin")</f>
        <v>% margen ajustado</v>
      </c>
      <c r="BB15" s="71">
        <f>+[1]UN!C227</f>
        <v>0.24184732805306147</v>
      </c>
      <c r="BC15" s="71">
        <f>+[1]UN!D227</f>
        <v>0.24376265894035121</v>
      </c>
      <c r="BD15" s="71"/>
      <c r="BE15" s="48"/>
      <c r="BF15" s="71">
        <f>+[1]UN!G227</f>
        <v>0.36082913646170311</v>
      </c>
      <c r="BG15" s="71">
        <f>+[1]UN!H227</f>
        <v>0.35796419723336032</v>
      </c>
      <c r="BH15" s="71"/>
    </row>
    <row r="16" spans="1:60" x14ac:dyDescent="0.25">
      <c r="B16" s="19" t="str">
        <f>+IF($B$6="esp","Margen EBITDA ajustado","Adjusted EBITDA Margin")</f>
        <v>Margen EBITDA ajustado</v>
      </c>
      <c r="C16" s="20">
        <f>+[1]ConsPL_MainOp!C31</f>
        <v>0.20657915261247056</v>
      </c>
      <c r="D16" s="21">
        <f>+[1]ConsPL_MainOp!D31</f>
        <v>0.18527478485266505</v>
      </c>
      <c r="E16" s="21"/>
      <c r="F16" s="20">
        <f>+[1]ConsPL_MainOp!F31</f>
        <v>0.16902902746263984</v>
      </c>
      <c r="G16" s="21">
        <f>+[1]ConsPL_MainOp!G31</f>
        <v>0.17556900989373775</v>
      </c>
      <c r="H16" s="21"/>
      <c r="J16" s="35" t="str">
        <f>+IF($B$6="esp","Internacional","International")</f>
        <v>Internacional</v>
      </c>
      <c r="K16" s="29">
        <f>+[1]ConsPL_MainOp!C143</f>
        <v>823.65200000000004</v>
      </c>
      <c r="L16" s="29">
        <f>+[1]ConsPL_MainOp!D143</f>
        <v>867.10400000000004</v>
      </c>
      <c r="M16" s="88">
        <f>+[1]ConsPL_MainOp!E143</f>
        <v>-5.0111635974462114</v>
      </c>
      <c r="N16" s="29">
        <f>+[1]ConsPL_MainOp!F143</f>
        <v>210.69500000000005</v>
      </c>
      <c r="O16" s="29">
        <f>+[1]ConsPL_MainOp!G143</f>
        <v>287.83699999999999</v>
      </c>
      <c r="P16" s="88">
        <f>+[1]ConsPL_MainOp!H143</f>
        <v>-26.800585053346143</v>
      </c>
      <c r="R16" s="28" t="str">
        <f>+IF($B$6="esp","Portugal","Portugal")</f>
        <v>Portugal</v>
      </c>
      <c r="S16" s="89">
        <f>+[1]ConsPL_MainOp!C89</f>
        <v>176.70699999999999</v>
      </c>
      <c r="T16" s="89">
        <f>+[1]ConsPL_MainOp!D89</f>
        <v>183.012</v>
      </c>
      <c r="U16" s="29">
        <f>+[1]ConsPL_MainOp!E89</f>
        <v>-3.4451292811400385</v>
      </c>
      <c r="V16" s="89">
        <f>+[1]ConsPL_MainOp!F89</f>
        <v>52.180999999999997</v>
      </c>
      <c r="W16" s="89">
        <f>+[1]ConsPL_MainOp!G89</f>
        <v>50.927999999999997</v>
      </c>
      <c r="X16" s="29">
        <f>+[1]ConsPL_MainOp!H89</f>
        <v>2.4603361608545402</v>
      </c>
      <c r="Z16" s="67" t="str">
        <f>+IF($B$6="esp","Internacional","International")</f>
        <v>Internacional</v>
      </c>
      <c r="AA16" s="73">
        <f>+[1]UN!C170</f>
        <v>503.18292023957133</v>
      </c>
      <c r="AB16" s="73">
        <f>+[1]UN!D170</f>
        <v>535.19240023816508</v>
      </c>
      <c r="AC16" s="68">
        <f>+[1]UN!E170</f>
        <v>-5.9809294721579122E-2</v>
      </c>
      <c r="AD16" s="45"/>
      <c r="AE16" s="73">
        <f>+[1]UN!G170</f>
        <v>117.52392023957134</v>
      </c>
      <c r="AF16" s="73">
        <f>+[1]UN!H170</f>
        <v>190.73640023816506</v>
      </c>
      <c r="AG16" s="68">
        <f>+[1]UN!I170</f>
        <v>-0.38384115411204245</v>
      </c>
      <c r="AI16" s="67" t="str">
        <f>+IF($B$6="esp","Latam","Latam")</f>
        <v>Latam</v>
      </c>
      <c r="AJ16" s="73">
        <f>+[1]UN!C88</f>
        <v>137.97445676427162</v>
      </c>
      <c r="AK16" s="73">
        <f>+[1]UN!D88</f>
        <v>145.92426693049538</v>
      </c>
      <c r="AL16" s="68">
        <f>+[1]UN!E88</f>
        <v>-5.4479013898423759E-2</v>
      </c>
      <c r="AN16" s="73">
        <f>+[1]UN!G88</f>
        <v>37.7999416328704</v>
      </c>
      <c r="AO16" s="73">
        <f>+[1]UN!H88</f>
        <v>44.594099036570242</v>
      </c>
      <c r="AP16" s="68">
        <f>+[1]UN!I88</f>
        <v>-0.15235552574182884</v>
      </c>
      <c r="AR16" s="33" t="str">
        <f>+IF($B$6= "esp","Circulación", "Circulation")</f>
        <v>Circulación</v>
      </c>
      <c r="AS16" s="90">
        <f>+[1]UN!C34</f>
        <v>96.129991669008007</v>
      </c>
      <c r="AT16" s="91">
        <f>+[1]UN!D34</f>
        <v>108.99607212065931</v>
      </c>
      <c r="AU16" s="71">
        <f>+[1]UN!E34</f>
        <v>-0.11804168903819279</v>
      </c>
      <c r="AV16" s="92"/>
      <c r="AW16" s="91">
        <f>+[1]UN!G34</f>
        <v>23.822916426734679</v>
      </c>
      <c r="AX16" s="91">
        <f>+[1]UN!H34</f>
        <v>26.262235219742422</v>
      </c>
      <c r="AY16" s="71">
        <f>+[1]UN!I34</f>
        <v>-9.2883137044405303E-2</v>
      </c>
      <c r="BA16" s="58" t="str">
        <f>+IF($B$6="esp","EBIT ajustado","Adjusted EBIT")</f>
        <v>EBIT ajustado</v>
      </c>
      <c r="BB16" s="93">
        <f>+[1]UN!C228</f>
        <v>32.126209891436403</v>
      </c>
      <c r="BC16" s="93">
        <f>+[1]UN!D228</f>
        <v>34.143696136755125</v>
      </c>
      <c r="BD16" s="70">
        <f>+[1]UN!E228</f>
        <v>-5.908810332771592E-2</v>
      </c>
      <c r="BE16" s="94"/>
      <c r="BF16" s="93">
        <f>+[1]UN!G228</f>
        <v>15.278188007126978</v>
      </c>
      <c r="BG16" s="93">
        <f>+[1]UN!H228</f>
        <v>15.39465030601308</v>
      </c>
      <c r="BH16" s="70">
        <f>+[1]UN!I228</f>
        <v>-7.5651149309063741E-3</v>
      </c>
    </row>
    <row r="17" spans="2:60" x14ac:dyDescent="0.25">
      <c r="B17" s="17" t="str">
        <f>+IF($B$6="esp","EBIT ajustado","Adjusted EBIT")</f>
        <v>EBIT ajustado</v>
      </c>
      <c r="C17" s="32">
        <f>+[1]ConsPL_MainOp!C32</f>
        <v>173.48699999999999</v>
      </c>
      <c r="D17" s="32">
        <f>+[1]ConsPL_MainOp!D32</f>
        <v>134.07400000000001</v>
      </c>
      <c r="E17" s="32">
        <f>+[1]ConsPL_MainOp!E32</f>
        <v>29.396452705222476</v>
      </c>
      <c r="F17" s="79">
        <f>+[1]ConsPL_MainOp!F32</f>
        <v>44.718999999999994</v>
      </c>
      <c r="G17" s="32">
        <f>+[1]ConsPL_MainOp!G32</f>
        <v>54.122000000000014</v>
      </c>
      <c r="H17" s="95">
        <f>+[1]ConsPL_MainOp!H32</f>
        <v>-17.373711244965111</v>
      </c>
      <c r="J17" s="96" t="str">
        <f>+IF($B$6="esp","Portugal","Portugal")</f>
        <v>Portugal</v>
      </c>
      <c r="K17" s="29">
        <f>+[1]ConsPL_MainOp!C144</f>
        <v>176.70699999999999</v>
      </c>
      <c r="L17" s="29">
        <f>+[1]ConsPL_MainOp!D144</f>
        <v>182.422</v>
      </c>
      <c r="M17" s="88">
        <f>+[1]ConsPL_MainOp!E144</f>
        <v>-3.1328458190349866</v>
      </c>
      <c r="N17" s="29">
        <f>+[1]ConsPL_MainOp!F144</f>
        <v>52.180999999999997</v>
      </c>
      <c r="O17" s="29">
        <f>+[1]ConsPL_MainOp!G144</f>
        <v>50.337999999999994</v>
      </c>
      <c r="P17" s="88">
        <f>+[1]ConsPL_MainOp!H144</f>
        <v>3.6612499503357379</v>
      </c>
      <c r="R17" s="28" t="str">
        <f>+IF($B$6="esp","Latam","Latam")</f>
        <v>Latam</v>
      </c>
      <c r="S17" s="89">
        <f>+[1]ConsPL_MainOp!C90</f>
        <v>623.44000000000005</v>
      </c>
      <c r="T17" s="89">
        <f>+[1]ConsPL_MainOp!D90</f>
        <v>691.71900000000005</v>
      </c>
      <c r="U17" s="29">
        <f>+[1]ConsPL_MainOp!E90</f>
        <v>-9.8709157909497911</v>
      </c>
      <c r="V17" s="89">
        <f>+[1]ConsPL_MainOp!F90</f>
        <v>151.29500000000007</v>
      </c>
      <c r="W17" s="89">
        <f>+[1]ConsPL_MainOp!G90</f>
        <v>230.89400000000006</v>
      </c>
      <c r="X17" s="29">
        <f>+[1]ConsPL_MainOp!H90</f>
        <v>-34.474260916264591</v>
      </c>
      <c r="Z17" s="69" t="str">
        <f>+IF($B$6="esp","Portugal","Portugal")</f>
        <v>Portugal</v>
      </c>
      <c r="AA17" s="73">
        <f>+[1]UN!C171</f>
        <v>5.8365820000000008</v>
      </c>
      <c r="AB17" s="73">
        <f>+[1]UN!D171</f>
        <v>7.1783380000000001</v>
      </c>
      <c r="AC17" s="68">
        <f>+[1]UN!E171</f>
        <v>-0.18691736165112305</v>
      </c>
      <c r="AD17" s="45"/>
      <c r="AE17" s="73">
        <f>+[1]UN!G171</f>
        <v>0.26658200000000054</v>
      </c>
      <c r="AF17" s="73">
        <f>+[1]UN!H171</f>
        <v>0.76433800000000041</v>
      </c>
      <c r="AG17" s="68">
        <f>+[1]UN!I171</f>
        <v>-0.6512249816180794</v>
      </c>
      <c r="AI17" s="67" t="str">
        <f>+IF($B$6="esp","Ajustes y Otros","Adjustnents &amp; others")</f>
        <v>Ajustes y Otros</v>
      </c>
      <c r="AJ17" s="73">
        <f>+[1]UN!C89</f>
        <v>10.467171257141002</v>
      </c>
      <c r="AK17" s="73">
        <f>+[1]UN!D89</f>
        <v>8.8416389899622718</v>
      </c>
      <c r="AL17" s="68"/>
      <c r="AN17" s="73">
        <f>+[1]UN!G89</f>
        <v>4.5320170793680292</v>
      </c>
      <c r="AO17" s="73">
        <f>+[1]UN!H89</f>
        <v>4.0328838499494939</v>
      </c>
      <c r="AP17" s="68"/>
      <c r="AR17" s="33" t="str">
        <f>+IF($B$6= "esp","Promociones y otros", "Add-ons and others")</f>
        <v>Promociones y otros</v>
      </c>
      <c r="AS17" s="90">
        <f>+[1]UN!C35</f>
        <v>33.994588339595992</v>
      </c>
      <c r="AT17" s="91">
        <f>+[1]UN!D35</f>
        <v>41.856040653019676</v>
      </c>
      <c r="AU17" s="71">
        <f>+[1]UN!E35</f>
        <v>-0.18782121267976465</v>
      </c>
      <c r="AV17" s="92"/>
      <c r="AW17" s="91">
        <f>+[1]UN!G35</f>
        <v>9.8602287053025037</v>
      </c>
      <c r="AX17" s="91">
        <f>+[1]UN!H35</f>
        <v>9.566256036504555</v>
      </c>
      <c r="AY17" s="71">
        <f>+[1]UN!I35</f>
        <v>3.0730169428474164E-2</v>
      </c>
      <c r="BA17" s="33" t="str">
        <f>+IF($B$6="esp","% margen ajustado","% adjusted margin")</f>
        <v>% margen ajustado</v>
      </c>
      <c r="BB17" s="71">
        <f>+[1]UN!C229</f>
        <v>0.18422445823785652</v>
      </c>
      <c r="BC17" s="71">
        <f>+[1]UN!D229</f>
        <v>0.18992711814187033</v>
      </c>
      <c r="BD17" s="71"/>
      <c r="BE17" s="48"/>
      <c r="BF17" s="71">
        <f>+[1]UN!G229</f>
        <v>0.28708100106773182</v>
      </c>
      <c r="BG17" s="71">
        <f>+[1]UN!H229</f>
        <v>0.29932118759278703</v>
      </c>
      <c r="BH17" s="71"/>
    </row>
    <row r="18" spans="2:60" x14ac:dyDescent="0.25">
      <c r="B18" s="19" t="str">
        <f>+IF($B$6="esp","Margen EBIT ajustado","Adjusted EBIT Margin")</f>
        <v>Margen EBIT ajustado</v>
      </c>
      <c r="C18" s="20">
        <f>+[1]ConsPL_MainOp!C33</f>
        <v>0.12413510345844131</v>
      </c>
      <c r="D18" s="21">
        <f>+[1]ConsPL_MainOp!D33</f>
        <v>9.4894855786346807E-2</v>
      </c>
      <c r="E18" s="21"/>
      <c r="F18" s="20">
        <f>+[1]ConsPL_MainOp!F33</f>
        <v>0.13995462013926918</v>
      </c>
      <c r="G18" s="21">
        <f>+[1]ConsPL_MainOp!G33</f>
        <v>0.13670382185715338</v>
      </c>
      <c r="H18" s="21"/>
      <c r="J18" s="96" t="str">
        <f>+IF($B$6="esp","Latam","Latam")</f>
        <v>Latam</v>
      </c>
      <c r="K18" s="29">
        <f>+[1]ConsPL_MainOp!C145</f>
        <v>646.94399999999996</v>
      </c>
      <c r="L18" s="29">
        <f>+[1]ConsPL_MainOp!D145</f>
        <v>684.68200000000002</v>
      </c>
      <c r="M18" s="88">
        <f>+[1]ConsPL_MainOp!E145</f>
        <v>-5.5117558224109953</v>
      </c>
      <c r="N18" s="29">
        <f>+[1]ConsPL_MainOp!F145</f>
        <v>158.51299999999998</v>
      </c>
      <c r="O18" s="29">
        <f>+[1]ConsPL_MainOp!G145</f>
        <v>237.49900000000002</v>
      </c>
      <c r="P18" s="88">
        <f>+[1]ConsPL_MainOp!H145</f>
        <v>-33.257403189066075</v>
      </c>
      <c r="R18" s="23" t="str">
        <f>+IF($B$6="esp","Gastos de explotación","Operationg expenses")</f>
        <v>Gastos de explotación</v>
      </c>
      <c r="S18" s="81">
        <f>+[1]ConsPL_MainOp!C91</f>
        <v>1125.6479999999999</v>
      </c>
      <c r="T18" s="81">
        <f>+[1]ConsPL_MainOp!D91</f>
        <v>1271.3430000000001</v>
      </c>
      <c r="U18" s="30">
        <f>+[1]ConsPL_MainOp!E91</f>
        <v>-11.459928595194228</v>
      </c>
      <c r="V18" s="81">
        <f>+[1]ConsPL_MainOp!F91</f>
        <v>265.89299999999992</v>
      </c>
      <c r="W18" s="81">
        <f>+[1]ConsPL_MainOp!G91</f>
        <v>381.97800000000007</v>
      </c>
      <c r="X18" s="30">
        <f>+[1]ConsPL_MainOp!H91</f>
        <v>-30.390493693354102</v>
      </c>
      <c r="Z18" s="69" t="str">
        <f>+IF($B$6="esp","Latam","Latam")</f>
        <v>Latam</v>
      </c>
      <c r="AA18" s="73">
        <f>+[1]UN!C172</f>
        <v>497.34633823957131</v>
      </c>
      <c r="AB18" s="73">
        <f>+[1]UN!D172</f>
        <v>528.01406223816502</v>
      </c>
      <c r="AC18" s="68">
        <f>+[1]UN!E172</f>
        <v>-5.8081263723542255E-2</v>
      </c>
      <c r="AD18" s="45"/>
      <c r="AE18" s="73">
        <f>+[1]UN!G172</f>
        <v>117.25733823957131</v>
      </c>
      <c r="AF18" s="73">
        <f>+[1]UN!H172</f>
        <v>189.97206223816499</v>
      </c>
      <c r="AG18" s="68">
        <f>+[1]UN!I172</f>
        <v>-0.38276535582075416</v>
      </c>
      <c r="AI18" s="65" t="str">
        <f>+IF($B$6="esp","EBITDA ajustado","Adjusted EBITDA")</f>
        <v>EBITDA ajustado</v>
      </c>
      <c r="AJ18" s="82">
        <f>+[1]UN!C90</f>
        <v>74.809727498155965</v>
      </c>
      <c r="AK18" s="82">
        <f>+[1]UN!D90</f>
        <v>65.754159237886483</v>
      </c>
      <c r="AL18" s="66">
        <f>+[1]UN!E90</f>
        <v>0.13771856206856964</v>
      </c>
      <c r="AN18" s="82">
        <f>+[1]UN!G90</f>
        <v>31.496277507318624</v>
      </c>
      <c r="AO18" s="82">
        <f>+[1]UN!H90</f>
        <v>28.753711256998933</v>
      </c>
      <c r="AP18" s="66">
        <f>+[1]UN!I90</f>
        <v>9.5381296202316251E-2</v>
      </c>
      <c r="AR18" s="65" t="str">
        <f>+IF($B$6="esp","EBITDA ajustado","Adjusted EBITDA")</f>
        <v>EBITDA ajustado</v>
      </c>
      <c r="AS18" s="84">
        <f>+[1]UN!C36</f>
        <v>16.48521589493587</v>
      </c>
      <c r="AT18" s="85">
        <f>+[1]UN!D36</f>
        <v>14.609758696154529</v>
      </c>
      <c r="AU18" s="70">
        <f>+[1]UN!E36</f>
        <v>0.12837016940430265</v>
      </c>
      <c r="AV18" s="92"/>
      <c r="AW18" s="85">
        <f>+[1]UN!G36</f>
        <v>10.064553525622426</v>
      </c>
      <c r="AX18" s="85">
        <f>+[1]UN!H36</f>
        <v>9.3529763924500813</v>
      </c>
      <c r="AY18" s="70">
        <f>+[1]UN!I36</f>
        <v>7.608028752716027E-2</v>
      </c>
    </row>
    <row r="19" spans="2:60" x14ac:dyDescent="0.25">
      <c r="J19" s="34" t="str">
        <f>+IF($B$6="esp","EBITDA ajustado","Adjusted EBITDA")</f>
        <v>EBITDA ajustado</v>
      </c>
      <c r="K19" s="80">
        <f>+[1]ConsPL_MainOp!C146</f>
        <v>288.70800000000003</v>
      </c>
      <c r="L19" s="80">
        <f>+[1]ConsPL_MainOp!D146</f>
        <v>261.76900000000001</v>
      </c>
      <c r="M19" s="97">
        <f>+[1]ConsPL_MainOp!E146</f>
        <v>10.291134549927616</v>
      </c>
      <c r="N19" s="80">
        <f>+[1]ConsPL_MainOp!F146</f>
        <v>54.009000000000015</v>
      </c>
      <c r="O19" s="80">
        <f>+[1]ConsPL_MainOp!G146</f>
        <v>69.509000000000015</v>
      </c>
      <c r="P19" s="97">
        <f>+[1]ConsPL_MainOp!H146</f>
        <v>-22.299270598052047</v>
      </c>
      <c r="R19" s="28" t="str">
        <f>+IF($B$6="esp","España","Spain")</f>
        <v>España</v>
      </c>
      <c r="S19" s="89">
        <f>+[1]ConsPL_MainOp!C92</f>
        <v>533.096</v>
      </c>
      <c r="T19" s="89">
        <f>+[1]ConsPL_MainOp!D92</f>
        <v>614.93700000000001</v>
      </c>
      <c r="U19" s="29">
        <f>+[1]ConsPL_MainOp!E92</f>
        <v>-13.30884301969145</v>
      </c>
      <c r="V19" s="89">
        <f>+[1]ConsPL_MainOp!F92</f>
        <v>124.78300000000002</v>
      </c>
      <c r="W19" s="89">
        <f>+[1]ConsPL_MainOp!G92</f>
        <v>180.88100000000003</v>
      </c>
      <c r="X19" s="29">
        <f>+[1]ConsPL_MainOp!H92</f>
        <v>-31.01376042812678</v>
      </c>
      <c r="Z19" s="65" t="str">
        <f>+IF($B$6="esp","EBITDA ajustado","Adjusted EBITDA")</f>
        <v>EBITDA ajustado</v>
      </c>
      <c r="AA19" s="82">
        <f>+[1]UN!C173</f>
        <v>171.70947313317109</v>
      </c>
      <c r="AB19" s="82">
        <f>+[1]UN!D173</f>
        <v>158.04160656081359</v>
      </c>
      <c r="AC19" s="66">
        <f>+[1]UN!E173</f>
        <v>8.6482710912573341E-2</v>
      </c>
      <c r="AD19" s="45"/>
      <c r="AE19" s="82">
        <f>+[1]UN!G173</f>
        <v>-4.205498759305982</v>
      </c>
      <c r="AF19" s="82">
        <f>+[1]UN!H173</f>
        <v>21.606777078743562</v>
      </c>
      <c r="AG19" s="66">
        <f>+[1]UN!I173</f>
        <v>-1.1946379482687073</v>
      </c>
      <c r="AI19" s="67" t="str">
        <f>+AI15</f>
        <v>España</v>
      </c>
      <c r="AJ19" s="73">
        <f>+[1]UN!C91</f>
        <v>29.085649609999809</v>
      </c>
      <c r="AK19" s="73">
        <f>+[1]UN!D91</f>
        <v>16.873499589999991</v>
      </c>
      <c r="AL19" s="68">
        <f>+[1]UN!E91</f>
        <v>0.72374731482716825</v>
      </c>
      <c r="AN19" s="73">
        <f>+[1]UN!G91</f>
        <v>14.574105169999836</v>
      </c>
      <c r="AO19" s="73">
        <f>+[1]UN!H91</f>
        <v>10.778545380000011</v>
      </c>
      <c r="AP19" s="68">
        <f>+[1]UN!I91</f>
        <v>0.35214026162033196</v>
      </c>
      <c r="AR19" s="33" t="str">
        <f>+IF($B$6="esp","% margen ajustado","% adjusted margin")</f>
        <v>% margen ajustado</v>
      </c>
      <c r="AS19" s="98">
        <f>+[1]UN!C37</f>
        <v>6.832827942619521E-2</v>
      </c>
      <c r="AT19" s="99">
        <f>+[1]UN!D37</f>
        <v>5.7289192129486508E-2</v>
      </c>
      <c r="AU19" s="100"/>
      <c r="AV19" s="92"/>
      <c r="AW19" s="99">
        <f>+[1]UN!G37</f>
        <v>0.14231294624184213</v>
      </c>
      <c r="AX19" s="99">
        <f>+[1]UN!H37</f>
        <v>0.13268209197599154</v>
      </c>
      <c r="AY19" s="100"/>
      <c r="BA19" s="22" t="str">
        <f>+IF($B$6="esp","Resultados Reportados","Reported Results ")</f>
        <v>Resultados Reportados</v>
      </c>
      <c r="BB19" s="40">
        <f>+$C$12</f>
        <v>2015</v>
      </c>
      <c r="BC19" s="40">
        <f>+$D$12</f>
        <v>2014</v>
      </c>
      <c r="BD19" s="40" t="str">
        <f>+$E$12</f>
        <v>Var. %</v>
      </c>
      <c r="BE19" s="42"/>
      <c r="BF19" s="40">
        <f>+$C$12</f>
        <v>2015</v>
      </c>
      <c r="BG19" s="40">
        <f>+$D$12</f>
        <v>2014</v>
      </c>
      <c r="BH19" s="40" t="str">
        <f>+$E$12</f>
        <v>Var. %</v>
      </c>
    </row>
    <row r="20" spans="2:60" x14ac:dyDescent="0.25">
      <c r="C20" s="101">
        <v>2015</v>
      </c>
      <c r="D20" s="101">
        <v>2014</v>
      </c>
      <c r="E20" s="6" t="str">
        <f>+IF($B$6="ESP","Var. %","% Chg.")</f>
        <v>Var. %</v>
      </c>
      <c r="F20" s="102">
        <v>2015</v>
      </c>
      <c r="G20" s="101">
        <v>2014</v>
      </c>
      <c r="H20" s="101" t="str">
        <f>+E12</f>
        <v>Var. %</v>
      </c>
      <c r="J20" s="35" t="str">
        <f>+J15</f>
        <v>España</v>
      </c>
      <c r="K20" s="29">
        <f>+[1]ConsPL_MainOp!C147</f>
        <v>64.614999999999995</v>
      </c>
      <c r="L20" s="29">
        <f>+[1]ConsPL_MainOp!D147</f>
        <v>30.711500000000001</v>
      </c>
      <c r="M20" s="88">
        <f>+[1]ConsPL_MainOp!E147</f>
        <v>110.39350080588702</v>
      </c>
      <c r="N20" s="29">
        <f>+[1]ConsPL_MainOp!F147</f>
        <v>-13.391000000000005</v>
      </c>
      <c r="O20" s="29">
        <f>+[1]ConsPL_MainOp!G147</f>
        <v>-21.232500000000002</v>
      </c>
      <c r="P20" s="88">
        <f>+[1]ConsPL_MainOp!H147</f>
        <v>36.931590721770853</v>
      </c>
      <c r="R20" s="28" t="str">
        <f>+IF($B$6="esp","Portugal","Portugal")</f>
        <v>Portugal</v>
      </c>
      <c r="S20" s="89">
        <f>+[1]ConsPL_MainOp!C93</f>
        <v>134.84899999999999</v>
      </c>
      <c r="T20" s="89">
        <f>+[1]ConsPL_MainOp!D93</f>
        <v>137.792</v>
      </c>
      <c r="U20" s="29">
        <f>+[1]ConsPL_MainOp!E93</f>
        <v>-2.1358279145378631</v>
      </c>
      <c r="V20" s="89">
        <f>+[1]ConsPL_MainOp!F93</f>
        <v>33.824999999999989</v>
      </c>
      <c r="W20" s="89">
        <f>+[1]ConsPL_MainOp!G93</f>
        <v>32.677000000000007</v>
      </c>
      <c r="X20" s="29">
        <f>+[1]ConsPL_MainOp!H93</f>
        <v>3.5131744040149999</v>
      </c>
      <c r="Z20" s="67" t="str">
        <f>+Z15</f>
        <v>España</v>
      </c>
      <c r="AA20" s="73">
        <f>+[1]UN!C174</f>
        <v>31.419026989999665</v>
      </c>
      <c r="AB20" s="73">
        <f>+[1]UN!D174</f>
        <v>20.412606560813614</v>
      </c>
      <c r="AC20" s="68">
        <f>+[1]UN!E174</f>
        <v>0.53919720621643885</v>
      </c>
      <c r="AD20" s="45"/>
      <c r="AE20" s="73">
        <f>+[1]UN!G174</f>
        <v>-38.323944902477407</v>
      </c>
      <c r="AF20" s="73">
        <f>+[1]UN!H174</f>
        <v>-32.676222921256411</v>
      </c>
      <c r="AG20" s="68">
        <f>+[1]UN!I174</f>
        <v>-0.17283888639243744</v>
      </c>
      <c r="AI20" s="67" t="str">
        <f>+AI16</f>
        <v>Latam</v>
      </c>
      <c r="AJ20" s="73">
        <f>+[1]UN!C92</f>
        <v>44.200858145641547</v>
      </c>
      <c r="AK20" s="73">
        <f>+[1]UN!D92</f>
        <v>47.521076417082341</v>
      </c>
      <c r="AL20" s="68">
        <f>+[1]UN!E92</f>
        <v>-6.9868330470883006E-2</v>
      </c>
      <c r="AN20" s="73">
        <f>+[1]UN!G92</f>
        <v>14.881898101284026</v>
      </c>
      <c r="AO20" s="73">
        <f>+[1]UN!H92</f>
        <v>16.896173426749211</v>
      </c>
      <c r="AP20" s="68">
        <f>+[1]UN!I92</f>
        <v>-0.11921488224524737</v>
      </c>
      <c r="AR20" s="65" t="str">
        <f>+IF($B$6="esp","EBIT ajustado","Adjusted EBIT")</f>
        <v>EBIT ajustado</v>
      </c>
      <c r="AS20" s="84">
        <f>+[1]UN!C38</f>
        <v>8.2964443749943904</v>
      </c>
      <c r="AT20" s="103">
        <f>+[1]UN!D38</f>
        <v>-3.8791147656014546</v>
      </c>
      <c r="AU20" s="104" t="str">
        <f>+[1]UN!E38</f>
        <v>---</v>
      </c>
      <c r="AV20" s="92"/>
      <c r="AW20" s="85">
        <f>+[1]UN!G38</f>
        <v>7.6714652623239274</v>
      </c>
      <c r="AX20" s="85">
        <f>+[1]UN!H38</f>
        <v>5.3209187423146895</v>
      </c>
      <c r="AY20" s="70">
        <f>+[1]UN!I38</f>
        <v>0.44175576321368715</v>
      </c>
      <c r="BA20" s="43" t="str">
        <f>+IF($B$6="esp","Ingresos","Revenues")</f>
        <v>Ingresos</v>
      </c>
      <c r="BB20" s="105">
        <f>+[1]UN!C214</f>
        <v>174.38623621819801</v>
      </c>
      <c r="BC20" s="105">
        <f>+[1]UN!D214</f>
        <v>179.772622629122</v>
      </c>
      <c r="BD20" s="106">
        <f>+[1]UN!E214</f>
        <v>-2.9962217450853555E-2</v>
      </c>
      <c r="BE20" s="107"/>
      <c r="BF20" s="105">
        <f>+[1]UN!G214</f>
        <v>53.219084336139517</v>
      </c>
      <c r="BG20" s="105">
        <f>+[1]UN!H214</f>
        <v>51.431876339328198</v>
      </c>
      <c r="BH20" s="106">
        <f>+[1]UN!I214</f>
        <v>3.4749033556932506E-2</v>
      </c>
    </row>
    <row r="21" spans="2:60" x14ac:dyDescent="0.25">
      <c r="B21" s="22" t="str">
        <f>+IF($B$6="esp","Resultados de explotación ajustados a tipo constante","Adjusted Operating results at cosntant currency")</f>
        <v>Resultados de explotación ajustados a tipo constante</v>
      </c>
      <c r="C21" s="108"/>
      <c r="D21" s="108"/>
      <c r="E21" s="109"/>
      <c r="F21" s="110"/>
      <c r="G21" s="108"/>
      <c r="H21" s="108"/>
      <c r="J21" s="35" t="str">
        <f>+J16</f>
        <v>Internacional</v>
      </c>
      <c r="K21" s="29">
        <f>+[1]ConsPL_MainOp!C148</f>
        <v>224.09399999999999</v>
      </c>
      <c r="L21" s="29">
        <f>+[1]ConsPL_MainOp!D148</f>
        <v>231.05799999999999</v>
      </c>
      <c r="M21" s="88">
        <f>+[1]ConsPL_MainOp!E148</f>
        <v>-3.0139618623895292</v>
      </c>
      <c r="N21" s="29">
        <f>+[1]ConsPL_MainOp!F148</f>
        <v>67.400000000000006</v>
      </c>
      <c r="O21" s="29">
        <f>+[1]ConsPL_MainOp!G148</f>
        <v>90.74199999999999</v>
      </c>
      <c r="P21" s="88">
        <f>+[1]ConsPL_MainOp!H148</f>
        <v>-25.723479755791129</v>
      </c>
      <c r="R21" s="28" t="str">
        <f>+IF($B$6="esp","Latam","Latam")</f>
        <v>Latam</v>
      </c>
      <c r="S21" s="89">
        <f>+[1]ConsPL_MainOp!C94</f>
        <v>457.70400000000001</v>
      </c>
      <c r="T21" s="89">
        <f>+[1]ConsPL_MainOp!D94</f>
        <v>518.61400000000003</v>
      </c>
      <c r="U21" s="29">
        <f>+[1]ConsPL_MainOp!E94</f>
        <v>-11.744765856687252</v>
      </c>
      <c r="V21" s="89">
        <f>+[1]ConsPL_MainOp!F94</f>
        <v>107.286</v>
      </c>
      <c r="W21" s="89">
        <f>+[1]ConsPL_MainOp!G94</f>
        <v>168.42000000000002</v>
      </c>
      <c r="X21" s="29">
        <f>+[1]ConsPL_MainOp!H94</f>
        <v>-36.298539365871044</v>
      </c>
      <c r="Z21" s="67" t="str">
        <f>+Z16</f>
        <v>Internacional</v>
      </c>
      <c r="AA21" s="73">
        <f>+[1]UN!C175</f>
        <v>140.29044614317144</v>
      </c>
      <c r="AB21" s="73">
        <f>+[1]UN!D175</f>
        <v>137.62899999999996</v>
      </c>
      <c r="AC21" s="68">
        <f>+[1]UN!E175</f>
        <v>1.9337829550250856E-2</v>
      </c>
      <c r="AD21" s="45"/>
      <c r="AE21" s="73">
        <f>+[1]UN!G175</f>
        <v>34.11844614317144</v>
      </c>
      <c r="AF21" s="73">
        <f>+[1]UN!H175</f>
        <v>54.282999999999959</v>
      </c>
      <c r="AG21" s="68">
        <f>+[1]UN!I175</f>
        <v>-0.37147088143301832</v>
      </c>
      <c r="AI21" s="67" t="str">
        <f>+AI17</f>
        <v>Ajustes y Otros</v>
      </c>
      <c r="AJ21" s="73">
        <f>+[1]UN!C93</f>
        <v>1.5232197425145932</v>
      </c>
      <c r="AK21" s="73">
        <f>+[1]UN!D93</f>
        <v>1.3560670643014776</v>
      </c>
      <c r="AL21" s="68"/>
      <c r="AN21" s="73">
        <f>+[1]UN!G93</f>
        <v>2.0402742360347292</v>
      </c>
      <c r="AO21" s="73">
        <f>+[1]UN!H93</f>
        <v>1.0754762837470369</v>
      </c>
      <c r="AP21" s="68"/>
      <c r="AR21" s="33" t="str">
        <f>+IF($B$6="esp","% margen ajustado","% adjusted margin")</f>
        <v>% margen ajustado</v>
      </c>
      <c r="AS21" s="98">
        <f>+[1]UN!C39</f>
        <v>3.4387282102422687E-2</v>
      </c>
      <c r="AT21" s="99">
        <f>+[1]UN!D39</f>
        <v>-1.5211158221070675E-2</v>
      </c>
      <c r="AU21" s="100"/>
      <c r="AV21" s="92"/>
      <c r="AW21" s="99">
        <f>+[1]UN!G39</f>
        <v>0.10847464030012668</v>
      </c>
      <c r="AX21" s="99">
        <f>+[1]UN!H39</f>
        <v>7.5482990691013108E-2</v>
      </c>
      <c r="AY21" s="100"/>
      <c r="BA21" s="35" t="str">
        <f>+IF($B$6="esp","Publicidad","Advertising")</f>
        <v>Publicidad</v>
      </c>
      <c r="BB21" s="111">
        <f>+[1]UN!C215</f>
        <v>116.57436237</v>
      </c>
      <c r="BC21" s="111">
        <f>+[1]UN!D215</f>
        <v>114.12568539000006</v>
      </c>
      <c r="BD21" s="112">
        <f>+[1]UN!E215</f>
        <v>2.1455967354168489E-2</v>
      </c>
      <c r="BE21" s="113"/>
      <c r="BF21" s="111">
        <f>+[1]UN!G215</f>
        <v>34.40041801000001</v>
      </c>
      <c r="BG21" s="111">
        <f>+[1]UN!H215</f>
        <v>32.740779340000003</v>
      </c>
      <c r="BH21" s="112">
        <f>+[1]UN!I215</f>
        <v>5.0690261608171194E-2</v>
      </c>
    </row>
    <row r="22" spans="2:60" x14ac:dyDescent="0.25">
      <c r="B22" s="17" t="str">
        <f>+IF($B$6="esp","Ingresos de explotación","Operating revenues")</f>
        <v>Ingresos de explotación</v>
      </c>
      <c r="C22" s="114">
        <f>+[1]ConsPL_MainOp!C39</f>
        <v>1436.1389999999999</v>
      </c>
      <c r="D22" s="114">
        <f>+[1]ConsPL_MainOp!D39</f>
        <v>1412.8689999999999</v>
      </c>
      <c r="E22" s="114">
        <f>+[1]ConsPL_MainOp!E39</f>
        <v>1.6470033669080417</v>
      </c>
      <c r="F22" s="114">
        <f>+[1]ConsPL_MainOp!F39</f>
        <v>347.2639999999999</v>
      </c>
      <c r="G22" s="114">
        <f>+[1]ConsPL_MainOp!G39</f>
        <v>395.90699999999993</v>
      </c>
      <c r="H22" s="114">
        <f>+[1]ConsPL_MainOp!H39</f>
        <v>-12.286471317758977</v>
      </c>
      <c r="J22" s="96" t="str">
        <f>+J17</f>
        <v>Portugal</v>
      </c>
      <c r="K22" s="29">
        <f>+[1]ConsPL_MainOp!C149</f>
        <v>42.473999999999997</v>
      </c>
      <c r="L22" s="29">
        <f>+[1]ConsPL_MainOp!D149</f>
        <v>46.874000000000002</v>
      </c>
      <c r="M22" s="88">
        <f>+[1]ConsPL_MainOp!E149</f>
        <v>-9.386866919827634</v>
      </c>
      <c r="N22" s="29">
        <f>+[1]ConsPL_MainOp!F149</f>
        <v>18.378999999999998</v>
      </c>
      <c r="O22" s="29">
        <f>+[1]ConsPL_MainOp!G149</f>
        <v>18.619000000000003</v>
      </c>
      <c r="P22" s="88">
        <f>+[1]ConsPL_MainOp!H149</f>
        <v>-1.2890058542349507</v>
      </c>
      <c r="R22" s="23" t="str">
        <f>+IF($B$6="esp","EBITDA","EBITDA")</f>
        <v>EBITDA</v>
      </c>
      <c r="S22" s="81">
        <f>+[1]ConsPL_MainOp!C95</f>
        <v>248.41399999999999</v>
      </c>
      <c r="T22" s="81">
        <f>+[1]ConsPL_MainOp!D95</f>
        <v>183.38499999999999</v>
      </c>
      <c r="U22" s="30">
        <f>+[1]ConsPL_MainOp!E95</f>
        <v>35.460370259290563</v>
      </c>
      <c r="V22" s="81">
        <f>+[1]ConsPL_MainOp!F95</f>
        <v>46.413999999999987</v>
      </c>
      <c r="W22" s="81">
        <f>+[1]ConsPL_MainOp!G95</f>
        <v>4.0029999999999859</v>
      </c>
      <c r="X22" s="30" t="str">
        <f>+[1]ConsPL_MainOp!H95</f>
        <v xml:space="preserve"> - </v>
      </c>
      <c r="Z22" s="69" t="str">
        <f>+Z17</f>
        <v>Portugal</v>
      </c>
      <c r="AA22" s="73">
        <f>+[1]UN!C176</f>
        <v>0.96180199999999905</v>
      </c>
      <c r="AB22" s="73">
        <f>+[1]UN!D176</f>
        <v>1.0547149999999998</v>
      </c>
      <c r="AC22" s="68">
        <f>+[1]UN!E176</f>
        <v>-8.8092991945692256E-2</v>
      </c>
      <c r="AD22" s="45"/>
      <c r="AE22" s="73">
        <f>+[1]UN!G176</f>
        <v>-0.66419800000000107</v>
      </c>
      <c r="AF22" s="73">
        <f>+[1]UN!H176</f>
        <v>-0.57128500000000026</v>
      </c>
      <c r="AG22" s="68">
        <f>+[1]UN!I176</f>
        <v>-0.16263861295150539</v>
      </c>
      <c r="AI22" s="33" t="str">
        <f>+IF($B$6="esp","% margen ajustado","% adjusted margin")</f>
        <v>% margen ajustado</v>
      </c>
      <c r="AJ22" s="59">
        <f>+[1]UN!C94</f>
        <v>0.22115510778711886</v>
      </c>
      <c r="AK22" s="59">
        <f>+[1]UN!D94</f>
        <v>0.19910865658570609</v>
      </c>
      <c r="AL22" s="60"/>
      <c r="AN22" s="59">
        <f>+[1]UN!G94</f>
        <v>0.3202306378115361</v>
      </c>
      <c r="AO22" s="59">
        <f>+[1]UN!H94</f>
        <v>0.2814834671377674</v>
      </c>
      <c r="AP22" s="60"/>
      <c r="BA22" s="35" t="str">
        <f>+IF($B$6="esp","Otros","Other")</f>
        <v>Otros</v>
      </c>
      <c r="BB22" s="115">
        <f>+[1]UN!C216</f>
        <v>57.811873848198005</v>
      </c>
      <c r="BC22" s="115">
        <f>+[1]UN!D216</f>
        <v>65.646937239121939</v>
      </c>
      <c r="BD22" s="112">
        <f>+[1]UN!E216</f>
        <v>-0.11935154510536207</v>
      </c>
      <c r="BE22" s="94"/>
      <c r="BF22" s="115">
        <f>+[1]UN!G216</f>
        <v>18.818666326139507</v>
      </c>
      <c r="BG22" s="115">
        <f>+[1]UN!H216</f>
        <v>18.691096999328195</v>
      </c>
      <c r="BH22" s="112">
        <f>+[1]UN!I216</f>
        <v>6.8251385574584931E-3</v>
      </c>
    </row>
    <row r="23" spans="2:60" x14ac:dyDescent="0.25">
      <c r="B23" s="17" t="str">
        <f>+IF($B$6="esp","EBITDA a tipo constante","EBITDA at constant currency")</f>
        <v>EBITDA a tipo constante</v>
      </c>
      <c r="C23" s="114">
        <f>+[1]ConsPL_MainOp!C40</f>
        <v>297.36599999999999</v>
      </c>
      <c r="D23" s="114">
        <f>+[1]ConsPL_MainOp!D40</f>
        <v>261.76900000000001</v>
      </c>
      <c r="E23" s="114">
        <f>+[1]ConsPL_MainOp!E40</f>
        <v>13.598630853920815</v>
      </c>
      <c r="F23" s="116">
        <f>+[1]ConsPL_MainOp!F40</f>
        <v>63.329999999999984</v>
      </c>
      <c r="G23" s="114">
        <f>+[1]ConsPL_MainOp!G40</f>
        <v>69.509000000000015</v>
      </c>
      <c r="H23" s="117">
        <f>+[1]ConsPL_MainOp!H40</f>
        <v>-8.8894963242170491</v>
      </c>
      <c r="J23" s="96" t="str">
        <f>+J18</f>
        <v>Latam</v>
      </c>
      <c r="K23" s="118">
        <f>+[1]ConsPL_MainOp!C150</f>
        <v>181.62</v>
      </c>
      <c r="L23" s="118">
        <f>+[1]ConsPL_MainOp!D150</f>
        <v>184.184</v>
      </c>
      <c r="M23" s="119">
        <f>+[1]ConsPL_MainOp!E150</f>
        <v>-1.3920861746948665</v>
      </c>
      <c r="N23" s="118">
        <f>+[1]ConsPL_MainOp!F150</f>
        <v>49.021000000000015</v>
      </c>
      <c r="O23" s="118">
        <f>+[1]ConsPL_MainOp!G150</f>
        <v>72.12299999999999</v>
      </c>
      <c r="P23" s="118">
        <f>+[1]ConsPL_MainOp!H150</f>
        <v>-32.031390818462874</v>
      </c>
      <c r="R23" s="31" t="str">
        <f>+IF($B$6="esp","Margen EBITDA","EBITDA Margin")</f>
        <v>Margen EBITDA</v>
      </c>
      <c r="S23" s="120">
        <f>+S22/S14</f>
        <v>0.18078805759856542</v>
      </c>
      <c r="T23" s="120">
        <f>+T22/T14</f>
        <v>0.12606136679846677</v>
      </c>
      <c r="U23" s="89" t="str">
        <f>+[1]ConsPL_MainOp!E96</f>
        <v>-</v>
      </c>
      <c r="V23" s="120">
        <f>+V22/V14</f>
        <v>0.14861658560326862</v>
      </c>
      <c r="W23" s="120">
        <f>+W22/W14</f>
        <v>1.0370976809739304E-2</v>
      </c>
      <c r="X23" s="89" t="str">
        <f>+[1]ConsPL_MainOp!H96</f>
        <v>-</v>
      </c>
      <c r="Z23" s="69" t="str">
        <f>+Z18</f>
        <v>Latam</v>
      </c>
      <c r="AA23" s="73">
        <f>+[1]UN!C177</f>
        <v>139.32864414317143</v>
      </c>
      <c r="AB23" s="73">
        <f>+[1]UN!D177</f>
        <v>136.57428499999997</v>
      </c>
      <c r="AC23" s="68">
        <f>+[1]UN!E177</f>
        <v>2.0167479867615315E-2</v>
      </c>
      <c r="AD23" s="45"/>
      <c r="AE23" s="73">
        <f>+[1]UN!G177</f>
        <v>34.782644143171439</v>
      </c>
      <c r="AF23" s="73">
        <f>+[1]UN!H177</f>
        <v>54.854284999999976</v>
      </c>
      <c r="AG23" s="68">
        <f>+[1]UN!I177</f>
        <v>-0.36590834894354279</v>
      </c>
      <c r="AI23" s="65" t="str">
        <f>+IF($B$6="esp","EBIT ajustado","Adjusted EBIT")</f>
        <v>EBIT ajustado</v>
      </c>
      <c r="AJ23" s="82">
        <f>+[1]UN!C95</f>
        <v>62.608347452301047</v>
      </c>
      <c r="AK23" s="82">
        <f>+[1]UN!D95</f>
        <v>52.75314346516808</v>
      </c>
      <c r="AL23" s="66">
        <f>+[1]UN!E95</f>
        <v>0.18681737882862232</v>
      </c>
      <c r="AN23" s="82">
        <f>+[1]UN!G95</f>
        <v>30.028030340621697</v>
      </c>
      <c r="AO23" s="82">
        <f>+[1]UN!H95</f>
        <v>27.577566253212613</v>
      </c>
      <c r="AP23" s="66">
        <f>+[1]UN!I95</f>
        <v>8.8857155301861376E-2</v>
      </c>
      <c r="AR23" s="22" t="str">
        <f>+IF($B$6="esp","Resultados de explotación ajustados a tipo constante","Adjusted Operating results at cosntant currency")</f>
        <v>Resultados de explotación ajustados a tipo constante</v>
      </c>
      <c r="AS23" s="40">
        <f>+$C$12</f>
        <v>2015</v>
      </c>
      <c r="AT23" s="40">
        <f>+$D$12</f>
        <v>2014</v>
      </c>
      <c r="AU23" s="40" t="str">
        <f>+$E$12</f>
        <v>Var. %</v>
      </c>
      <c r="AV23" s="42"/>
      <c r="AW23" s="40">
        <f>+$C$12</f>
        <v>2015</v>
      </c>
      <c r="AX23" s="40">
        <f>+$D$12</f>
        <v>2014</v>
      </c>
      <c r="AY23" s="40" t="str">
        <f>+$E$12</f>
        <v>Var. %</v>
      </c>
      <c r="BA23" s="34" t="str">
        <f>+IF($B$6="esp","Gastos de explotación","Operating expenses")</f>
        <v>Gastos de explotación</v>
      </c>
      <c r="BB23" s="121">
        <f>+[1]UN!C217</f>
        <v>132.9902764595968</v>
      </c>
      <c r="BC23" s="121">
        <f>+[1]UN!D217</f>
        <v>137.65960318236688</v>
      </c>
      <c r="BD23" s="106">
        <f>+[1]UN!E217</f>
        <v>-3.3919367881544094E-2</v>
      </c>
      <c r="BE23" s="122"/>
      <c r="BF23" s="121">
        <f>+[1]UN!G217</f>
        <v>34.038671701847733</v>
      </c>
      <c r="BG23" s="121">
        <f>+[1]UN!H217</f>
        <v>33.329884033315125</v>
      </c>
      <c r="BH23" s="106">
        <f>+[1]UN!I217</f>
        <v>2.1265830622876881E-2</v>
      </c>
    </row>
    <row r="24" spans="2:60" x14ac:dyDescent="0.25">
      <c r="B24" s="19" t="str">
        <f>+IF($B$6="esp","Margen EBITDA ajustado","Adjusted EBITDA Margin")</f>
        <v>Margen EBITDA ajustado</v>
      </c>
      <c r="C24" s="123">
        <f>+[1]ConsPL_MainOp!C41</f>
        <v>0.207059344534199</v>
      </c>
      <c r="D24" s="123">
        <f>+[1]ConsPL_MainOp!D41</f>
        <v>0.18527478485266505</v>
      </c>
      <c r="E24" s="123"/>
      <c r="F24" s="124">
        <f>+[1]ConsPL_MainOp!F41</f>
        <v>0.18236845742720237</v>
      </c>
      <c r="G24" s="123">
        <f>+[1]ConsPL_MainOp!G41</f>
        <v>0.17556900989373775</v>
      </c>
      <c r="H24" s="123"/>
      <c r="J24" s="31" t="str">
        <f>+IF($B$6="esp","Margen EBITDA ajustado","Adjusted EBITDA Margin")</f>
        <v>Margen EBITDA ajustado</v>
      </c>
      <c r="K24" s="120">
        <f>+[1]ConsPL_MainOp!C151</f>
        <v>0.20657915261247056</v>
      </c>
      <c r="L24" s="120">
        <f>+[1]ConsPL_MainOp!D151</f>
        <v>0.18527478485266505</v>
      </c>
      <c r="M24" s="120"/>
      <c r="N24" s="120">
        <f>+[1]ConsPL_MainOp!F151</f>
        <v>0.16902902746263984</v>
      </c>
      <c r="O24" s="120">
        <f>+[1]ConsPL_MainOp!G151</f>
        <v>0.17556900989373775</v>
      </c>
      <c r="P24" s="120"/>
      <c r="R24" s="28" t="str">
        <f>+IF($B$6="esp","España","Spain")</f>
        <v>España</v>
      </c>
      <c r="S24" s="89">
        <f>+[1]ConsPL_MainOp!C97</f>
        <v>40.819000000000003</v>
      </c>
      <c r="T24" s="29">
        <f>+[1]ConsPL_MainOp!D97</f>
        <v>-34.941000000000003</v>
      </c>
      <c r="U24" s="29" t="str">
        <f>+[1]ConsPL_MainOp!E97</f>
        <v xml:space="preserve"> - </v>
      </c>
      <c r="V24" s="88">
        <f>+[1]ConsPL_MainOp!F97</f>
        <v>-15.951999999999998</v>
      </c>
      <c r="W24" s="88">
        <f>+[1]ConsPL_MainOp!G97</f>
        <v>-76.722999999999999</v>
      </c>
      <c r="X24" s="89">
        <f>+[1]ConsPL_MainOp!H97</f>
        <v>79.20832084251137</v>
      </c>
      <c r="Z24" s="33" t="str">
        <f>+IF($B$6="esp","% margen ajustado","% adjusted margin")</f>
        <v>% margen ajustado</v>
      </c>
      <c r="AA24" s="59">
        <f>+[1]UN!C178</f>
        <v>0.26712074742292913</v>
      </c>
      <c r="AB24" s="59">
        <f>+[1]UN!D178</f>
        <v>0.24253217540087937</v>
      </c>
      <c r="AC24" s="60"/>
      <c r="AD24" s="61"/>
      <c r="AE24" s="59">
        <f>+[1]UN!G178</f>
        <v>-4.3027516162021662E-2</v>
      </c>
      <c r="AF24" s="59">
        <f>+[1]UN!H178</f>
        <v>0.1248569019702976</v>
      </c>
      <c r="AG24" s="62"/>
      <c r="AI24" s="33" t="str">
        <f>+IF($B$6="esp","% margen ajustado","% adjusted margin")</f>
        <v>% margen ajustado</v>
      </c>
      <c r="AJ24" s="64">
        <f>+[1]UN!C96</f>
        <v>0.18508496544822101</v>
      </c>
      <c r="AK24" s="64">
        <f>+[1]UN!D96</f>
        <v>0.15974057987757873</v>
      </c>
      <c r="AL24" s="60"/>
      <c r="AN24" s="64">
        <f>+[1]UN!G96</f>
        <v>0.30530259666295639</v>
      </c>
      <c r="AO24" s="64">
        <f>+[1]UN!H96</f>
        <v>0.26996963608606439</v>
      </c>
      <c r="AP24" s="60"/>
      <c r="AR24" s="65" t="str">
        <f>+IF($B$6="esp","Ingresos ajustados a tipo de cambio constante","Adjusted Revenues at constant currency")</f>
        <v>Ingresos ajustados a tipo de cambio constante</v>
      </c>
      <c r="AS24" s="84">
        <f>+[1]UN!C41</f>
        <v>241.26490573705101</v>
      </c>
      <c r="AT24" s="85">
        <f>+[1]UN!D41</f>
        <v>255.01771194701396</v>
      </c>
      <c r="AU24" s="70">
        <f>+[1]UN!E41</f>
        <v>-5.3928827550693538E-2</v>
      </c>
      <c r="AV24" s="86"/>
      <c r="AW24" s="85">
        <f>+[1]UN!G41</f>
        <v>70.721278642626373</v>
      </c>
      <c r="AX24" s="85">
        <f>+[1]UN!H41</f>
        <v>70.491625909414182</v>
      </c>
      <c r="AY24" s="70">
        <f>+[1]UN!I41</f>
        <v>3.2578725522278093E-3</v>
      </c>
      <c r="BA24" s="34" t="s">
        <v>0</v>
      </c>
      <c r="BB24" s="121">
        <f>+[1]UN!C218</f>
        <v>41.395959758601201</v>
      </c>
      <c r="BC24" s="121">
        <f>+[1]UN!D218</f>
        <v>42.113019446755125</v>
      </c>
      <c r="BD24" s="106">
        <f>+[1]UN!E218</f>
        <v>-1.7027031012595194E-2</v>
      </c>
      <c r="BE24" s="113"/>
      <c r="BF24" s="125">
        <f>+[1]UN!G218</f>
        <v>19.18041263429177</v>
      </c>
      <c r="BG24" s="125">
        <f>+[1]UN!H218</f>
        <v>18.101992306013074</v>
      </c>
      <c r="BH24" s="106">
        <f>+[1]UN!I218</f>
        <v>5.9574676093551826E-2</v>
      </c>
    </row>
    <row r="25" spans="2:60" x14ac:dyDescent="0.25">
      <c r="B25" s="17" t="str">
        <f>+IF($B$6="esp","EBIT a tipo constante","EBIT at constant currency")</f>
        <v>EBIT a tipo constante</v>
      </c>
      <c r="C25" s="114">
        <f>+[1]ConsPL_MainOp!C42</f>
        <v>179.744</v>
      </c>
      <c r="D25" s="114">
        <f>+[1]ConsPL_MainOp!D42</f>
        <v>134.07400000000001</v>
      </c>
      <c r="E25" s="114">
        <f>+[1]ConsPL_MainOp!E42</f>
        <v>34.063278487999156</v>
      </c>
      <c r="F25" s="116">
        <f>+[1]ConsPL_MainOp!F42</f>
        <v>51.538999999999987</v>
      </c>
      <c r="G25" s="114">
        <f>+[1]ConsPL_MainOp!G42</f>
        <v>54.122000000000014</v>
      </c>
      <c r="H25" s="117">
        <f>+[1]ConsPL_MainOp!H42</f>
        <v>-4.7725509035143308</v>
      </c>
      <c r="J25" s="34" t="str">
        <f>+IF($B$6="esp","EBIT ajustado","Adjusted EBIT")</f>
        <v>EBIT ajustado</v>
      </c>
      <c r="K25" s="126">
        <f>+[1]ConsPL_MainOp!C152</f>
        <v>173.48699999999999</v>
      </c>
      <c r="L25" s="126">
        <f>+[1]ConsPL_MainOp!D152</f>
        <v>134.07400000000001</v>
      </c>
      <c r="M25" s="126">
        <f>+[1]ConsPL_MainOp!E152</f>
        <v>29.396452705222476</v>
      </c>
      <c r="N25" s="126">
        <f>+[1]ConsPL_MainOp!F152</f>
        <v>44.718999999999994</v>
      </c>
      <c r="O25" s="126">
        <f>+[1]ConsPL_MainOp!G152</f>
        <v>54.122000000000014</v>
      </c>
      <c r="P25" s="126">
        <f>+[1]ConsPL_MainOp!H152</f>
        <v>-17.373711244965111</v>
      </c>
      <c r="R25" s="28" t="str">
        <f>+IF($B$6="esp","Portugal","Portugal")</f>
        <v>Portugal</v>
      </c>
      <c r="S25" s="89">
        <f>+[1]ConsPL_MainOp!C98</f>
        <v>41.857999999999997</v>
      </c>
      <c r="T25" s="89">
        <f>+[1]ConsPL_MainOp!D98</f>
        <v>45.220999999999997</v>
      </c>
      <c r="U25" s="29">
        <f>+[1]ConsPL_MainOp!E98</f>
        <v>-7.4368103314831595</v>
      </c>
      <c r="V25" s="89">
        <f>+[1]ConsPL_MainOp!F98</f>
        <v>18.355999999999998</v>
      </c>
      <c r="W25" s="89">
        <f>+[1]ConsPL_MainOp!G98</f>
        <v>18.251999999999995</v>
      </c>
      <c r="X25" s="89">
        <f>+[1]ConsPL_MainOp!H98</f>
        <v>0.56980056980058502</v>
      </c>
      <c r="Z25" s="65" t="str">
        <f>+IF($B$6="esp","EBIT ajustado","Adjusted EBIT")</f>
        <v>EBIT ajustado</v>
      </c>
      <c r="AA25" s="82">
        <f>+[1]UN!C179</f>
        <v>95.207976206333598</v>
      </c>
      <c r="AB25" s="82">
        <f>+[1]UN!D179</f>
        <v>87.007299650873406</v>
      </c>
      <c r="AC25" s="66">
        <f>+[1]UN!E179</f>
        <v>9.4252741877593374E-2</v>
      </c>
      <c r="AD25" s="45"/>
      <c r="AE25" s="82">
        <f>+[1]UN!G179</f>
        <v>-3.7465826305219707</v>
      </c>
      <c r="AF25" s="82">
        <f>+[1]UN!H179</f>
        <v>16.790272910806294</v>
      </c>
      <c r="AG25" s="66">
        <f>+[1]UN!I179</f>
        <v>-1.2231400674917352</v>
      </c>
      <c r="AR25" s="65" t="str">
        <f>+IF($B$6="esp","EBITDA ajustado","Adjusted EBITDA")</f>
        <v>EBITDA ajustado</v>
      </c>
      <c r="AS25" s="84">
        <f>+[1]UN!C42</f>
        <v>16.48521589493587</v>
      </c>
      <c r="AT25" s="85">
        <f>+[1]UN!D42</f>
        <v>14.609758696154529</v>
      </c>
      <c r="AU25" s="70">
        <f>+[1]UN!E42</f>
        <v>0.12837016940430265</v>
      </c>
      <c r="AV25" s="92"/>
      <c r="AW25" s="85">
        <f>+[1]UN!G42</f>
        <v>10.064553525622426</v>
      </c>
      <c r="AX25" s="85">
        <f>+[1]UN!H42</f>
        <v>9.3529763924500813</v>
      </c>
      <c r="AY25" s="70">
        <f>+[1]UN!I42</f>
        <v>7.608028752716027E-2</v>
      </c>
      <c r="BA25" s="31" t="str">
        <f>+IF($B$6="esp","% margen","% margin")</f>
        <v>% margen</v>
      </c>
      <c r="BB25" s="112">
        <f>+[1]UN!C219</f>
        <v>0.237380888861006</v>
      </c>
      <c r="BC25" s="112">
        <f>+[1]UN!D219</f>
        <v>0.2342571345450967</v>
      </c>
      <c r="BD25" s="112"/>
      <c r="BE25" s="48"/>
      <c r="BF25" s="112">
        <f>+[1]UN!G219</f>
        <v>0.36040478474123078</v>
      </c>
      <c r="BG25" s="112">
        <f>+[1]UN!H219</f>
        <v>0.35196056598407821</v>
      </c>
      <c r="BH25" s="106"/>
    </row>
    <row r="26" spans="2:60" x14ac:dyDescent="0.25">
      <c r="B26" s="19" t="str">
        <f>+IF($B$6="esp","Margen EBIT ajustado","Adjusted EBIT Margin")</f>
        <v>Margen EBIT ajustado</v>
      </c>
      <c r="C26" s="123">
        <f>+[1]ConsPL_MainOp!C43</f>
        <v>0.12515780157770245</v>
      </c>
      <c r="D26" s="123">
        <f>+[1]ConsPL_MainOp!D43</f>
        <v>9.4894855786346807E-2</v>
      </c>
      <c r="E26" s="123"/>
      <c r="F26" s="123">
        <f>+[1]ConsPL_MainOp!F43</f>
        <v>0.14841446277183931</v>
      </c>
      <c r="G26" s="123">
        <f>+[1]ConsPL_MainOp!G43</f>
        <v>0.13670382185715338</v>
      </c>
      <c r="H26" s="123"/>
      <c r="J26" s="35" t="str">
        <f>+J15</f>
        <v>España</v>
      </c>
      <c r="K26" s="118">
        <f>+[1]ConsPL_MainOp!C153</f>
        <v>24.835999999999999</v>
      </c>
      <c r="L26" s="118">
        <f>+[1]ConsPL_MainOp!D153</f>
        <v>-17.236000000000001</v>
      </c>
      <c r="M26" s="119" t="str">
        <f>+[1]ConsPL_MainOp!E153</f>
        <v xml:space="preserve"> - </v>
      </c>
      <c r="N26" s="118">
        <f>+[1]ConsPL_MainOp!F153</f>
        <v>-9.1829999999999998</v>
      </c>
      <c r="O26" s="118">
        <f>+[1]ConsPL_MainOp!G153</f>
        <v>-12.855</v>
      </c>
      <c r="P26" s="119">
        <f>+[1]ConsPL_MainOp!H153</f>
        <v>28.564760793465581</v>
      </c>
      <c r="R26" s="28" t="str">
        <f>+IF($B$6="esp","Latam","Latam")</f>
        <v>Latam</v>
      </c>
      <c r="S26" s="89">
        <f>+[1]ConsPL_MainOp!C99</f>
        <v>165.73699999999999</v>
      </c>
      <c r="T26" s="89">
        <f>+[1]ConsPL_MainOp!D99</f>
        <v>173.10499999999999</v>
      </c>
      <c r="U26" s="29">
        <f>+[1]ConsPL_MainOp!E99</f>
        <v>-4.2563761878628554</v>
      </c>
      <c r="V26" s="89">
        <f>+[1]ConsPL_MainOp!F99</f>
        <v>44.009999999999991</v>
      </c>
      <c r="W26" s="89">
        <f>+[1]ConsPL_MainOp!G99</f>
        <v>62.47399999999999</v>
      </c>
      <c r="X26" s="29">
        <f>+[1]ConsPL_MainOp!H99</f>
        <v>-29.554694753017259</v>
      </c>
      <c r="Z26" s="33" t="str">
        <f>+IF($B$6="esp","% margen ajustado","% adjusted margin")</f>
        <v>% margen ajustado</v>
      </c>
      <c r="AA26" s="64">
        <f>+[1]UN!C180</f>
        <v>0.14811079028316748</v>
      </c>
      <c r="AB26" s="64">
        <f>+[1]UN!D180</f>
        <v>0.13352224214427061</v>
      </c>
      <c r="AC26" s="60"/>
      <c r="AD26" s="61"/>
      <c r="AE26" s="64">
        <f>+[1]UN!G180</f>
        <v>-3.8332229757627366E-2</v>
      </c>
      <c r="AF26" s="64">
        <f>+[1]UN!H180</f>
        <v>9.7024255456473182E-2</v>
      </c>
      <c r="AG26" s="62"/>
      <c r="AI26" s="22" t="str">
        <f>+IF($B$6="esp","Resultados de explotación ajustados a tipo constante","Adjusted Operating results at cosntant currency")</f>
        <v>Resultados de explotación ajustados a tipo constante</v>
      </c>
      <c r="AJ26" s="40">
        <f>+$C$12</f>
        <v>2015</v>
      </c>
      <c r="AK26" s="40">
        <f>+$D$12</f>
        <v>2014</v>
      </c>
      <c r="AL26" s="40" t="str">
        <f>+$E$12</f>
        <v>Var. %</v>
      </c>
      <c r="AM26" s="42"/>
      <c r="AN26" s="40">
        <f>+AJ26</f>
        <v>2015</v>
      </c>
      <c r="AO26" s="40">
        <f>+AK26</f>
        <v>2014</v>
      </c>
      <c r="AP26" s="41" t="str">
        <f>+AL26</f>
        <v>Var. %</v>
      </c>
      <c r="AR26" s="33" t="str">
        <f>+IF($B$6="esp","% margen ajustado","% adjusted margin")</f>
        <v>% margen ajustado</v>
      </c>
      <c r="AS26" s="98">
        <f>+[1]UN!C43</f>
        <v>6.832827942619521E-2</v>
      </c>
      <c r="AT26" s="99">
        <f>+[1]UN!D43</f>
        <v>5.7289192129486508E-2</v>
      </c>
      <c r="AU26" s="100"/>
      <c r="AV26" s="92"/>
      <c r="AW26" s="99">
        <f>+AW25/AW24</f>
        <v>0.14231294624184213</v>
      </c>
      <c r="AX26" s="99">
        <f>+AX25/AX24</f>
        <v>0.13268209197599154</v>
      </c>
      <c r="AY26" s="100"/>
      <c r="BA26" s="34" t="s">
        <v>1</v>
      </c>
      <c r="BB26" s="125">
        <f>+[1]UN!C220</f>
        <v>30.9573243714364</v>
      </c>
      <c r="BC26" s="125">
        <f>+[1]UN!D220</f>
        <v>32.434863086755129</v>
      </c>
      <c r="BD26" s="106">
        <f>+[1]UN!E220</f>
        <v>-4.5554029667604391E-2</v>
      </c>
      <c r="BE26" s="113"/>
      <c r="BF26" s="125">
        <f>+[1]UN!G220</f>
        <v>14.865604397126976</v>
      </c>
      <c r="BG26" s="125">
        <f>+[1]UN!H220</f>
        <v>15.085872286013082</v>
      </c>
      <c r="BH26" s="106">
        <f>+[1]UN!I220</f>
        <v>-1.4600938196349968E-2</v>
      </c>
    </row>
    <row r="27" spans="2:60" x14ac:dyDescent="0.25">
      <c r="J27" s="35" t="str">
        <f>+J16</f>
        <v>Internacional</v>
      </c>
      <c r="K27" s="118">
        <f>+[1]ConsPL_MainOp!C154</f>
        <v>148.65100000000001</v>
      </c>
      <c r="L27" s="118">
        <f>+[1]ConsPL_MainOp!D154</f>
        <v>151.309</v>
      </c>
      <c r="M27" s="119">
        <f>+[1]ConsPL_MainOp!E154</f>
        <v>-1.7566701253725736</v>
      </c>
      <c r="N27" s="118">
        <f>+[1]ConsPL_MainOp!F154</f>
        <v>53.902000000000015</v>
      </c>
      <c r="O27" s="118">
        <f>+[1]ConsPL_MainOp!G154</f>
        <v>66.977000000000004</v>
      </c>
      <c r="P27" s="119">
        <f>+[1]ConsPL_MainOp!H154</f>
        <v>-19.521626827119739</v>
      </c>
      <c r="R27" s="23" t="str">
        <f>+IF($B$6="esp","EBIT","EBIT")</f>
        <v>EBIT</v>
      </c>
      <c r="S27" s="81">
        <f>+[1]ConsPL_MainOp!C100</f>
        <v>120.828</v>
      </c>
      <c r="T27" s="81">
        <f>+[1]ConsPL_MainOp!D100</f>
        <v>28.721</v>
      </c>
      <c r="U27" s="81" t="str">
        <f>+[1]ConsPL_MainOp!E100</f>
        <v xml:space="preserve"> - </v>
      </c>
      <c r="V27" s="81">
        <f>+[1]ConsPL_MainOp!F100</f>
        <v>23.874000000000009</v>
      </c>
      <c r="W27" s="81">
        <f>+[1]ConsPL_MainOp!G100</f>
        <v>-24.709</v>
      </c>
      <c r="X27" s="81">
        <f>+[1]ConsPL_MainOp!H100</f>
        <v>196.62066453518966</v>
      </c>
      <c r="AI27" s="65" t="str">
        <f>+IF($B$6="esp","Ingresos ajustados a tipo de cambio constante","Adjusted Revenues at constant fx rate")</f>
        <v>Ingresos ajustados a tipo de cambio constante</v>
      </c>
      <c r="AJ27" s="82">
        <f>+[1]UN!C110</f>
        <v>346.65994633935526</v>
      </c>
      <c r="AK27" s="82">
        <f>+[1]UN!D110</f>
        <v>330.24259399581996</v>
      </c>
      <c r="AL27" s="66">
        <f>+[1]UN!E110</f>
        <v>4.9713006868348127E-2</v>
      </c>
      <c r="AM27" s="83"/>
      <c r="AN27" s="82">
        <f>+[1]UN!G110</f>
        <v>103.48975745049555</v>
      </c>
      <c r="AO27" s="82">
        <f>+[1]UN!H110</f>
        <v>102.15062202188204</v>
      </c>
      <c r="AP27" s="66">
        <f>+[1]UN!I110</f>
        <v>1.3109420208196498E-2</v>
      </c>
      <c r="AR27" s="65" t="str">
        <f>+IF($B$6="esp","EBIT ajustado","Adjusted EBIT")</f>
        <v>EBIT ajustado</v>
      </c>
      <c r="AS27" s="84">
        <f>+[1]UN!C44</f>
        <v>8.2964443749943904</v>
      </c>
      <c r="AT27" s="103">
        <f>+[1]UN!D44</f>
        <v>-3.8791147656014546</v>
      </c>
      <c r="AU27" s="104" t="str">
        <f>+[1]UN!E44</f>
        <v>---</v>
      </c>
      <c r="AV27" s="92"/>
      <c r="AW27" s="85">
        <f>+[1]UN!G44</f>
        <v>7.6714652623239274</v>
      </c>
      <c r="AX27" s="85">
        <f>+[1]UN!H44</f>
        <v>5.3209187423146895</v>
      </c>
      <c r="AY27" s="70">
        <f>+[1]UN!I44</f>
        <v>0.44175576321368715</v>
      </c>
      <c r="BA27" s="31" t="str">
        <f>+IF($B$6="esp","% margen","% margin")</f>
        <v>% margen</v>
      </c>
      <c r="BB27" s="112">
        <f>+[1]UN!C221</f>
        <v>0.17752160401410086</v>
      </c>
      <c r="BC27" s="112">
        <f>+[1]UN!D221</f>
        <v>0.18042159374661584</v>
      </c>
      <c r="BD27" s="112"/>
      <c r="BE27" s="48"/>
      <c r="BF27" s="112">
        <f>+[1]UN!G221</f>
        <v>0.27932845111038823</v>
      </c>
      <c r="BG27" s="112">
        <f>+[1]UN!H221</f>
        <v>0.29331755634350504</v>
      </c>
      <c r="BH27" s="127"/>
    </row>
    <row r="28" spans="2:60" x14ac:dyDescent="0.25">
      <c r="B28" s="22" t="str">
        <f>+IF($B$6="esp","Resultados Reportados","Reported Results ")</f>
        <v>Resultados Reportados</v>
      </c>
      <c r="C28" s="101">
        <v>2015</v>
      </c>
      <c r="D28" s="101">
        <v>2014</v>
      </c>
      <c r="E28" s="6" t="str">
        <f>+IF($B$6="ESP","Var. %","% Chg.")</f>
        <v>Var. %</v>
      </c>
      <c r="F28" s="102">
        <v>2015</v>
      </c>
      <c r="G28" s="101">
        <v>2014</v>
      </c>
      <c r="H28" s="101" t="str">
        <f>+H20</f>
        <v>Var. %</v>
      </c>
      <c r="J28" s="96" t="str">
        <f>+J17</f>
        <v>Portugal</v>
      </c>
      <c r="K28" s="118">
        <f>+[1]ConsPL_MainOp!C155</f>
        <v>32.706000000000003</v>
      </c>
      <c r="L28" s="118">
        <f>+[1]ConsPL_MainOp!D155</f>
        <v>37.706000000000003</v>
      </c>
      <c r="M28" s="119">
        <f>+[1]ConsPL_MainOp!E155</f>
        <v>-13.260489046836046</v>
      </c>
      <c r="N28" s="118">
        <f>+[1]ConsPL_MainOp!F155</f>
        <v>21.752000000000002</v>
      </c>
      <c r="O28" s="118">
        <f>+[1]ConsPL_MainOp!G155</f>
        <v>18.227000000000004</v>
      </c>
      <c r="P28" s="119">
        <f>+[1]ConsPL_MainOp!H155</f>
        <v>19.339441487902551</v>
      </c>
      <c r="R28" s="31" t="str">
        <f>+IF($B$6="esp","Margen EBIT","EBIT Margin")</f>
        <v>Margen EBIT</v>
      </c>
      <c r="S28" s="120">
        <f>+S27/S14</f>
        <v>8.7934896678606947E-2</v>
      </c>
      <c r="T28" s="120">
        <f>+T27/T14</f>
        <v>1.9743209727179238E-2</v>
      </c>
      <c r="U28" s="128"/>
      <c r="V28" s="120">
        <f>+V27/V14</f>
        <v>7.6444011821701158E-2</v>
      </c>
      <c r="W28" s="120">
        <f>+W27/W14</f>
        <v>-6.4016104419647599E-2</v>
      </c>
      <c r="X28" s="89"/>
      <c r="Z28" s="22" t="str">
        <f>+IF($B$6="esp","Resultados de explotación ajustados a tipo constante","Adjusted Operating results at cosntant currency")</f>
        <v>Resultados de explotación ajustados a tipo constante</v>
      </c>
      <c r="AA28" s="40">
        <f>+$C$12</f>
        <v>2015</v>
      </c>
      <c r="AB28" s="40">
        <f>+$D$12</f>
        <v>2014</v>
      </c>
      <c r="AC28" s="41" t="str">
        <f>+$E$12</f>
        <v>Var. %</v>
      </c>
      <c r="AD28" s="42"/>
      <c r="AE28" s="40">
        <f>+AE12</f>
        <v>2015</v>
      </c>
      <c r="AF28" s="40">
        <f>+AF12</f>
        <v>2014</v>
      </c>
      <c r="AG28" s="41" t="str">
        <f>+AC28</f>
        <v>Var. %</v>
      </c>
      <c r="AI28" s="67" t="str">
        <f>+IF($B$6="esp","España","Spain")</f>
        <v>España</v>
      </c>
      <c r="AJ28" s="73">
        <f>+[1]UN!C111</f>
        <v>189.82651439999998</v>
      </c>
      <c r="AK28" s="73">
        <f>+[1]UN!D111</f>
        <v>175.47699664000001</v>
      </c>
      <c r="AL28" s="68">
        <f>+[1]UN!E111</f>
        <v>8.1774352392403521E-2</v>
      </c>
      <c r="AN28" s="73">
        <f>+[1]UN!G111</f>
        <v>56.023019819999945</v>
      </c>
      <c r="AO28" s="73">
        <f>+[1]UN!H111</f>
        <v>53.523947700000008</v>
      </c>
      <c r="AP28" s="68">
        <f>+[1]UN!I111</f>
        <v>4.6690728681059834E-2</v>
      </c>
      <c r="AR28" s="33" t="str">
        <f>+IF($B$6="esp","% margen ajustado","% adjusted margin")</f>
        <v>% margen ajustado</v>
      </c>
      <c r="AS28" s="98">
        <f>+[1]UN!C45</f>
        <v>3.4387282102422687E-2</v>
      </c>
      <c r="AT28" s="99">
        <f>+[1]UN!D45</f>
        <v>-1.5211158221070675E-2</v>
      </c>
      <c r="AU28" s="100"/>
      <c r="AV28" s="92"/>
      <c r="AW28" s="99">
        <f>+AW27/AW24</f>
        <v>0.10847464030012668</v>
      </c>
      <c r="AX28" s="99">
        <f>+AX27/AX24</f>
        <v>7.5482990691013108E-2</v>
      </c>
      <c r="AY28" s="100"/>
      <c r="BA28" s="53"/>
      <c r="BB28" s="40">
        <f>+$C$12</f>
        <v>2015</v>
      </c>
      <c r="BC28" s="40">
        <f>+$D$12</f>
        <v>2014</v>
      </c>
      <c r="BD28" s="40" t="str">
        <f>+$E$12</f>
        <v>Var. %</v>
      </c>
      <c r="BE28" s="42"/>
      <c r="BF28" s="40">
        <f>+$C$12</f>
        <v>2015</v>
      </c>
      <c r="BG28" s="40">
        <f>+$D$12</f>
        <v>2014</v>
      </c>
      <c r="BH28" s="40" t="str">
        <f>+$E$12</f>
        <v>Var. %</v>
      </c>
    </row>
    <row r="29" spans="2:60" x14ac:dyDescent="0.25">
      <c r="B29" s="8" t="str">
        <f>+IF($B$6="esp","Ingresos de explotación "," Operating Revenues")</f>
        <v xml:space="preserve">Ingresos de explotación </v>
      </c>
      <c r="C29" s="80">
        <f>+[1]ConsPL_MainOp!C14</f>
        <v>1374.0619999999999</v>
      </c>
      <c r="D29" s="80">
        <f>+[1]ConsPL_MainOp!D14</f>
        <v>1454.7280000000001</v>
      </c>
      <c r="E29" s="80">
        <f>+[1]ConsPL_MainOp!E14</f>
        <v>-5.54509159100534</v>
      </c>
      <c r="F29" s="129">
        <f>+[1]ConsPL_MainOp!F14</f>
        <v>312.30699999999979</v>
      </c>
      <c r="G29" s="80">
        <f>+[1]ConsPL_MainOp!G14</f>
        <v>385.98099999999999</v>
      </c>
      <c r="H29" s="130">
        <f>+[1]ConsPL_MainOp!H14</f>
        <v>-19.087468035991463</v>
      </c>
      <c r="J29" s="96" t="str">
        <f>+J18</f>
        <v>Latam</v>
      </c>
      <c r="K29" s="118">
        <f>+[1]ConsPL_MainOp!C156</f>
        <v>115.94499999999999</v>
      </c>
      <c r="L29" s="118">
        <f>+[1]ConsPL_MainOp!D156</f>
        <v>113.60299999999999</v>
      </c>
      <c r="M29" s="119">
        <f>+[1]ConsPL_MainOp!E156</f>
        <v>2.061565275564905</v>
      </c>
      <c r="N29" s="118">
        <f>+[1]ConsPL_MainOp!F156</f>
        <v>32.149999999999991</v>
      </c>
      <c r="O29" s="118">
        <f>+[1]ConsPL_MainOp!G156</f>
        <v>48.75</v>
      </c>
      <c r="P29" s="119">
        <f>+[1]ConsPL_MainOp!H156</f>
        <v>-34.051282051282065</v>
      </c>
      <c r="R29" s="28" t="str">
        <f>+IF($B$6="esp","España","Spain")</f>
        <v>España</v>
      </c>
      <c r="S29" s="29">
        <f>+[1]ConsPL_MainOp!C102</f>
        <v>-12.352</v>
      </c>
      <c r="T29" s="29">
        <f>+[1]ConsPL_MainOp!D102</f>
        <v>-106.867</v>
      </c>
      <c r="U29" s="89">
        <f>+[1]ConsPL_MainOp!E102</f>
        <v>88.441707917317785</v>
      </c>
      <c r="V29" s="29">
        <f>+[1]ConsPL_MainOp!F102</f>
        <v>-25.136000000000003</v>
      </c>
      <c r="W29" s="29">
        <f>+[1]ConsPL_MainOp!G102</f>
        <v>-77.830000000000013</v>
      </c>
      <c r="X29" s="89">
        <f>+[1]ConsPL_MainOp!H102</f>
        <v>67.703970191442892</v>
      </c>
      <c r="Z29" s="65" t="str">
        <f>+IF($B$6="esp","Ingresos ajustados a tipo de cambio constante","Adjusted Revenue at constant fx rate")</f>
        <v>Ingresos ajustados a tipo de cambio constante</v>
      </c>
      <c r="AA29" s="82">
        <f>+[1]UN!C182</f>
        <v>671.39320168553115</v>
      </c>
      <c r="AB29" s="82">
        <f>+[1]UN!D182</f>
        <v>651.63150538516368</v>
      </c>
      <c r="AC29" s="66">
        <f>+[1]UN!E182</f>
        <v>3.0326489951842971E-2</v>
      </c>
      <c r="AD29" s="45"/>
      <c r="AE29" s="82">
        <f>+[1]UN!G182</f>
        <v>119.68236090594098</v>
      </c>
      <c r="AF29" s="82">
        <f>+[1]UN!H182</f>
        <v>173.05232420297943</v>
      </c>
      <c r="AG29" s="66">
        <f>+[1]UN!I182</f>
        <v>-0.30840362036651331</v>
      </c>
      <c r="AI29" s="67" t="str">
        <f>+IF($B$6="esp","Latam","Latam")</f>
        <v>Latam</v>
      </c>
      <c r="AJ29" s="73">
        <f>+[1]UN!C112</f>
        <v>146.36626068221432</v>
      </c>
      <c r="AK29" s="73">
        <f>+[1]UN!D112</f>
        <v>145.92426693049538</v>
      </c>
      <c r="AL29" s="68">
        <f>+[1]UN!E112</f>
        <v>3.028925627082053E-3</v>
      </c>
      <c r="AN29" s="73">
        <f>+[1]UN!G112</f>
        <v>42.934720551127626</v>
      </c>
      <c r="AO29" s="73">
        <f>+[1]UN!H112</f>
        <v>44.594099036570242</v>
      </c>
      <c r="AP29" s="68">
        <f>+[1]UN!I112</f>
        <v>-3.721071893574554E-2</v>
      </c>
      <c r="BA29" s="23" t="str">
        <f>+IF($B$6="esp","Efectos extraordinarios en gastos","One- offs in operating expenses")</f>
        <v>Efectos extraordinarios en gastos</v>
      </c>
      <c r="BB29" s="131">
        <f>+[1]UN!C223</f>
        <v>0.77888552000000011</v>
      </c>
      <c r="BC29" s="131">
        <f>+[1]UN!D223</f>
        <v>1.7088330500000009</v>
      </c>
      <c r="BD29" s="132"/>
      <c r="BE29" s="94"/>
      <c r="BF29" s="131">
        <f>+[1]UN!G223</f>
        <v>2.2583609999999643E-2</v>
      </c>
      <c r="BG29" s="131">
        <f>+[1]UN!H223</f>
        <v>0.30877801999999988</v>
      </c>
      <c r="BH29" s="133"/>
    </row>
    <row r="30" spans="2:60" x14ac:dyDescent="0.25">
      <c r="B30" s="8" t="str">
        <f>+IF($B$6="esp","EBITDA","EBITDA")</f>
        <v>EBITDA</v>
      </c>
      <c r="C30" s="80">
        <f>+[1]ConsPL_MainOp!C15</f>
        <v>248.41399999999999</v>
      </c>
      <c r="D30" s="80">
        <f>+[1]ConsPL_MainOp!D15</f>
        <v>183.38499999999999</v>
      </c>
      <c r="E30" s="80">
        <f>+[1]ConsPL_MainOp!E15</f>
        <v>35.460370259290563</v>
      </c>
      <c r="F30" s="129">
        <f>+[1]ConsPL_MainOp!F15</f>
        <v>46.413999999999987</v>
      </c>
      <c r="G30" s="80">
        <f>+[1]ConsPL_MainOp!G15</f>
        <v>4.0029999999999859</v>
      </c>
      <c r="H30" s="130" t="str">
        <f>+[1]ConsPL_MainOp!H15</f>
        <v xml:space="preserve"> - </v>
      </c>
      <c r="J30" s="31" t="str">
        <f>+IF($B$6="esp","Margen EBIT ajustado","Adjusted EBIT Margin")</f>
        <v>Margen EBIT ajustado</v>
      </c>
      <c r="K30" s="120">
        <f>+K25/K14</f>
        <v>0.12413510345844131</v>
      </c>
      <c r="L30" s="120">
        <f>+L25/L14</f>
        <v>9.4894855786346807E-2</v>
      </c>
      <c r="M30" s="120"/>
      <c r="N30" s="120">
        <f>+N25/N14</f>
        <v>0.13995462013926918</v>
      </c>
      <c r="O30" s="120">
        <f>+O25/O14</f>
        <v>0.13670382185715338</v>
      </c>
      <c r="P30" s="120"/>
      <c r="R30" s="28" t="str">
        <f>+IF($B$6="esp","Portugal","Portugal")</f>
        <v>Portugal</v>
      </c>
      <c r="S30" s="89">
        <f>+[1]ConsPL_MainOp!C103</f>
        <v>32.090000000000003</v>
      </c>
      <c r="T30" s="89">
        <f>+[1]ConsPL_MainOp!D103</f>
        <v>36.052999999999997</v>
      </c>
      <c r="U30" s="29">
        <f>+[1]ConsPL_MainOp!E103</f>
        <v>-10.992150445177916</v>
      </c>
      <c r="V30" s="89">
        <f>+[1]ConsPL_MainOp!F103</f>
        <v>21.729000000000003</v>
      </c>
      <c r="W30" s="89">
        <f>+[1]ConsPL_MainOp!G103</f>
        <v>17.859999999999996</v>
      </c>
      <c r="X30" s="89">
        <f>+[1]ConsPL_MainOp!H103</f>
        <v>21.662933930571153</v>
      </c>
      <c r="Z30" s="67" t="str">
        <f>+IF($B$6="esp","España","Spain")</f>
        <v>España</v>
      </c>
      <c r="AA30" s="73">
        <f>+[1]UN!C183</f>
        <v>139.63301521191764</v>
      </c>
      <c r="AB30" s="73">
        <f>+[1]UN!D183</f>
        <v>116.43910514699866</v>
      </c>
      <c r="AC30" s="68">
        <f>+[1]UN!E183</f>
        <v>0.19919347572825991</v>
      </c>
      <c r="AD30" s="45"/>
      <c r="AE30" s="73">
        <f>+[1]UN!G183</f>
        <v>-19.784168229020025</v>
      </c>
      <c r="AF30" s="73">
        <f>+[1]UN!H183</f>
        <v>-17.684076035185598</v>
      </c>
      <c r="AG30" s="68">
        <f>+[1]UN!I183</f>
        <v>-0.11875611650028663</v>
      </c>
      <c r="AI30" s="67" t="str">
        <f>+IF($B$6="esp","Ajustes y Otros","Adjustnents &amp; others")</f>
        <v>Ajustes y Otros</v>
      </c>
      <c r="AJ30" s="73">
        <f>+[1]UN!C113</f>
        <v>10.467171257141002</v>
      </c>
      <c r="AK30" s="73">
        <f>+[1]UN!D113</f>
        <v>8.8416389899622718</v>
      </c>
      <c r="AL30" s="68"/>
      <c r="AN30" s="73">
        <f>+[1]UN!G113</f>
        <v>4.5320170793680292</v>
      </c>
      <c r="AO30" s="73">
        <f>+[1]UN!H113</f>
        <v>4.0328838499494939</v>
      </c>
      <c r="AP30" s="68"/>
      <c r="AR30" s="22" t="str">
        <f>+IF($B$6="esp","Resultados Reportados","Reported Results ")</f>
        <v>Resultados Reportados</v>
      </c>
      <c r="AS30" s="40">
        <f>+$C$12</f>
        <v>2015</v>
      </c>
      <c r="AT30" s="40">
        <f>+$D$12</f>
        <v>2014</v>
      </c>
      <c r="AU30" s="40" t="str">
        <f>+$E$12</f>
        <v>Var. %</v>
      </c>
      <c r="AV30" s="42"/>
      <c r="AW30" s="40">
        <f>+$C$12</f>
        <v>2015</v>
      </c>
      <c r="AX30" s="40">
        <f>+$D$12</f>
        <v>2014</v>
      </c>
      <c r="AY30" s="40" t="str">
        <f>+$E$12</f>
        <v>Var. %</v>
      </c>
      <c r="BA30" s="55" t="str">
        <f>+IF($B$6="esp","Indemnizaciones","Redundancies")</f>
        <v>Indemnizaciones</v>
      </c>
      <c r="BB30" s="133">
        <f>+[1]UN!C224</f>
        <v>0.77888552000000011</v>
      </c>
      <c r="BC30" s="133">
        <f>+[1]UN!D224</f>
        <v>1.7088330500000009</v>
      </c>
      <c r="BD30" s="132"/>
      <c r="BE30" s="94"/>
      <c r="BF30" s="133">
        <f>+[1]UN!G224</f>
        <v>2.2583609999999643E-2</v>
      </c>
      <c r="BG30" s="133">
        <f>+[1]UN!H224</f>
        <v>0.30877801999999988</v>
      </c>
      <c r="BH30" s="133"/>
    </row>
    <row r="31" spans="2:60" x14ac:dyDescent="0.25">
      <c r="B31" s="10" t="str">
        <f>+IF($B$6="esp","Margen EBITDA","EBITDA Margin")</f>
        <v>Margen EBITDA</v>
      </c>
      <c r="C31" s="11">
        <f>+[1]ConsPL_MainOp!C16</f>
        <v>0.18078805759856542</v>
      </c>
      <c r="D31" s="12">
        <f>+[1]ConsPL_MainOp!D16</f>
        <v>0.12606136679846677</v>
      </c>
      <c r="E31" s="80"/>
      <c r="F31" s="11">
        <f>+[1]ConsPL_MainOp!F16</f>
        <v>0.14861658560326862</v>
      </c>
      <c r="G31" s="12">
        <f>+[1]ConsPL_MainOp!G16</f>
        <v>1.0370976809739304E-2</v>
      </c>
      <c r="H31" s="130"/>
      <c r="J31" s="1"/>
      <c r="K31" s="1"/>
      <c r="L31" s="1"/>
      <c r="M31" s="1"/>
      <c r="N31" s="1"/>
      <c r="O31" s="1"/>
      <c r="P31" s="1"/>
      <c r="R31" s="28" t="str">
        <f>+IF($B$6="esp","Latam","Latam")</f>
        <v>Latam</v>
      </c>
      <c r="S31" s="89">
        <f>+[1]ConsPL_MainOp!C104</f>
        <v>101.09</v>
      </c>
      <c r="T31" s="89">
        <f>+[1]ConsPL_MainOp!D104</f>
        <v>99.534999999999997</v>
      </c>
      <c r="U31" s="89">
        <f>+[1]ConsPL_MainOp!E104</f>
        <v>1.5622645300648081</v>
      </c>
      <c r="V31" s="89">
        <f>+[1]ConsPL_MainOp!F104</f>
        <v>27.281000000000006</v>
      </c>
      <c r="W31" s="89">
        <f>+[1]ConsPL_MainOp!G104</f>
        <v>35.260999999999996</v>
      </c>
      <c r="X31" s="29">
        <f>+[1]ConsPL_MainOp!H104</f>
        <v>-22.631235642778115</v>
      </c>
      <c r="Z31" s="67" t="str">
        <f>+IF($B$6="esp","Internacional","International")</f>
        <v>Internacional</v>
      </c>
      <c r="AA31" s="73">
        <f>+[1]UN!C184</f>
        <v>531.76018647361354</v>
      </c>
      <c r="AB31" s="73">
        <f>+[1]UN!D184</f>
        <v>535.19240023816508</v>
      </c>
      <c r="AC31" s="68">
        <f>+[1]UN!E184</f>
        <v>-6.4130465287327888E-3</v>
      </c>
      <c r="AD31" s="45"/>
      <c r="AE31" s="73">
        <f>+[1]UN!G184</f>
        <v>139.46652913496104</v>
      </c>
      <c r="AF31" s="73">
        <f>+[1]UN!H184</f>
        <v>190.73640023816506</v>
      </c>
      <c r="AG31" s="68">
        <f>+[1]UN!I184</f>
        <v>-0.26879961580057793</v>
      </c>
      <c r="AI31" s="65" t="str">
        <f>+IF($B$6="esp","EBITDA ajustado a tipo de cambio constante","Adjusted EBITDA at constant fx rate")</f>
        <v>EBITDA ajustado a tipo de cambio constante</v>
      </c>
      <c r="AJ31" s="82">
        <f>+[1]UN!C114</f>
        <v>79.561965841667288</v>
      </c>
      <c r="AK31" s="82">
        <f>+[1]UN!D114</f>
        <v>65.754159237886483</v>
      </c>
      <c r="AL31" s="66">
        <f>+[1]UN!E114</f>
        <v>0.20999137946280619</v>
      </c>
      <c r="AN31" s="82">
        <f>+[1]UN!G114</f>
        <v>33.898356641158031</v>
      </c>
      <c r="AO31" s="82">
        <f>+[1]UN!H114</f>
        <v>28.753711256998933</v>
      </c>
      <c r="AP31" s="66">
        <f>+[1]UN!I114</f>
        <v>0.1789210908524666</v>
      </c>
      <c r="AR31" s="43" t="str">
        <f>+IF($B$6="esp","Ingresos","Revenues")</f>
        <v>Ingresos</v>
      </c>
      <c r="AS31" s="134">
        <f>+[1]UN!C14</f>
        <v>241.26490573705101</v>
      </c>
      <c r="AT31" s="135">
        <f>+[1]UN!D14</f>
        <v>260.22371194701395</v>
      </c>
      <c r="AU31" s="106">
        <f>+[1]UN!E14</f>
        <v>-7.2855798067407801E-2</v>
      </c>
      <c r="AV31" s="86"/>
      <c r="AW31" s="135">
        <f>+[1]UN!G14</f>
        <v>70.721278642626373</v>
      </c>
      <c r="AX31" s="135">
        <f>+[1]UN!H14</f>
        <v>72.30462590941417</v>
      </c>
      <c r="AY31" s="106">
        <f>+[1]UN!I14</f>
        <v>-2.1898284471749723E-2</v>
      </c>
    </row>
    <row r="32" spans="2:60" x14ac:dyDescent="0.25">
      <c r="B32" s="8" t="str">
        <f>+IF($B$6="esp","EBIT","EBIT")</f>
        <v>EBIT</v>
      </c>
      <c r="C32" s="80">
        <f>+[1]ConsPL_MainOp!C17</f>
        <v>120.828</v>
      </c>
      <c r="D32" s="80">
        <f>+[1]ConsPL_MainOp!D17</f>
        <v>28.721</v>
      </c>
      <c r="E32" s="80" t="str">
        <f>+[1]ConsPL_MainOp!E17</f>
        <v xml:space="preserve"> - </v>
      </c>
      <c r="F32" s="129">
        <f>+[1]ConsPL_MainOp!F17</f>
        <v>23.874000000000009</v>
      </c>
      <c r="G32" s="80">
        <f>+[1]ConsPL_MainOp!G17</f>
        <v>-24.709</v>
      </c>
      <c r="H32" s="130">
        <f>+[1]ConsPL_MainOp!H17</f>
        <v>196.62066453518966</v>
      </c>
      <c r="J32" s="1"/>
      <c r="K32" s="1"/>
      <c r="L32" s="1"/>
      <c r="M32" s="1"/>
      <c r="N32" s="1"/>
      <c r="O32" s="1"/>
      <c r="P32" s="1"/>
      <c r="Z32" s="69" t="str">
        <f>+IF($B$6="esp","Portugal","Portugal")</f>
        <v>Portugal</v>
      </c>
      <c r="AA32" s="73">
        <f>+[1]UN!C185</f>
        <v>5.8365820000000008</v>
      </c>
      <c r="AB32" s="73">
        <f>+[1]UN!D185</f>
        <v>7.1783380000000001</v>
      </c>
      <c r="AC32" s="68">
        <f>+[1]UN!E185</f>
        <v>-0.18691736165112305</v>
      </c>
      <c r="AD32" s="45"/>
      <c r="AE32" s="73">
        <f>+[1]UN!G185</f>
        <v>0.26658200000000054</v>
      </c>
      <c r="AF32" s="73">
        <f>+[1]UN!H185</f>
        <v>0.76433800000000041</v>
      </c>
      <c r="AG32" s="68">
        <f>+[1]UN!I185</f>
        <v>-0.6512249816180794</v>
      </c>
      <c r="AI32" s="67" t="str">
        <f>+AI28</f>
        <v>España</v>
      </c>
      <c r="AJ32" s="73">
        <f>+[1]UN!C115</f>
        <v>29.085649609999809</v>
      </c>
      <c r="AK32" s="73">
        <f>+[1]UN!D115</f>
        <v>16.873499589999991</v>
      </c>
      <c r="AL32" s="68">
        <f>+[1]UN!E115</f>
        <v>0.72374731482716825</v>
      </c>
      <c r="AN32" s="73">
        <f>+[1]UN!G115</f>
        <v>14.574105169999836</v>
      </c>
      <c r="AO32" s="73">
        <f>+[1]UN!H115</f>
        <v>10.778545380000011</v>
      </c>
      <c r="AP32" s="68">
        <f>+[1]UN!I115</f>
        <v>0.35214026162033196</v>
      </c>
      <c r="AR32" s="31" t="str">
        <f>+IF($B$6="esp","Publicidad","Advertising")</f>
        <v>Publicidad</v>
      </c>
      <c r="AS32" s="136">
        <f>+[1]UN!C15</f>
        <v>111.14032572844701</v>
      </c>
      <c r="AT32" s="137">
        <f>+[1]UN!D15</f>
        <v>109.37159917333497</v>
      </c>
      <c r="AU32" s="112">
        <f>+[1]UN!E15</f>
        <v>1.6171717049770069E-2</v>
      </c>
      <c r="AV32" s="92"/>
      <c r="AW32" s="137">
        <f>+[1]UN!G15</f>
        <v>37.038133510589191</v>
      </c>
      <c r="AX32" s="137">
        <f>+[1]UN!H15</f>
        <v>36.476134653167193</v>
      </c>
      <c r="AY32" s="112">
        <f>+[1]UN!I15</f>
        <v>1.5407302960298713E-2</v>
      </c>
    </row>
    <row r="33" spans="2:53" x14ac:dyDescent="0.25">
      <c r="B33" s="10" t="str">
        <f>+IF($B$6="esp","Margen EBIT","EBIT Margin")</f>
        <v>Margen EBIT</v>
      </c>
      <c r="C33" s="11">
        <f>+[1]ConsPL_MainOp!C18</f>
        <v>8.7934896678606947E-2</v>
      </c>
      <c r="D33" s="12">
        <f>+[1]ConsPL_MainOp!D18</f>
        <v>1.9743209727179238E-2</v>
      </c>
      <c r="E33" s="80"/>
      <c r="F33" s="11">
        <f>+[1]ConsPL_MainOp!F18</f>
        <v>7.6444011821701158E-2</v>
      </c>
      <c r="G33" s="11">
        <f>+[1]ConsPL_MainOp!G18</f>
        <v>0</v>
      </c>
      <c r="H33" s="12"/>
      <c r="J33" s="1"/>
      <c r="K33" s="1"/>
      <c r="L33" s="1"/>
      <c r="M33" s="1"/>
      <c r="N33" s="1"/>
      <c r="O33" s="1"/>
      <c r="P33" s="1"/>
      <c r="Z33" s="69" t="str">
        <f>+IF($B$6="esp","Latam","Latam")</f>
        <v>Latam</v>
      </c>
      <c r="AA33" s="73">
        <f>+[1]UN!C186</f>
        <v>525.92360447361352</v>
      </c>
      <c r="AB33" s="73">
        <f>+[1]UN!D186</f>
        <v>528.01406223816502</v>
      </c>
      <c r="AC33" s="68">
        <f>+[1]UN!E186</f>
        <v>-3.9590948689707129E-3</v>
      </c>
      <c r="AD33" s="45"/>
      <c r="AE33" s="73">
        <f>+[1]UN!G186</f>
        <v>139.19994713496101</v>
      </c>
      <c r="AF33" s="73">
        <f>+[1]UN!H186</f>
        <v>189.97206223816499</v>
      </c>
      <c r="AG33" s="68">
        <f>+[1]UN!I186</f>
        <v>-0.26726095671663436</v>
      </c>
      <c r="AI33" s="67" t="str">
        <f>+AI29</f>
        <v>Latam</v>
      </c>
      <c r="AJ33" s="73">
        <f>+[1]UN!C116</f>
        <v>48.95309648915287</v>
      </c>
      <c r="AK33" s="73">
        <f>+[1]UN!D116</f>
        <v>47.521076417082341</v>
      </c>
      <c r="AL33" s="68">
        <f>+[1]UN!E116</f>
        <v>3.0134419925634561E-2</v>
      </c>
      <c r="AN33" s="73">
        <f>+[1]UN!G116</f>
        <v>17.283977235123434</v>
      </c>
      <c r="AO33" s="73">
        <f>+[1]UN!H116</f>
        <v>16.896173426749211</v>
      </c>
      <c r="AP33" s="68">
        <f>+[1]UN!I116</f>
        <v>2.2952167841759376E-2</v>
      </c>
      <c r="AR33" s="31" t="str">
        <f>+IF($B$6= "esp","Circulación", "Circulation")</f>
        <v>Circulación</v>
      </c>
      <c r="AS33" s="136">
        <f>+[1]UN!C16</f>
        <v>96.129991669008007</v>
      </c>
      <c r="AT33" s="137">
        <f>+[1]UN!D16</f>
        <v>108.99607212065931</v>
      </c>
      <c r="AU33" s="112">
        <f>+[1]UN!E16</f>
        <v>-0.11804168903819279</v>
      </c>
      <c r="AV33" s="92"/>
      <c r="AW33" s="137">
        <f>+[1]UN!G16</f>
        <v>23.822916426734679</v>
      </c>
      <c r="AX33" s="137">
        <f>+[1]UN!H16</f>
        <v>26.262235219742422</v>
      </c>
      <c r="AY33" s="112">
        <f>+[1]UN!I16</f>
        <v>-9.2883137044405303E-2</v>
      </c>
    </row>
    <row r="34" spans="2:53" ht="15" customHeight="1" x14ac:dyDescent="0.25">
      <c r="B34" s="8" t="str">
        <f>+IF($B$6="esp","Resultado Financiero","Net financial result")</f>
        <v>Resultado Financiero</v>
      </c>
      <c r="C34" s="80">
        <f>+[1]ConsPL_MainOp!C19</f>
        <v>-108.80500000000001</v>
      </c>
      <c r="D34" s="80">
        <f>+[1]ConsPL_MainOp!D19</f>
        <v>-39.064999999999998</v>
      </c>
      <c r="E34" s="80">
        <f>+[1]ConsPL_MainOp!E19</f>
        <v>-178.52297452963012</v>
      </c>
      <c r="F34" s="129">
        <f>+[1]ConsPL_MainOp!F19</f>
        <v>-34.194000000000003</v>
      </c>
      <c r="G34" s="80">
        <f>+[1]ConsPL_MainOp!G19</f>
        <v>-70.546999999999997</v>
      </c>
      <c r="H34" s="130">
        <f>+[1]ConsPL_MainOp!H19</f>
        <v>51.530185550058818</v>
      </c>
      <c r="J34" s="22" t="str">
        <f>+IF($B$6="esp","Millones de euros","Eur Million")</f>
        <v>Millones de euros</v>
      </c>
      <c r="K34" s="76"/>
      <c r="L34" s="76" t="str">
        <f>+IF($B$6="esp","ENERO-DICIEMBRE","JANUARY-DECEMBER")</f>
        <v>ENERO-DICIEMBRE</v>
      </c>
      <c r="M34" s="76"/>
      <c r="N34" s="77"/>
      <c r="O34" s="76" t="str">
        <f>+IF($B$6="esp","OCTUBRE-DICIEMBRE","OCTOBER-DECEMBER")</f>
        <v>OCTUBRE-DICIEMBRE</v>
      </c>
      <c r="P34" s="76"/>
      <c r="R34" s="22" t="str">
        <f>+IF($B$6="esp","Efectos extraordinarios","Extraordinary Items")</f>
        <v>Efectos extraordinarios</v>
      </c>
      <c r="S34" s="215" t="str">
        <f>+IF($B$6="esp","ENERO-DICIEMBRE","JANUARY-DECEMBER")</f>
        <v>ENERO-DICIEMBRE</v>
      </c>
      <c r="T34" s="216"/>
      <c r="V34" s="215" t="str">
        <f>+IF($B$6="esp","OCTUBRE-DICIEMBRE","OCTOBER-DECEMBER")</f>
        <v>OCTUBRE-DICIEMBRE</v>
      </c>
      <c r="W34" s="215"/>
      <c r="Z34" s="65" t="str">
        <f>+IF($B$6="esp","EBITDA ajustado","Adjusted EBITDA")</f>
        <v>EBITDA ajustado</v>
      </c>
      <c r="AA34" s="82">
        <f>+[1]UN!C187</f>
        <v>175.22470337990416</v>
      </c>
      <c r="AB34" s="82">
        <f>+[1]UN!D187</f>
        <v>158.04160656081359</v>
      </c>
      <c r="AC34" s="66">
        <f>+[1]UN!E187</f>
        <v>0.10872514645362454</v>
      </c>
      <c r="AD34" s="45"/>
      <c r="AE34" s="82">
        <f>+[1]UN!G187</f>
        <v>2.4382363619649823</v>
      </c>
      <c r="AF34" s="82">
        <f>+[1]UN!H187</f>
        <v>21.606777078743562</v>
      </c>
      <c r="AG34" s="66">
        <f>+[1]UN!I187</f>
        <v>-0.88715409276084567</v>
      </c>
      <c r="AI34" s="67" t="str">
        <f>+AI30</f>
        <v>Ajustes y Otros</v>
      </c>
      <c r="AJ34" s="73">
        <f>+[1]UN!C117</f>
        <v>1.5232197425145932</v>
      </c>
      <c r="AK34" s="73">
        <f>+[1]UN!D117</f>
        <v>1.3560670643014776</v>
      </c>
      <c r="AL34" s="68"/>
      <c r="AN34" s="73">
        <f>+[1]UN!G117</f>
        <v>2.0402742360347292</v>
      </c>
      <c r="AO34" s="73">
        <f>+[1]UN!H117</f>
        <v>1.0754762837470369</v>
      </c>
      <c r="AP34" s="68"/>
      <c r="AR34" s="31" t="str">
        <f>+IF($B$6= "esp","Promociones y otros", "Add-ons and others")</f>
        <v>Promociones y otros</v>
      </c>
      <c r="AS34" s="136">
        <f>+[1]UN!C17</f>
        <v>33.994588339595992</v>
      </c>
      <c r="AT34" s="137">
        <f>+[1]UN!D17</f>
        <v>41.856040653019676</v>
      </c>
      <c r="AU34" s="112">
        <f>+[1]UN!E17</f>
        <v>-0.18782121267976465</v>
      </c>
      <c r="AV34" s="92"/>
      <c r="AW34" s="137">
        <f>+[1]UN!G17</f>
        <v>9.8602287053025037</v>
      </c>
      <c r="AX34" s="137">
        <f>+[1]UN!H17</f>
        <v>9.566256036504555</v>
      </c>
      <c r="AY34" s="112">
        <f>+[1]UN!I17</f>
        <v>3.0730169428474164E-2</v>
      </c>
    </row>
    <row r="35" spans="2:53" x14ac:dyDescent="0.25">
      <c r="B35" s="10" t="str">
        <f>+IF($B$6="esp","Gastos por intereses de financiación","Interest on debt")</f>
        <v>Gastos por intereses de financiación</v>
      </c>
      <c r="C35" s="29">
        <f>+[1]ConsPL_MainOp!C20</f>
        <v>-81.884</v>
      </c>
      <c r="D35" s="29">
        <f>+[1]ConsPL_MainOp!D20</f>
        <v>-114.681</v>
      </c>
      <c r="E35" s="29">
        <f>+[1]ConsPL_MainOp!E20</f>
        <v>28.598460076211403</v>
      </c>
      <c r="F35" s="138">
        <f>+[1]ConsPL_MainOp!F20</f>
        <v>-17.501000000000005</v>
      </c>
      <c r="G35" s="29">
        <f>+[1]ConsPL_MainOp!G20</f>
        <v>-29.694000000000003</v>
      </c>
      <c r="H35" s="139">
        <f>+[1]ConsPL_MainOp!H20</f>
        <v>41.06216744123391</v>
      </c>
      <c r="J35" s="3"/>
      <c r="K35" s="3"/>
      <c r="L35" s="3"/>
      <c r="M35" s="3"/>
      <c r="N35" s="3"/>
      <c r="O35" s="3"/>
      <c r="P35" s="3"/>
      <c r="R35" s="3"/>
      <c r="S35" s="1"/>
      <c r="T35" s="1"/>
      <c r="V35" s="1"/>
      <c r="W35" s="1"/>
      <c r="Z35" s="67" t="str">
        <f>+Z30</f>
        <v>España</v>
      </c>
      <c r="AA35" s="73">
        <f>+[1]UN!C188</f>
        <v>31.419026989999665</v>
      </c>
      <c r="AB35" s="73">
        <f>+[1]UN!D188</f>
        <v>20.412606560813614</v>
      </c>
      <c r="AC35" s="68">
        <f>+[1]UN!E188</f>
        <v>0.53919720621643885</v>
      </c>
      <c r="AD35" s="45"/>
      <c r="AE35" s="73">
        <f>+[1]UN!G188</f>
        <v>-38.323944902477407</v>
      </c>
      <c r="AF35" s="73">
        <f>+[1]UN!H188</f>
        <v>-32.676222921256411</v>
      </c>
      <c r="AG35" s="68">
        <f>+[1]UN!I188</f>
        <v>-0.17283888639243744</v>
      </c>
      <c r="AI35" s="33" t="str">
        <f>+IF($B$6="esp","% margen ajustado","% adjusted margin")</f>
        <v>% margen ajustado</v>
      </c>
      <c r="AJ35" s="59">
        <f>+[1]UN!C118</f>
        <v>0.22951011987921391</v>
      </c>
      <c r="AK35" s="59">
        <f>+[1]UN!D118</f>
        <v>0.19910865658570609</v>
      </c>
      <c r="AL35" s="60"/>
      <c r="AN35" s="59">
        <f>+[1]UN!G118</f>
        <v>0.3275527692426311</v>
      </c>
      <c r="AO35" s="59">
        <f>+[1]UN!H118</f>
        <v>0.2814834671377674</v>
      </c>
      <c r="AP35" s="60"/>
      <c r="AR35" s="34" t="str">
        <f>+IF($B$6="esp","Gastos de explotación","Operating expenses")</f>
        <v>Gastos de explotación</v>
      </c>
      <c r="AS35" s="134">
        <f>+[1]UN!C18</f>
        <v>234.86561766625744</v>
      </c>
      <c r="AT35" s="135">
        <f>+[1]UN!D18</f>
        <v>258.76985987085942</v>
      </c>
      <c r="AU35" s="106">
        <f>+[1]UN!E18</f>
        <v>-9.2376454570603908E-2</v>
      </c>
      <c r="AV35" s="86"/>
      <c r="AW35" s="135">
        <f>+[1]UN!G18</f>
        <v>61.012771605967089</v>
      </c>
      <c r="AX35" s="135">
        <f>+[1]UN!H18</f>
        <v>63.853445902860472</v>
      </c>
      <c r="AY35" s="106">
        <f>+[1]UN!I18</f>
        <v>-4.4487407949993313E-2</v>
      </c>
    </row>
    <row r="36" spans="2:53" ht="17.25" customHeight="1" x14ac:dyDescent="0.25">
      <c r="B36" s="10" t="str">
        <f>+IF($B$6="esp","Otros resultados financieros","Other financial results")</f>
        <v>Otros resultados financieros</v>
      </c>
      <c r="C36" s="29">
        <f>+[1]ConsPL_MainOp!C21</f>
        <v>-26.920999999999999</v>
      </c>
      <c r="D36" s="29">
        <f>+[1]ConsPL_MainOp!D21</f>
        <v>75.614999999999995</v>
      </c>
      <c r="E36" s="29">
        <f>+[1]ConsPL_MainOp!E21</f>
        <v>-135.60272432718378</v>
      </c>
      <c r="F36" s="138">
        <f>+[1]ConsPL_MainOp!F21</f>
        <v>-16.692999999999998</v>
      </c>
      <c r="G36" s="29">
        <f>+[1]ConsPL_MainOp!G21</f>
        <v>-40.853999999999999</v>
      </c>
      <c r="H36" s="139">
        <f>+[1]ConsPL_MainOp!H21</f>
        <v>59.139863905615123</v>
      </c>
      <c r="K36" s="5">
        <f>+[1]inicializar!$R$14</f>
        <v>2015</v>
      </c>
      <c r="L36" s="5">
        <f>+[1]inicializar!$R$17</f>
        <v>2014</v>
      </c>
      <c r="M36" s="6" t="str">
        <f>+IF($B$6="ESP","Var. %","% Chg.")</f>
        <v>Var. %</v>
      </c>
      <c r="N36" s="5">
        <f>+[1]inicializar!$R$14</f>
        <v>2015</v>
      </c>
      <c r="O36" s="5">
        <f>+[1]inicializar!$R$17</f>
        <v>2014</v>
      </c>
      <c r="P36" s="6" t="str">
        <f>+IF($B$6="ESP","Var. %","% Chg.")</f>
        <v>Var. %</v>
      </c>
      <c r="R36" s="22" t="str">
        <f>+IF($B$6="esp","Millones de euros","Eur Million")</f>
        <v>Millones de euros</v>
      </c>
      <c r="S36" s="5">
        <v>2015</v>
      </c>
      <c r="T36" s="5">
        <v>2014</v>
      </c>
      <c r="V36" s="5">
        <v>2015</v>
      </c>
      <c r="W36" s="5">
        <v>2014</v>
      </c>
      <c r="Z36" s="67" t="str">
        <f>+Z31</f>
        <v>Internacional</v>
      </c>
      <c r="AA36" s="73">
        <f>+[1]UN!C189</f>
        <v>143.80567638990451</v>
      </c>
      <c r="AB36" s="73">
        <f>+[1]UN!D189</f>
        <v>137.62899999999996</v>
      </c>
      <c r="AC36" s="68">
        <f>+[1]UN!E189</f>
        <v>4.4879178006848444E-2</v>
      </c>
      <c r="AD36" s="45"/>
      <c r="AE36" s="73">
        <f>+[1]UN!G189</f>
        <v>40.76218126444239</v>
      </c>
      <c r="AF36" s="73">
        <f>+[1]UN!H189</f>
        <v>54.282999999999959</v>
      </c>
      <c r="AG36" s="68">
        <f>+[1]UN!I189</f>
        <v>-0.24908016755812279</v>
      </c>
      <c r="AI36" s="65" t="str">
        <f>+IF($B$6="esp","EBIT ajustado","Adjusted EBIT")</f>
        <v>EBIT ajustado</v>
      </c>
      <c r="AJ36" s="82">
        <f>+[1]UN!C119</f>
        <v>67.722193764300755</v>
      </c>
      <c r="AK36" s="82">
        <f>+[1]UN!D119</f>
        <v>52.75314346516808</v>
      </c>
      <c r="AL36" s="66">
        <f>+[1]UN!E119</f>
        <v>0.28375655583475251</v>
      </c>
      <c r="AN36" s="82">
        <f>+[1]UN!G119</f>
        <v>32.712395165613451</v>
      </c>
      <c r="AO36" s="82">
        <f>+[1]UN!H119</f>
        <v>27.577566253212613</v>
      </c>
      <c r="AP36" s="66">
        <f>+[1]UN!I119</f>
        <v>0.18619586896297141</v>
      </c>
      <c r="AR36" s="34" t="s">
        <v>0</v>
      </c>
      <c r="AS36" s="134">
        <f>+[1]UN!C19</f>
        <v>6.3992880707935704</v>
      </c>
      <c r="AT36" s="135">
        <f>+[1]UN!D19</f>
        <v>1.4538520761545219</v>
      </c>
      <c r="AU36" s="140" t="str">
        <f>+[1]UN!E19</f>
        <v>---</v>
      </c>
      <c r="AV36" s="92"/>
      <c r="AW36" s="135">
        <f>+[1]UN!G19</f>
        <v>9.7085070366592703</v>
      </c>
      <c r="AX36" s="135">
        <f>+[1]UN!H19</f>
        <v>8.4511800065536793</v>
      </c>
      <c r="AY36" s="106">
        <f>+[1]UN!I19</f>
        <v>0.14877532239646596</v>
      </c>
    </row>
    <row r="37" spans="2:53" ht="25.5" x14ac:dyDescent="0.25">
      <c r="B37" s="15" t="str">
        <f>+IF($B$6="esp","Resultado puesta en equivalencia y otras inversiones","Result from associates")</f>
        <v>Resultado puesta en equivalencia y otras inversiones</v>
      </c>
      <c r="C37" s="80">
        <f>+[1]ConsPL_MainOp!C22</f>
        <v>4.1550000000000002</v>
      </c>
      <c r="D37" s="80">
        <f>+[1]ConsPL_MainOp!D22</f>
        <v>36.04</v>
      </c>
      <c r="E37" s="80">
        <f>+[1]ConsPL_MainOp!E22</f>
        <v>-88.471143174250827</v>
      </c>
      <c r="F37" s="129">
        <f>+[1]ConsPL_MainOp!F22</f>
        <v>1.7660000000000005</v>
      </c>
      <c r="G37" s="80">
        <f>+[1]ConsPL_MainOp!G22</f>
        <v>-1.1030000000000015</v>
      </c>
      <c r="H37" s="130" t="str">
        <f>+[1]ConsPL_MainOp!H22</f>
        <v xml:space="preserve"> - </v>
      </c>
      <c r="J37" s="22" t="str">
        <f>+IF($B$6="esp","Resultados de explotación ajustados a tipo constante","Adjusted Operating results at constant currency")</f>
        <v>Resultados de explotación ajustados a tipo constante</v>
      </c>
      <c r="K37" s="141"/>
      <c r="L37" s="141"/>
      <c r="M37" s="141"/>
      <c r="N37" s="141"/>
      <c r="O37" s="141"/>
      <c r="P37" s="141"/>
      <c r="R37" s="3"/>
      <c r="S37" s="16"/>
      <c r="T37" s="16"/>
      <c r="V37" s="16"/>
      <c r="W37" s="16"/>
      <c r="Z37" s="69" t="str">
        <f>+Z32</f>
        <v>Portugal</v>
      </c>
      <c r="AA37" s="73">
        <f>+[1]UN!C190</f>
        <v>0.96180199999999905</v>
      </c>
      <c r="AB37" s="73">
        <f>+[1]UN!D190</f>
        <v>1.0547149999999998</v>
      </c>
      <c r="AC37" s="68">
        <f>+[1]UN!E190</f>
        <v>-8.8092991945692256E-2</v>
      </c>
      <c r="AD37" s="45"/>
      <c r="AE37" s="73">
        <f>+[1]UN!G190</f>
        <v>-0.66419800000000107</v>
      </c>
      <c r="AF37" s="73">
        <f>+[1]UN!H190</f>
        <v>-0.57128500000000026</v>
      </c>
      <c r="AG37" s="68">
        <f>+[1]UN!I190</f>
        <v>-0.16263861295150539</v>
      </c>
      <c r="AI37" s="33" t="str">
        <f>+IF($B$6="esp","% margen ajustado","% adjusted margin")</f>
        <v>% margen ajustado</v>
      </c>
      <c r="AJ37" s="64">
        <f>+[1]UN!C120</f>
        <v>0.19535626910299461</v>
      </c>
      <c r="AK37" s="64">
        <f>+[1]UN!D120</f>
        <v>0.15974057987757873</v>
      </c>
      <c r="AL37" s="60"/>
      <c r="AN37" s="64">
        <f>+[1]UN!G120</f>
        <v>0.3160930701887234</v>
      </c>
      <c r="AO37" s="64">
        <f>+[1]UN!H120</f>
        <v>0.26996963608606439</v>
      </c>
      <c r="AP37" s="60"/>
      <c r="AR37" s="31" t="str">
        <f>+IF($B$6="esp","% margen","% margin")</f>
        <v>% margen</v>
      </c>
      <c r="AS37" s="142">
        <f>+[1]UN!C20</f>
        <v>2.6523907616170274E-2</v>
      </c>
      <c r="AT37" s="143">
        <f>+[1]UN!D20</f>
        <v>5.5869315877353689E-3</v>
      </c>
      <c r="AU37" s="144"/>
      <c r="AV37" s="92"/>
      <c r="AW37" s="143">
        <f>+[1]UN!G20</f>
        <v>0.1372784432492937</v>
      </c>
      <c r="AX37" s="143">
        <f>+[1]UN!H20</f>
        <v>0.11688297809799363</v>
      </c>
      <c r="AY37" s="144"/>
    </row>
    <row r="38" spans="2:53" x14ac:dyDescent="0.25">
      <c r="B38" s="8" t="str">
        <f>+IF($B$6="esp","Resultado antes de impuestos","Profit before tax")</f>
        <v>Resultado antes de impuestos</v>
      </c>
      <c r="C38" s="80">
        <f>+[1]ConsPL_MainOp!C23</f>
        <v>16.178000000000001</v>
      </c>
      <c r="D38" s="80">
        <f>+[1]ConsPL_MainOp!D23</f>
        <v>25.695</v>
      </c>
      <c r="E38" s="80">
        <f>+[1]ConsPL_MainOp!E23</f>
        <v>-37.038334306285265</v>
      </c>
      <c r="F38" s="129">
        <f>+[1]ConsPL_MainOp!F23</f>
        <v>-8.5539999999999985</v>
      </c>
      <c r="G38" s="80">
        <f>+[1]ConsPL_MainOp!G23</f>
        <v>-96.360000000000014</v>
      </c>
      <c r="H38" s="130">
        <f>+[1]ConsPL_MainOp!H23</f>
        <v>91.122872561228732</v>
      </c>
      <c r="J38" s="34" t="str">
        <f>+IF($B$6="esp","Ingresos de explotación ","Operating Revenues")</f>
        <v xml:space="preserve">Ingresos de explotación </v>
      </c>
      <c r="K38" s="80">
        <f>+[1]ConsPL_MainOp!C165</f>
        <v>1436.1389999999999</v>
      </c>
      <c r="L38" s="80">
        <f>+[1]ConsPL_MainOp!D165</f>
        <v>1412.8689999999999</v>
      </c>
      <c r="M38" s="9">
        <f>+[1]ConsPL_MainOp!E165</f>
        <v>1.6470033669080417</v>
      </c>
      <c r="N38" s="80">
        <f>+[1]ConsPL_MainOp!F165</f>
        <v>347.2639999999999</v>
      </c>
      <c r="O38" s="80">
        <f>+[1]ConsPL_MainOp!G165</f>
        <v>395.90699999999993</v>
      </c>
      <c r="P38" s="9">
        <f>+[1]ConsPL_MainOp!H165</f>
        <v>-12.286471317758977</v>
      </c>
      <c r="R38" s="23" t="str">
        <f>+IF($B$6 ="esp","Efectos extraordinarios en ingresos","One-offs in operating revenues")</f>
        <v>Efectos extraordinarios en ingresos</v>
      </c>
      <c r="S38" s="145">
        <f>+[1]ConsPL_MainOp!C52</f>
        <v>23.504000000000001</v>
      </c>
      <c r="T38" s="145">
        <f>+[1]ConsPL_MainOp!D52</f>
        <v>-41.859000000000002</v>
      </c>
      <c r="U38" s="146"/>
      <c r="V38" s="147">
        <f>+[1]ConsPL_MainOp!F52</f>
        <v>7.218</v>
      </c>
      <c r="W38" s="145">
        <f>+[1]ConsPL_MainOp!G52</f>
        <v>9.9249999999999972</v>
      </c>
      <c r="Z38" s="69" t="str">
        <f>+Z33</f>
        <v>Latam</v>
      </c>
      <c r="AA38" s="73">
        <f>+[1]UN!C191</f>
        <v>142.8438743899045</v>
      </c>
      <c r="AB38" s="73">
        <f>+[1]UN!D191</f>
        <v>136.57428499999997</v>
      </c>
      <c r="AC38" s="68">
        <f>+[1]UN!E191</f>
        <v>4.5906075143681155E-2</v>
      </c>
      <c r="AD38" s="45"/>
      <c r="AE38" s="73">
        <f>+[1]UN!G191</f>
        <v>41.426379264442389</v>
      </c>
      <c r="AF38" s="73">
        <f>+[1]UN!H191</f>
        <v>54.854284999999976</v>
      </c>
      <c r="AG38" s="68">
        <f>+[1]UN!I191</f>
        <v>-0.24479228442331522</v>
      </c>
      <c r="AR38" s="34" t="s">
        <v>1</v>
      </c>
      <c r="AS38" s="148">
        <f>+[1]UN!C21</f>
        <v>-6.4632549891479103</v>
      </c>
      <c r="AT38" s="149">
        <f>+[1]UN!D21</f>
        <v>-21.594771385601462</v>
      </c>
      <c r="AU38" s="106">
        <f>+[1]UN!E21</f>
        <v>0.70070278245884321</v>
      </c>
      <c r="AV38" s="92"/>
      <c r="AW38" s="135">
        <f>+[1]UN!G21</f>
        <v>2.6416472333607706</v>
      </c>
      <c r="AX38" s="149">
        <f>+[1]UN!H21</f>
        <v>-0.14062764358171265</v>
      </c>
      <c r="AY38" s="140" t="str">
        <f>+[1]UN!I21</f>
        <v>---</v>
      </c>
    </row>
    <row r="39" spans="2:53" x14ac:dyDescent="0.25">
      <c r="B39" s="10" t="str">
        <f>+IF($B$6="esp","Impuesto sobre sociedades","Income tax expense")</f>
        <v>Impuesto sobre sociedades</v>
      </c>
      <c r="C39" s="29">
        <f>+[1]ConsPL_MainOp!C24</f>
        <v>25.323</v>
      </c>
      <c r="D39" s="29">
        <f>+[1]ConsPL_MainOp!D24</f>
        <v>-132.607</v>
      </c>
      <c r="E39" s="29">
        <f>+[1]ConsPL_MainOp!E24</f>
        <v>119.09627696878748</v>
      </c>
      <c r="F39" s="138">
        <f>+[1]ConsPL_MainOp!F24</f>
        <v>-15.603999999999999</v>
      </c>
      <c r="G39" s="29">
        <f>+[1]ConsPL_MainOp!G24</f>
        <v>-31.085999999999999</v>
      </c>
      <c r="H39" s="139">
        <f>+[1]ConsPL_MainOp!H24</f>
        <v>49.80377018593579</v>
      </c>
      <c r="J39" s="35" t="str">
        <f>+IF($B$6="esp","España","Spain")</f>
        <v>España</v>
      </c>
      <c r="K39" s="29">
        <v>573.91499999999996</v>
      </c>
      <c r="L39" s="29">
        <v>545.76499999999999</v>
      </c>
      <c r="M39" s="14">
        <v>5.1578976299322923</v>
      </c>
      <c r="N39" s="29">
        <v>108.83099999999996</v>
      </c>
      <c r="O39" s="29">
        <v>108.07</v>
      </c>
      <c r="P39" s="14">
        <v>0.70417322106039359</v>
      </c>
      <c r="R39" s="24" t="str">
        <f>+IF($B$6 ="esp","Ajuste patrocinios publicidad","Advertising sponsorship adjustment")</f>
        <v>Ajuste patrocinios publicidad</v>
      </c>
      <c r="S39" s="150">
        <f>+[1]ConsPL_MainOp!C53</f>
        <v>0</v>
      </c>
      <c r="T39" s="150">
        <f>+[1]ConsPL_MainOp!D53</f>
        <v>-5.2060000000000004</v>
      </c>
      <c r="U39" s="146"/>
      <c r="V39" s="150">
        <f>+[1]ConsPL_MainOp!F53</f>
        <v>0</v>
      </c>
      <c r="W39" s="150">
        <f>+[1]ConsPL_MainOp!G53</f>
        <v>-1.8130000000000006</v>
      </c>
      <c r="Z39" s="33" t="str">
        <f>+IF($B$6="esp","% margen ajustado","% adjusted margin")</f>
        <v>% margen ajustado</v>
      </c>
      <c r="AA39" s="59">
        <f>+[1]UN!C192</f>
        <v>0.26098671082757902</v>
      </c>
      <c r="AB39" s="59">
        <f>+[1]UN!D192</f>
        <v>0.24253217540087937</v>
      </c>
      <c r="AC39" s="60"/>
      <c r="AD39" s="48"/>
      <c r="AE39" s="59">
        <f>+[1]UN!G192</f>
        <v>2.0372562368494766E-2</v>
      </c>
      <c r="AF39" s="59">
        <f>+[1]UN!H192</f>
        <v>0.1248569019702976</v>
      </c>
      <c r="AG39" s="68"/>
      <c r="AI39" s="22" t="str">
        <f>+IF($B$6="esp","Resultados Reportados","Reported Results ")</f>
        <v>Resultados Reportados</v>
      </c>
      <c r="AJ39" s="40">
        <f>+$C$12</f>
        <v>2015</v>
      </c>
      <c r="AK39" s="40">
        <f>+$D$12</f>
        <v>2014</v>
      </c>
      <c r="AL39" s="40" t="str">
        <f>+$E$12</f>
        <v>Var. %</v>
      </c>
      <c r="AM39" s="42"/>
      <c r="AN39" s="40">
        <f>+AJ39</f>
        <v>2015</v>
      </c>
      <c r="AO39" s="40">
        <f>+AK39</f>
        <v>2014</v>
      </c>
      <c r="AP39" s="41" t="str">
        <f>+AL39</f>
        <v>Var. %</v>
      </c>
      <c r="AR39" s="31" t="str">
        <f>+IF($B$6="esp","% margen","% margin")</f>
        <v>% margen</v>
      </c>
      <c r="AS39" s="142">
        <f>+[1]UN!C22</f>
        <v>-2.6789039083007213E-2</v>
      </c>
      <c r="AT39" s="143">
        <f>+[1]UN!D22</f>
        <v>-8.2985409838433666E-2</v>
      </c>
      <c r="AU39" s="144"/>
      <c r="AV39" s="92"/>
      <c r="AW39" s="143">
        <f>+[1]UN!G22</f>
        <v>3.7352933714755412E-2</v>
      </c>
      <c r="AX39" s="143">
        <f>+[1]UN!H22</f>
        <v>-1.9449328699645857E-3</v>
      </c>
      <c r="AY39" s="144"/>
      <c r="AZ39" s="151"/>
    </row>
    <row r="40" spans="2:53" ht="15.75" thickBot="1" x14ac:dyDescent="0.3">
      <c r="B40" s="8" t="str">
        <f>+IF($B$6="esp","Resultado de operaciones en discontinuación","Results from discontinued activities")</f>
        <v>Resultado de operaciones en discontinuación</v>
      </c>
      <c r="C40" s="80">
        <f>+[1]ConsPL_MainOp!C25</f>
        <v>-2.6840000000000002</v>
      </c>
      <c r="D40" s="80">
        <f>+[1]ConsPL_MainOp!D25</f>
        <v>-2203.0039999999999</v>
      </c>
      <c r="E40" s="80">
        <f>+[1]ConsPL_MainOp!E25</f>
        <v>99.878166358299836</v>
      </c>
      <c r="F40" s="80">
        <f>+[1]ConsPL_MainOp!F25</f>
        <v>-2.6160000000000001</v>
      </c>
      <c r="G40" s="80">
        <f>+[1]ConsPL_MainOp!G25</f>
        <v>-86.873000000000047</v>
      </c>
      <c r="H40" s="130">
        <f>+[1]ConsPL_MainOp!H25</f>
        <v>96.988707653701383</v>
      </c>
      <c r="J40" s="35" t="str">
        <f>+IF($B$6="esp","Internacional","International")</f>
        <v>Internacional</v>
      </c>
      <c r="K40" s="29">
        <v>862.22500000000002</v>
      </c>
      <c r="L40" s="29">
        <v>867.10400000000004</v>
      </c>
      <c r="M40" s="14">
        <v>-0.56267760268664646</v>
      </c>
      <c r="N40" s="29">
        <v>238.43399999999997</v>
      </c>
      <c r="O40" s="29">
        <v>287.83699999999999</v>
      </c>
      <c r="P40" s="14">
        <v>-17.163533527656284</v>
      </c>
      <c r="R40" s="24" t="str">
        <f>+IF($B$6 ="esp","Ajuste perímetro de consolidación - Mx &amp; CR","Consolidation perimeter adjustment - Mx &amp; CR")</f>
        <v>Ajuste perímetro de consolidación - Mx &amp; CR</v>
      </c>
      <c r="S40" s="150">
        <f>+[1]ConsPL_MainOp!C54</f>
        <v>23.504000000000001</v>
      </c>
      <c r="T40" s="150">
        <f>+[1]ConsPL_MainOp!D54</f>
        <v>25.106999999999999</v>
      </c>
      <c r="U40" s="146"/>
      <c r="V40" s="150">
        <f>+[1]ConsPL_MainOp!F54</f>
        <v>7.218</v>
      </c>
      <c r="W40" s="150">
        <f>+[1]ConsPL_MainOp!G54</f>
        <v>10.051</v>
      </c>
      <c r="Z40" s="65" t="str">
        <f>+IF($B$6="esp","EBIT ajustado","Adjusted EBIT")</f>
        <v>EBIT ajustado</v>
      </c>
      <c r="AA40" s="82">
        <f>+[1]UN!C193</f>
        <v>95.970171264183733</v>
      </c>
      <c r="AB40" s="82">
        <f>+[1]UN!D193</f>
        <v>87.007299650873406</v>
      </c>
      <c r="AC40" s="66">
        <f>+[1]UN!E193</f>
        <v>0.10301286960145711</v>
      </c>
      <c r="AD40" s="45"/>
      <c r="AE40" s="82">
        <f>+[1]UN!G193</f>
        <v>0.11482371776143907</v>
      </c>
      <c r="AF40" s="82">
        <f>+[1]UN!H193</f>
        <v>16.790272910806294</v>
      </c>
      <c r="AG40" s="66">
        <f>+[1]UN!I193</f>
        <v>-0.9931612953302541</v>
      </c>
      <c r="AI40" s="43" t="str">
        <f>+IF($B$6="esp","Ingresos","Revenues")</f>
        <v>Ingresos</v>
      </c>
      <c r="AJ40" s="152">
        <f>+[1]UN!C61</f>
        <v>314.76426431952399</v>
      </c>
      <c r="AK40" s="152">
        <f>+[1]UN!D61</f>
        <v>305.13586461894874</v>
      </c>
      <c r="AL40" s="44">
        <f>+[1]UN!E61</f>
        <v>3.1554467425843613E-2</v>
      </c>
      <c r="AM40" s="83"/>
      <c r="AN40" s="152">
        <f>+[1]UN!G61</f>
        <v>91.137424433319524</v>
      </c>
      <c r="AO40" s="152">
        <f>+[1]UN!H61</f>
        <v>91.767304178274145</v>
      </c>
      <c r="AP40" s="44">
        <f>+[1]UN!I61</f>
        <v>-6.8638797946049398E-3</v>
      </c>
      <c r="AS40" s="40">
        <f>+$C$12</f>
        <v>2015</v>
      </c>
      <c r="AT40" s="40">
        <f>+$D$12</f>
        <v>2014</v>
      </c>
      <c r="AU40" s="40" t="str">
        <f>+$E$12</f>
        <v>Var. %</v>
      </c>
      <c r="AV40" s="42"/>
      <c r="AW40" s="40">
        <f>+$C$12</f>
        <v>2015</v>
      </c>
      <c r="AX40" s="40">
        <f>+$D$12</f>
        <v>2014</v>
      </c>
      <c r="AY40" s="40" t="str">
        <f>+$E$12</f>
        <v>Var. %</v>
      </c>
      <c r="AZ40" s="153"/>
    </row>
    <row r="41" spans="2:53" x14ac:dyDescent="0.25">
      <c r="B41" s="8" t="str">
        <f>+IF($B$6="esp","Resultado atribuido a socios externos","Minority interest")</f>
        <v>Resultado atribuido a socios externos</v>
      </c>
      <c r="C41" s="80">
        <f>+[1]ConsPL_MainOp!C26</f>
        <v>-33.523000000000003</v>
      </c>
      <c r="D41" s="80">
        <f>+[1]ConsPL_MainOp!D26</f>
        <v>73.084000000000003</v>
      </c>
      <c r="E41" s="80">
        <f>+[1]ConsPL_MainOp!E26</f>
        <v>-145.86913688358601</v>
      </c>
      <c r="F41" s="129">
        <f>+[1]ConsPL_MainOp!F26</f>
        <v>-11.507000000000005</v>
      </c>
      <c r="G41" s="80">
        <f>+[1]ConsPL_MainOp!G26</f>
        <v>61.847999999999999</v>
      </c>
      <c r="H41" s="130">
        <f>+[1]ConsPL_MainOp!H26</f>
        <v>-118.60529038934162</v>
      </c>
      <c r="J41" s="96" t="str">
        <f>+IF($B$6="esp","Portugal","Portugal")</f>
        <v>Portugal</v>
      </c>
      <c r="K41" s="29">
        <v>176.70699999999999</v>
      </c>
      <c r="L41" s="29">
        <v>182.422</v>
      </c>
      <c r="M41" s="14">
        <v>-3.1328458190349866</v>
      </c>
      <c r="N41" s="29">
        <v>52.180999999999997</v>
      </c>
      <c r="O41" s="29">
        <v>50.337999999999994</v>
      </c>
      <c r="P41" s="14">
        <v>3.6612499503357379</v>
      </c>
      <c r="R41" s="24" t="str">
        <f>+IF($B$6 ="esp","Deducciones I+D Digital","Digital R&amp;D deductions")</f>
        <v>Deducciones I+D Digital</v>
      </c>
      <c r="S41" s="150">
        <f>+[1]ConsPL_MainOp!C55</f>
        <v>0</v>
      </c>
      <c r="T41" s="150">
        <f>+[1]ConsPL_MainOp!D55</f>
        <v>3.25</v>
      </c>
      <c r="U41" s="154"/>
      <c r="V41" s="150">
        <f>+[1]ConsPL_MainOp!F55</f>
        <v>0</v>
      </c>
      <c r="W41" s="150">
        <f>+[1]ConsPL_MainOp!G55</f>
        <v>3.25</v>
      </c>
      <c r="Z41" s="33" t="str">
        <f>+IF($B$6="esp","% margen ajustado","% adjusted margin")</f>
        <v>% margen ajustado</v>
      </c>
      <c r="AA41" s="64">
        <f>+[1]UN!C194</f>
        <v>0.14294182756580023</v>
      </c>
      <c r="AB41" s="64">
        <f>+[1]UN!D194</f>
        <v>0.13352224214427061</v>
      </c>
      <c r="AC41" s="68"/>
      <c r="AD41" s="48"/>
      <c r="AE41" s="64">
        <f>+[1]UN!G194</f>
        <v>9.5940384942505986E-4</v>
      </c>
      <c r="AF41" s="64">
        <f>+[1]UN!H194</f>
        <v>9.7024255456473182E-2</v>
      </c>
      <c r="AG41" s="68"/>
      <c r="AI41" s="46" t="str">
        <f>+IF($B$6="esp","Publicidad","Advertising")</f>
        <v>Publicidad</v>
      </c>
      <c r="AJ41" s="155">
        <f>+[1]UN!C62</f>
        <v>278.52154702384797</v>
      </c>
      <c r="AK41" s="155">
        <f>+[1]UN!D62</f>
        <v>272.91916921813674</v>
      </c>
      <c r="AL41" s="47">
        <f>+[1]UN!E62</f>
        <v>2.0527608308940008E-2</v>
      </c>
      <c r="AN41" s="155">
        <f>+[1]UN!G62</f>
        <v>79.046578085361801</v>
      </c>
      <c r="AO41" s="155">
        <f>+[1]UN!H62</f>
        <v>80.166625807469245</v>
      </c>
      <c r="AP41" s="47">
        <f>+[1]UN!I62</f>
        <v>-1.3971496378023772E-2</v>
      </c>
      <c r="AR41" s="156" t="str">
        <f>+IF($B$6 ="esp","Efectos extraordinarios en ingresos","One-offs in operating revenues")</f>
        <v>Efectos extraordinarios en ingresos</v>
      </c>
      <c r="AS41" s="157">
        <f>+[1]UN!C24</f>
        <v>0</v>
      </c>
      <c r="AT41" s="157">
        <f>+[1]UN!D24</f>
        <v>5.2060000000000004</v>
      </c>
      <c r="AU41" s="158"/>
      <c r="AV41" s="159"/>
      <c r="AW41" s="157">
        <f>+[1]UN!G24</f>
        <v>0</v>
      </c>
      <c r="AX41" s="157">
        <f>+[1]UN!H24</f>
        <v>1.8130000000000002</v>
      </c>
      <c r="AY41" s="158"/>
      <c r="AZ41" s="63"/>
    </row>
    <row r="42" spans="2:53" ht="15.75" thickBot="1" x14ac:dyDescent="0.3">
      <c r="B42" s="8" t="str">
        <f>+IF($B$6="esp","Resultado Neto","Net profit")</f>
        <v>Resultado Neto</v>
      </c>
      <c r="C42" s="160">
        <f>+[1]ConsPL_MainOp!C27</f>
        <v>5.2939999999999996</v>
      </c>
      <c r="D42" s="160">
        <f>+[1]ConsPL_MainOp!D27</f>
        <v>-2236.8319999999999</v>
      </c>
      <c r="E42" s="160" t="str">
        <f>+[1]ConsPL_MainOp!E27</f>
        <v>n.a</v>
      </c>
      <c r="F42" s="161">
        <f>+[1]ConsPL_MainOp!F27</f>
        <v>-38.28</v>
      </c>
      <c r="G42" s="160">
        <f>+[1]ConsPL_MainOp!G27</f>
        <v>-152.47199999999975</v>
      </c>
      <c r="H42" s="162">
        <f>+[1]ConsPL_MainOp!H27</f>
        <v>74.893750983787143</v>
      </c>
      <c r="J42" s="96" t="str">
        <f>+IF($B$6="esp","Latam","Latam")</f>
        <v>Latam</v>
      </c>
      <c r="K42" s="29">
        <v>685.51700000000005</v>
      </c>
      <c r="L42" s="29">
        <v>684.68200000000002</v>
      </c>
      <c r="M42" s="14">
        <v>0.12195442555814763</v>
      </c>
      <c r="N42" s="29">
        <v>186.25200000000007</v>
      </c>
      <c r="O42" s="29">
        <v>237.49900000000002</v>
      </c>
      <c r="P42" s="14">
        <v>-21.57777506431604</v>
      </c>
      <c r="R42" s="24" t="str">
        <f>+IF($B$6 ="esp","Ediciones Generales","Trade Publishing")</f>
        <v>Ediciones Generales</v>
      </c>
      <c r="S42" s="150">
        <f>+[1]ConsPL_MainOp!C56</f>
        <v>0</v>
      </c>
      <c r="T42" s="150">
        <f>+[1]ConsPL_MainOp!D56</f>
        <v>-65.010000000000005</v>
      </c>
      <c r="U42" s="154"/>
      <c r="V42" s="150">
        <f>+[1]ConsPL_MainOp!F56</f>
        <v>0</v>
      </c>
      <c r="W42" s="150">
        <f>+[1]ConsPL_MainOp!G56</f>
        <v>-1.5620000000000047</v>
      </c>
      <c r="AI42" s="49" t="str">
        <f>+IF($B$6="esp","España","Spain")</f>
        <v>España</v>
      </c>
      <c r="AJ42" s="155">
        <f>+[1]UN!C63</f>
        <v>170.02609031999998</v>
      </c>
      <c r="AK42" s="155">
        <f>+[1]UN!D63</f>
        <v>157.30861327000002</v>
      </c>
      <c r="AL42" s="47">
        <f>+[1]UN!E63</f>
        <v>8.084412407966525E-2</v>
      </c>
      <c r="AN42" s="155">
        <f>+[1]UN!G63</f>
        <v>50.01694539999994</v>
      </c>
      <c r="AO42" s="155">
        <f>+[1]UN!H63</f>
        <v>47.796231140000017</v>
      </c>
      <c r="AP42" s="47">
        <f>+[1]UN!I63</f>
        <v>4.6462120695149066E-2</v>
      </c>
      <c r="AR42" s="163" t="str">
        <f>+IF($B$6 ="esp","Ajuste Patrocinios Publicidad","Advertising sponsorship adjustment")</f>
        <v>Ajuste Patrocinios Publicidad</v>
      </c>
      <c r="AS42" s="164">
        <f>+[1]UN!C25</f>
        <v>0</v>
      </c>
      <c r="AT42" s="164">
        <f>+[1]UN!D25</f>
        <v>5.2060000000000004</v>
      </c>
      <c r="AU42" s="158"/>
      <c r="AV42" s="159"/>
      <c r="AW42" s="164">
        <f>+[1]UN!G25</f>
        <v>0</v>
      </c>
      <c r="AX42" s="164">
        <f>+[1]UN!H25</f>
        <v>1.8130000000000002</v>
      </c>
      <c r="AY42" s="158"/>
      <c r="AZ42" s="57"/>
    </row>
    <row r="43" spans="2:53" x14ac:dyDescent="0.25">
      <c r="J43" s="34" t="str">
        <f>+IF($B$6="esp","EBITDA","EBITDA")</f>
        <v>EBITDA</v>
      </c>
      <c r="K43" s="80">
        <v>297.36599999999999</v>
      </c>
      <c r="L43" s="80">
        <v>261.76900000000001</v>
      </c>
      <c r="M43" s="9">
        <v>13.598630853920815</v>
      </c>
      <c r="N43" s="80">
        <v>63.329999999999984</v>
      </c>
      <c r="O43" s="80">
        <v>69.509000000000015</v>
      </c>
      <c r="P43" s="9">
        <v>-8.8894963242170491</v>
      </c>
      <c r="R43" s="23" t="str">
        <f>+IF($B$6 ="esp","Efectos extraordinarios en gastos","One-offs in operating expenses")</f>
        <v>Efectos extraordinarios en gastos</v>
      </c>
      <c r="S43" s="27">
        <f>+[1]ConsPL_MainOp!C57</f>
        <v>-16.791</v>
      </c>
      <c r="T43" s="27">
        <f>+[1]ConsPL_MainOp!D57</f>
        <v>-120.244</v>
      </c>
      <c r="U43" s="165"/>
      <c r="V43" s="27">
        <f>+[1]ConsPL_MainOp!F57</f>
        <v>-0.37699999999999889</v>
      </c>
      <c r="W43" s="27">
        <f>+[1]ConsPL_MainOp!G57</f>
        <v>-55.581000000000003</v>
      </c>
      <c r="Z43" s="22" t="str">
        <f>+IF($B$6="esp","Resultados Reportados","Reported Results ")</f>
        <v>Resultados Reportados</v>
      </c>
      <c r="AA43" s="40">
        <f>+$C$12</f>
        <v>2015</v>
      </c>
      <c r="AB43" s="40">
        <f>+$D$12</f>
        <v>2014</v>
      </c>
      <c r="AC43" s="41" t="str">
        <f>+$E$12</f>
        <v>Var. %</v>
      </c>
      <c r="AD43" s="42"/>
      <c r="AE43" s="40">
        <f>+$C$12</f>
        <v>2015</v>
      </c>
      <c r="AF43" s="40">
        <f>+$D$12</f>
        <v>2014</v>
      </c>
      <c r="AG43" s="41" t="str">
        <f>+$E$12</f>
        <v>Var. %</v>
      </c>
      <c r="AI43" s="49" t="str">
        <f>+IF($B$6="esp","Internacional","International")</f>
        <v>Internacional</v>
      </c>
      <c r="AJ43" s="155">
        <f>+[1]UN!C64</f>
        <v>108.47580643463699</v>
      </c>
      <c r="AK43" s="155">
        <f>+[1]UN!D64</f>
        <v>115.30259214408021</v>
      </c>
      <c r="AL43" s="47">
        <f>+[1]UN!E64</f>
        <v>-5.920756491677634E-2</v>
      </c>
      <c r="AN43" s="155">
        <f>+[1]UN!G64</f>
        <v>29.02097088536236</v>
      </c>
      <c r="AO43" s="155">
        <f>+[1]UN!H64</f>
        <v>32.257753677469182</v>
      </c>
      <c r="AP43" s="47">
        <f>+[1]UN!I64</f>
        <v>-0.10034123344328197</v>
      </c>
      <c r="AR43" s="166" t="str">
        <f>+IF($B$6 ="esp","Efectos extraordinarios en gastos","One-offs in operating expenses")</f>
        <v>Efectos extraordinarios en gastos</v>
      </c>
      <c r="AS43" s="157">
        <f>+[1]UN!C26</f>
        <v>10.085927824142301</v>
      </c>
      <c r="AT43" s="157">
        <f>+[1]UN!D26</f>
        <v>18.361906620000006</v>
      </c>
      <c r="AU43" s="167"/>
      <c r="AV43" s="168"/>
      <c r="AW43" s="157">
        <f>+[1]UN!G26</f>
        <v>0.35604648896315716</v>
      </c>
      <c r="AX43" s="157">
        <f>+[1]UN!H26</f>
        <v>2.7147963858964008</v>
      </c>
      <c r="AY43" s="169"/>
      <c r="AZ43" s="57"/>
      <c r="BA43" s="170"/>
    </row>
    <row r="44" spans="2:53" x14ac:dyDescent="0.25">
      <c r="J44" s="35" t="str">
        <f>+J39</f>
        <v>España</v>
      </c>
      <c r="K44" s="29">
        <v>64.614999999999995</v>
      </c>
      <c r="L44" s="171">
        <v>30.712</v>
      </c>
      <c r="M44" s="14">
        <v>110.39007554050531</v>
      </c>
      <c r="N44" s="29">
        <v>-13.391000000000005</v>
      </c>
      <c r="O44" s="29">
        <v>-21.232000000000003</v>
      </c>
      <c r="P44" s="14">
        <v>36.930105501130349</v>
      </c>
      <c r="R44" s="24" t="str">
        <f>+IF($B$6 ="esp","Indemnizaciones y otros no recurrentes","Redundancies and other non-recurrent")</f>
        <v>Indemnizaciones y otros no recurrentes</v>
      </c>
      <c r="S44" s="150">
        <f>+[1]ConsPL_MainOp!C58</f>
        <v>-30.943000000000001</v>
      </c>
      <c r="T44" s="150">
        <f>+[1]ConsPL_MainOp!D58</f>
        <v>-45.906999999999996</v>
      </c>
      <c r="U44" s="154"/>
      <c r="V44" s="150">
        <f>+[1]ConsPL_MainOp!F58</f>
        <v>-4.4780000000000015</v>
      </c>
      <c r="W44" s="150">
        <f>+[1]ConsPL_MainOp!G58</f>
        <v>-7.0549999999999997</v>
      </c>
      <c r="Z44" s="43" t="str">
        <f>+IF($B$6="esp","Ingresos","Revenues")</f>
        <v>Ingresos</v>
      </c>
      <c r="AA44" s="172">
        <f>+[1]UN!C148</f>
        <v>642.81593545148894</v>
      </c>
      <c r="AB44" s="172">
        <f>+[1]UN!D148</f>
        <v>716.64113369479344</v>
      </c>
      <c r="AC44" s="44">
        <f>+[1]UN!E148</f>
        <v>-0.10301557470289659</v>
      </c>
      <c r="AD44" s="45"/>
      <c r="AE44" s="172">
        <f>+[1]UN!G148</f>
        <v>97.739752010551229</v>
      </c>
      <c r="AF44" s="172">
        <f>+[1]UN!H148</f>
        <v>174.61438749788704</v>
      </c>
      <c r="AG44" s="44">
        <f>+[1]UN!I148</f>
        <v>-0.44025373045658134</v>
      </c>
      <c r="AI44" s="49" t="str">
        <f>+IF($B$6="esp","Otros*","Other*")</f>
        <v>Otros*</v>
      </c>
      <c r="AJ44" s="155">
        <f>+[1]UN!C65</f>
        <v>1.965026921100798E-2</v>
      </c>
      <c r="AK44" s="155">
        <f>+[1]UN!D65</f>
        <v>0.30796380405651874</v>
      </c>
      <c r="AL44" s="47">
        <f>+[1]UN!E65</f>
        <v>-0.93619292607711235</v>
      </c>
      <c r="AN44" s="155">
        <f>+[1]UN!G65</f>
        <v>8.6617999995214634E-3</v>
      </c>
      <c r="AO44" s="155">
        <f>+[1]UN!H65</f>
        <v>0.112640990000029</v>
      </c>
      <c r="AP44" s="47">
        <f>+[1]UN!I65</f>
        <v>-0.92310259347401658</v>
      </c>
      <c r="AR44" s="163" t="str">
        <f>+IF($B$6 ="esp","Indemnizaciones","Redundancies")</f>
        <v>Indemnizaciones</v>
      </c>
      <c r="AS44" s="164">
        <f>+[1]UN!C27</f>
        <v>10.085927824142301</v>
      </c>
      <c r="AT44" s="164">
        <f>+[1]UN!D27</f>
        <v>13.155906620000007</v>
      </c>
      <c r="AU44" s="169"/>
      <c r="AV44" s="159"/>
      <c r="AW44" s="164">
        <f>+[1]UN!G27</f>
        <v>0.35604648896315716</v>
      </c>
      <c r="AX44" s="164">
        <f>+[1]UN!H27</f>
        <v>0.90179638589640199</v>
      </c>
      <c r="AY44" s="169"/>
      <c r="AZ44" s="63"/>
    </row>
    <row r="45" spans="2:53" x14ac:dyDescent="0.25">
      <c r="J45" s="35" t="str">
        <f>+J40</f>
        <v>Internacional</v>
      </c>
      <c r="K45" s="29">
        <v>232.751</v>
      </c>
      <c r="L45" s="29">
        <v>231.05799999999999</v>
      </c>
      <c r="M45" s="14">
        <v>0.73271646080205499</v>
      </c>
      <c r="N45" s="29">
        <v>76.72</v>
      </c>
      <c r="O45" s="29">
        <v>90.74199999999999</v>
      </c>
      <c r="P45" s="14">
        <v>-15.452601882259584</v>
      </c>
      <c r="R45" s="24" t="str">
        <f>+IF($B$6 ="esp","Ajuste patrocinios publicidad","Advertising sponsorship adjustment")</f>
        <v>Ajuste patrocinios publicidad</v>
      </c>
      <c r="S45" s="150">
        <f>+[1]ConsPL_MainOp!C59</f>
        <v>0</v>
      </c>
      <c r="T45" s="150">
        <f>+[1]ConsPL_MainOp!D59</f>
        <v>-5.2060000000000004</v>
      </c>
      <c r="U45" s="154"/>
      <c r="V45" s="150">
        <f>+[1]ConsPL_MainOp!F59</f>
        <v>0</v>
      </c>
      <c r="W45" s="150">
        <f>+[1]ConsPL_MainOp!G59</f>
        <v>-1.8130000000000006</v>
      </c>
      <c r="Z45" s="46" t="str">
        <f>+IF($B$6="esp","España","Spain")</f>
        <v>España</v>
      </c>
      <c r="AA45" s="173">
        <f>+[1]UN!C149</f>
        <v>139.63301521191764</v>
      </c>
      <c r="AB45" s="173">
        <f>+[1]UN!D149</f>
        <v>148.71473345662841</v>
      </c>
      <c r="AC45" s="47">
        <f>+[1]UN!E149</f>
        <v>-6.1068046410878242E-2</v>
      </c>
      <c r="AD45" s="48"/>
      <c r="AE45" s="173">
        <f>+[1]UN!G149</f>
        <v>-19.784168229020025</v>
      </c>
      <c r="AF45" s="173">
        <f>+[1]UN!H149</f>
        <v>-20.158012740278025</v>
      </c>
      <c r="AG45" s="47">
        <f>+[1]UN!I149</f>
        <v>1.8545702697717582E-2</v>
      </c>
      <c r="AI45" s="46" t="str">
        <f>+IF($B$6= "esp","Otros", "Others")</f>
        <v>Otros</v>
      </c>
      <c r="AJ45" s="155">
        <f>+[1]UN!C66</f>
        <v>36.242717295676016</v>
      </c>
      <c r="AK45" s="155">
        <f>+[1]UN!D66</f>
        <v>32.216695400812</v>
      </c>
      <c r="AL45" s="47">
        <f>+[1]UN!E66</f>
        <v>0.12496694166722459</v>
      </c>
      <c r="AN45" s="155">
        <f>+[1]UN!G66</f>
        <v>12.090846347957715</v>
      </c>
      <c r="AO45" s="155">
        <f>+[1]UN!H66</f>
        <v>11.6006783708049</v>
      </c>
      <c r="AP45" s="47">
        <f>+[1]UN!I66</f>
        <v>4.2253389110968466E-2</v>
      </c>
      <c r="AR45" s="163" t="str">
        <f>+AR42</f>
        <v>Ajuste Patrocinios Publicidad</v>
      </c>
      <c r="AS45" s="164">
        <f>+[1]UN!C28</f>
        <v>0</v>
      </c>
      <c r="AT45" s="164">
        <f>+[1]UN!D28</f>
        <v>5.2060000000000004</v>
      </c>
      <c r="AU45" s="169"/>
      <c r="AV45" s="159"/>
      <c r="AW45" s="164">
        <f>+[1]UN!G28</f>
        <v>0</v>
      </c>
      <c r="AX45" s="164">
        <f>+[1]UN!H28</f>
        <v>1.8130000000000002</v>
      </c>
      <c r="AY45" s="169"/>
      <c r="AZ45" s="57"/>
    </row>
    <row r="46" spans="2:53" x14ac:dyDescent="0.25">
      <c r="J46" s="96" t="str">
        <f>+J41</f>
        <v>Portugal</v>
      </c>
      <c r="K46" s="29">
        <v>42.473999999999997</v>
      </c>
      <c r="L46" s="29">
        <v>46.874000000000002</v>
      </c>
      <c r="M46" s="14">
        <v>-9.386866919827634</v>
      </c>
      <c r="N46" s="29">
        <v>18.378999999999998</v>
      </c>
      <c r="O46" s="29">
        <v>18.619000000000003</v>
      </c>
      <c r="P46" s="14">
        <v>-1.2890058542349507</v>
      </c>
      <c r="R46" s="24" t="str">
        <f>+R40</f>
        <v>Ajuste perímetro de consolidación - Mx &amp; CR</v>
      </c>
      <c r="S46" s="150">
        <f>+[1]ConsPL_MainOp!C60</f>
        <v>14.151999999999999</v>
      </c>
      <c r="T46" s="150">
        <f>+[1]ConsPL_MainOp!D60</f>
        <v>13.202999999999999</v>
      </c>
      <c r="U46" s="154"/>
      <c r="V46" s="150">
        <f>+[1]ConsPL_MainOp!F60</f>
        <v>4.0999999999999996</v>
      </c>
      <c r="W46" s="150">
        <f>+[1]ConsPL_MainOp!G60</f>
        <v>3.8040000000000003</v>
      </c>
      <c r="Z46" s="46" t="str">
        <f>+IF($B$6="esp","Internacional","International")</f>
        <v>Internacional</v>
      </c>
      <c r="AA46" s="173">
        <f>+[1]UN!C150</f>
        <v>503.18292023957133</v>
      </c>
      <c r="AB46" s="173">
        <f>+[1]UN!D150</f>
        <v>567.92640023816512</v>
      </c>
      <c r="AC46" s="47">
        <f>+[1]UN!E150</f>
        <v>-0.11399977175113363</v>
      </c>
      <c r="AD46" s="48"/>
      <c r="AE46" s="173">
        <f>+[1]UN!G150</f>
        <v>117.52392023957134</v>
      </c>
      <c r="AF46" s="173">
        <f>+[1]UN!H150</f>
        <v>194.77240023816512</v>
      </c>
      <c r="AG46" s="47">
        <f>+[1]UN!I150</f>
        <v>-0.39660896463839518</v>
      </c>
      <c r="AI46" s="34" t="str">
        <f>+IF($B$6="esp","Gastos de explotación","Operating expenses")</f>
        <v>Gastos de explotación</v>
      </c>
      <c r="AJ46" s="152">
        <f>+[1]UN!C67</f>
        <v>260.0627822536897</v>
      </c>
      <c r="AK46" s="152">
        <f>+[1]UN!D67</f>
        <v>259.39902471577017</v>
      </c>
      <c r="AL46" s="44">
        <f>+[1]UN!E67</f>
        <v>2.5588281939256793E-3</v>
      </c>
      <c r="AN46" s="152">
        <f>+[1]UN!G67</f>
        <v>64.197226048547947</v>
      </c>
      <c r="AO46" s="152">
        <f>+[1]UN!H67</f>
        <v>72.102614682381329</v>
      </c>
      <c r="AP46" s="44">
        <f>+[1]UN!I67</f>
        <v>-0.10964080385513547</v>
      </c>
      <c r="AR46" s="166" t="str">
        <f>+IF($B$6 ="esp","Efectos extraordinarios en amort. y provs.","One-offs in Amort. &amp; Provisions")</f>
        <v>Efectos extraordinarios en amort. y provs.</v>
      </c>
      <c r="AS46" s="157">
        <f>+[1]UN!C29</f>
        <v>4.6737715400000006</v>
      </c>
      <c r="AT46" s="157">
        <f>+[1]UN!D29</f>
        <v>4.5597500000000002</v>
      </c>
      <c r="AU46" s="167"/>
      <c r="AV46" s="168"/>
      <c r="AW46" s="157">
        <f>+[1]UN!G29</f>
        <v>4.6737715400000006</v>
      </c>
      <c r="AX46" s="157">
        <f>+[1]UN!H29</f>
        <v>4.5597500000000002</v>
      </c>
      <c r="AY46" s="169"/>
    </row>
    <row r="47" spans="2:53" ht="15.75" thickBot="1" x14ac:dyDescent="0.3">
      <c r="J47" s="96" t="str">
        <f>+J42</f>
        <v>Latam</v>
      </c>
      <c r="K47" s="29">
        <v>190.27699999999999</v>
      </c>
      <c r="L47" s="29">
        <v>184.184</v>
      </c>
      <c r="M47" s="14">
        <v>3.3081049385397154</v>
      </c>
      <c r="N47" s="29">
        <v>58.34099999999998</v>
      </c>
      <c r="O47" s="29">
        <v>72.12299999999999</v>
      </c>
      <c r="P47" s="150">
        <v>-19.109022087267601</v>
      </c>
      <c r="R47" s="24" t="str">
        <f>+IF($B$6 ="esp","Sentencia MediaPro","MediaPro Ruling")</f>
        <v>Sentencia MediaPro</v>
      </c>
      <c r="S47" s="150">
        <f>+[1]ConsPL_MainOp!C61</f>
        <v>0</v>
      </c>
      <c r="T47" s="150">
        <f>+[1]ConsPL_MainOp!D61</f>
        <v>-44.988999999999997</v>
      </c>
      <c r="U47" s="154"/>
      <c r="V47" s="150">
        <f>+[1]ConsPL_MainOp!F61</f>
        <v>0</v>
      </c>
      <c r="W47" s="150">
        <f>+[1]ConsPL_MainOp!G61</f>
        <v>-44.988999999999997</v>
      </c>
      <c r="Z47" s="34" t="str">
        <f>+IF($B$6="esp","Gastos de explotación","Operating expenses")</f>
        <v>Gastos de explotación</v>
      </c>
      <c r="AA47" s="174">
        <f>+[1]UN!C151</f>
        <v>475.65610697003495</v>
      </c>
      <c r="AB47" s="174">
        <f>+[1]UN!D151</f>
        <v>545.90490714183068</v>
      </c>
      <c r="AC47" s="44">
        <f>+[1]UN!E151</f>
        <v>-0.12868321799779039</v>
      </c>
      <c r="AD47" s="50"/>
      <c r="AE47" s="174">
        <f>+[1]UN!G151</f>
        <v>103.77249519221135</v>
      </c>
      <c r="AF47" s="174">
        <f>+[1]UN!H151</f>
        <v>159.62697537217571</v>
      </c>
      <c r="AG47" s="44">
        <f>+[1]UN!I151</f>
        <v>-0.34990627398494356</v>
      </c>
      <c r="AI47" s="34" t="s">
        <v>0</v>
      </c>
      <c r="AJ47" s="152">
        <f>+[1]UN!C68</f>
        <v>54.701482065834306</v>
      </c>
      <c r="AK47" s="152">
        <f>+[1]UN!D68</f>
        <v>45.736839903178584</v>
      </c>
      <c r="AL47" s="44">
        <f>+[1]UN!E68</f>
        <v>0.19600484383339967</v>
      </c>
      <c r="AN47" s="152">
        <f>+[1]UN!G68</f>
        <v>26.940198384771591</v>
      </c>
      <c r="AO47" s="152">
        <f>+[1]UN!H68</f>
        <v>19.664689495892809</v>
      </c>
      <c r="AP47" s="44">
        <f>+[1]UN!I68</f>
        <v>0.36997832538359449</v>
      </c>
      <c r="AR47" s="175" t="str">
        <f>+IF($B$6 ="esp","Otros deterioros","Other Impairments")</f>
        <v>Otros deterioros</v>
      </c>
      <c r="AS47" s="164">
        <f>+[1]UN!C30</f>
        <v>4.6737715400000006</v>
      </c>
      <c r="AT47" s="164">
        <f>+[1]UN!D30</f>
        <v>4.5597500000000002</v>
      </c>
      <c r="AU47" s="169"/>
      <c r="AV47" s="159"/>
      <c r="AW47" s="164">
        <f>+[1]UN!G30</f>
        <v>4.6737715400000006</v>
      </c>
      <c r="AX47" s="164">
        <f>+[1]UN!H30</f>
        <v>4.5597500000000002</v>
      </c>
      <c r="AY47" s="169"/>
    </row>
    <row r="48" spans="2:53" x14ac:dyDescent="0.25">
      <c r="J48" s="31" t="str">
        <f>+IF($B$6="esp","Margen EBITDA ajustado","Adjusted EBITDA Margin")</f>
        <v>Margen EBITDA ajustado</v>
      </c>
      <c r="K48" s="12">
        <f>+K43/K38</f>
        <v>0.207059344534199</v>
      </c>
      <c r="L48" s="12">
        <f>+L43/L38</f>
        <v>0.18527478485266505</v>
      </c>
      <c r="M48" s="13"/>
      <c r="N48" s="12">
        <f>+N43/N38</f>
        <v>0.18236845742720237</v>
      </c>
      <c r="O48" s="12">
        <f>+O43/O38</f>
        <v>0.17556900989373775</v>
      </c>
      <c r="P48" s="13"/>
      <c r="R48" s="24" t="str">
        <f>+IF($B$6 ="esp","Ediciones Generales","Trade Publishing")</f>
        <v>Ediciones Generales</v>
      </c>
      <c r="S48" s="150">
        <f>+[1]ConsPL_MainOp!C62</f>
        <v>0</v>
      </c>
      <c r="T48" s="150">
        <f>+[1]ConsPL_MainOp!D62</f>
        <v>-37.344999999999999</v>
      </c>
      <c r="U48" s="154"/>
      <c r="V48" s="150">
        <f>+[1]ConsPL_MainOp!F62</f>
        <v>0</v>
      </c>
      <c r="W48" s="150">
        <f>+[1]ConsPL_MainOp!G62</f>
        <v>-5.5279999999999987</v>
      </c>
      <c r="Z48" s="34" t="s">
        <v>0</v>
      </c>
      <c r="AA48" s="174">
        <f>+[1]UN!C152</f>
        <v>167.15982848145399</v>
      </c>
      <c r="AB48" s="174">
        <f>+[1]UN!D152</f>
        <v>170.73622655296279</v>
      </c>
      <c r="AC48" s="44">
        <f>+[1]UN!E152</f>
        <v>-2.0946919957841505E-2</v>
      </c>
      <c r="AD48" s="45"/>
      <c r="AE48" s="174">
        <f>+[1]UN!G152</f>
        <v>-6.0327431816601518</v>
      </c>
      <c r="AF48" s="174">
        <f>+[1]UN!H152</f>
        <v>14.987412125711387</v>
      </c>
      <c r="AG48" s="44">
        <f>+[1]UN!I152</f>
        <v>-1.4025206707508087</v>
      </c>
      <c r="AI48" s="31" t="str">
        <f>+IF($B$6="esp","% margen","% margin")</f>
        <v>% margen</v>
      </c>
      <c r="AJ48" s="176">
        <f>+[1]UN!C69</f>
        <v>0.1737855540370544</v>
      </c>
      <c r="AK48" s="176">
        <f>+[1]UN!D69</f>
        <v>0.14989008244014315</v>
      </c>
      <c r="AL48" s="176"/>
      <c r="AM48" s="75"/>
      <c r="AN48" s="176">
        <f>+[1]UN!G69</f>
        <v>0.29559973361417868</v>
      </c>
      <c r="AO48" s="176">
        <f>+[1]UN!H69</f>
        <v>0.21428862569277057</v>
      </c>
      <c r="AP48" s="176"/>
    </row>
    <row r="49" spans="10:44" x14ac:dyDescent="0.25">
      <c r="J49" s="34" t="str">
        <f>+IF($B$6="esp","EBIT","EBIT")</f>
        <v>EBIT</v>
      </c>
      <c r="K49" s="80">
        <v>179.744</v>
      </c>
      <c r="L49" s="80">
        <v>134.07400000000001</v>
      </c>
      <c r="M49" s="80">
        <v>34.063278487999156</v>
      </c>
      <c r="N49" s="80">
        <v>51.538999999999987</v>
      </c>
      <c r="O49" s="80">
        <v>54.122000000000014</v>
      </c>
      <c r="P49" s="177">
        <v>-4.7725509035143308</v>
      </c>
      <c r="R49" s="23" t="str">
        <f>+IF($B$6 ="esp","Efectos extraordinarios en amort. y provisiones","One-offs in amortization &amp; provisions")</f>
        <v>Efectos extraordinarios en amort. y provisiones</v>
      </c>
      <c r="S49" s="27">
        <f>+[1]ConsPL_MainOp!C64</f>
        <v>-12.364000000000001</v>
      </c>
      <c r="T49" s="27">
        <f>+[1]ConsPL_MainOp!D64</f>
        <v>-26.968</v>
      </c>
      <c r="U49" s="165"/>
      <c r="V49" s="147">
        <f>+[1]ConsPL_MainOp!F64</f>
        <v>-13.25</v>
      </c>
      <c r="W49" s="27">
        <f>+[1]ConsPL_MainOp!G64</f>
        <v>-13.324</v>
      </c>
      <c r="Z49" s="31" t="str">
        <f>+IF($B$6="esp","% margen","% margin")</f>
        <v>% margen</v>
      </c>
      <c r="AA49" s="51">
        <f>+[1]UN!C153</f>
        <v>0.26004306872704924</v>
      </c>
      <c r="AB49" s="51">
        <f>+[1]UN!D153</f>
        <v>0.23824508324368213</v>
      </c>
      <c r="AC49" s="51"/>
      <c r="AD49" s="52"/>
      <c r="AE49" s="51">
        <f>+[1]UN!G153</f>
        <v>-6.1722513691347444E-2</v>
      </c>
      <c r="AF49" s="51">
        <f>+[1]UN!H153</f>
        <v>8.5831484681597306E-2</v>
      </c>
      <c r="AG49" s="51"/>
      <c r="AI49" s="34" t="s">
        <v>1</v>
      </c>
      <c r="AJ49" s="152">
        <f>+[1]UN!C70</f>
        <v>42.279682384571402</v>
      </c>
      <c r="AK49" s="152">
        <f>+[1]UN!D70</f>
        <v>24.822136734634174</v>
      </c>
      <c r="AL49" s="152">
        <f>+[1]UN!E70</f>
        <v>0.7033055146126409</v>
      </c>
      <c r="AM49" s="83"/>
      <c r="AN49" s="152">
        <f>+[1]UN!G70</f>
        <v>24.365951874783779</v>
      </c>
      <c r="AO49" s="152">
        <f>+[1]UN!H70</f>
        <v>9.7397175238641225</v>
      </c>
      <c r="AP49" s="152">
        <f>+[1]UN!I70</f>
        <v>1.5017103232288469</v>
      </c>
    </row>
    <row r="50" spans="10:44" x14ac:dyDescent="0.25">
      <c r="J50" s="35" t="str">
        <f>+J39</f>
        <v>España</v>
      </c>
      <c r="K50" s="29">
        <v>24.835999999999999</v>
      </c>
      <c r="L50" s="29">
        <v>-17.236000000000001</v>
      </c>
      <c r="M50" s="14" t="s">
        <v>4</v>
      </c>
      <c r="N50" s="29">
        <v>-9.1829999999999998</v>
      </c>
      <c r="O50" s="29">
        <v>-12.855</v>
      </c>
      <c r="P50" s="14">
        <v>28.564760793465581</v>
      </c>
      <c r="R50" s="24" t="str">
        <f>+IF($B$6 ="esp","Fondo de comercio","Goodwill")</f>
        <v>Fondo de comercio</v>
      </c>
      <c r="S50" s="150">
        <f>+[1]ConsPL_MainOp!C65</f>
        <v>-0.39</v>
      </c>
      <c r="T50" s="150">
        <f>+[1]ConsPL_MainOp!D65</f>
        <v>-7.0460000000000003</v>
      </c>
      <c r="U50" s="154"/>
      <c r="V50" s="150">
        <f>+[1]ConsPL_MainOp!F65</f>
        <v>-0.39</v>
      </c>
      <c r="W50" s="150">
        <f>+[1]ConsPL_MainOp!G65</f>
        <v>-0.25499999999999989</v>
      </c>
      <c r="Z50" s="34" t="s">
        <v>1</v>
      </c>
      <c r="AA50" s="172">
        <f>+[1]UN!C154</f>
        <v>88.699006554616503</v>
      </c>
      <c r="AB50" s="172">
        <f>+[1]UN!D154</f>
        <v>85.145411958571287</v>
      </c>
      <c r="AC50" s="44">
        <f>+[1]UN!E154</f>
        <v>4.1735596954704586E-2</v>
      </c>
      <c r="AD50" s="45"/>
      <c r="AE50" s="172">
        <f>+[1]UN!G154</f>
        <v>-7.5331520528761331</v>
      </c>
      <c r="AF50" s="172">
        <f>+[1]UN!H154</f>
        <v>10.108907957774122</v>
      </c>
      <c r="AG50" s="44">
        <f>+[1]UN!I154</f>
        <v>-1.7451993909077848</v>
      </c>
      <c r="AI50" s="31" t="str">
        <f>+IF($B$6="esp","% margen","% margin")</f>
        <v>% margen</v>
      </c>
      <c r="AJ50" s="176">
        <f>+[1]UN!C71</f>
        <v>0.13432173590599339</v>
      </c>
      <c r="AK50" s="176">
        <f>+[1]UN!D71</f>
        <v>8.1347817850359425E-2</v>
      </c>
      <c r="AL50" s="176"/>
      <c r="AM50" s="75"/>
      <c r="AN50" s="176">
        <f>+[1]UN!G71</f>
        <v>0.26735396601657391</v>
      </c>
      <c r="AO50" s="176">
        <f>+[1]UN!H71</f>
        <v>0.10613494218968235</v>
      </c>
      <c r="AP50" s="176"/>
    </row>
    <row r="51" spans="10:44" x14ac:dyDescent="0.25">
      <c r="J51" s="35" t="str">
        <f>+J40</f>
        <v>Internacional</v>
      </c>
      <c r="K51" s="29">
        <v>154.90799999999999</v>
      </c>
      <c r="L51" s="29">
        <v>151.309</v>
      </c>
      <c r="M51" s="14">
        <v>2.3785762909013934</v>
      </c>
      <c r="N51" s="29">
        <v>60.72199999999998</v>
      </c>
      <c r="O51" s="29">
        <v>66.977000000000004</v>
      </c>
      <c r="P51" s="14">
        <v>-9.3390268301058921</v>
      </c>
      <c r="R51" s="24" t="str">
        <f>+IF($B$6 ="esp","Ediciones Generales","Trade Publishing")</f>
        <v>Ediciones Generales</v>
      </c>
      <c r="S51" s="150">
        <f>+[1]ConsPL_MainOp!C66</f>
        <v>0</v>
      </c>
      <c r="T51" s="150">
        <f>+[1]ConsPL_MainOp!D66</f>
        <v>-7.7039999999999997</v>
      </c>
      <c r="U51" s="154"/>
      <c r="V51" s="150">
        <f>+[1]ConsPL_MainOp!F66</f>
        <v>0</v>
      </c>
      <c r="W51" s="150">
        <f>+[1]ConsPL_MainOp!G66</f>
        <v>0</v>
      </c>
      <c r="Z51" s="31" t="str">
        <f>+IF($B$6="esp","% margen","% margin")</f>
        <v>% margen</v>
      </c>
      <c r="AA51" s="51">
        <f>+[1]UN!C155</f>
        <v>0.13798507731815604</v>
      </c>
      <c r="AB51" s="51">
        <f>+[1]UN!D155</f>
        <v>0.11881178452538202</v>
      </c>
      <c r="AC51" s="51"/>
      <c r="AD51" s="52"/>
      <c r="AE51" s="51">
        <f>+[1]UN!G155</f>
        <v>-7.7073574445563481E-2</v>
      </c>
      <c r="AF51" s="51">
        <f>+[1]UN!H155</f>
        <v>5.789275501651573E-2</v>
      </c>
      <c r="AG51" s="51"/>
      <c r="AI51" s="74" t="str">
        <f>+IF($B$6="esp","* Incluye Música y Ajustes de consolidación"," * Includes Music &amp; Consolidation adjustments")</f>
        <v>* Incluye Música y Ajustes de consolidación</v>
      </c>
    </row>
    <row r="52" spans="10:44" x14ac:dyDescent="0.25">
      <c r="J52" s="96" t="str">
        <f>+J41</f>
        <v>Portugal</v>
      </c>
      <c r="K52" s="29">
        <v>32.706000000000003</v>
      </c>
      <c r="L52" s="29">
        <v>37.706000000000003</v>
      </c>
      <c r="M52" s="14">
        <v>-13.260489046836046</v>
      </c>
      <c r="N52" s="29">
        <v>21.752000000000002</v>
      </c>
      <c r="O52" s="29">
        <v>18.227000000000004</v>
      </c>
      <c r="P52" s="14">
        <v>19.339441487902551</v>
      </c>
      <c r="R52" s="24" t="str">
        <f>+R40</f>
        <v>Ajuste perímetro de consolidación - Mx &amp; CR</v>
      </c>
      <c r="S52" s="150">
        <f>+[1]ConsPL_MainOp!C67</f>
        <v>1.028</v>
      </c>
      <c r="T52" s="150">
        <f>+[1]ConsPL_MainOp!D67</f>
        <v>1.0660000000000001</v>
      </c>
      <c r="U52" s="154"/>
      <c r="V52" s="150">
        <f>+[1]ConsPL_MainOp!F67</f>
        <v>0.14200000000000002</v>
      </c>
      <c r="W52" s="150">
        <f>+[1]ConsPL_MainOp!G67</f>
        <v>0.21500000000000008</v>
      </c>
      <c r="AJ52" s="40">
        <f>+$C$12</f>
        <v>2015</v>
      </c>
      <c r="AK52" s="40">
        <f>+$D$12</f>
        <v>2014</v>
      </c>
      <c r="AL52" s="40" t="str">
        <f>+$E$12</f>
        <v>Var. %</v>
      </c>
      <c r="AM52" s="42"/>
      <c r="AN52" s="40">
        <f>+AJ52</f>
        <v>2015</v>
      </c>
      <c r="AO52" s="40">
        <f>+AK52</f>
        <v>2014</v>
      </c>
      <c r="AP52" s="41" t="str">
        <f>+AL52</f>
        <v>Var. %</v>
      </c>
    </row>
    <row r="53" spans="10:44" x14ac:dyDescent="0.25">
      <c r="J53" s="96" t="str">
        <f>+J42</f>
        <v>Latam</v>
      </c>
      <c r="K53" s="29">
        <v>122.203</v>
      </c>
      <c r="L53" s="29">
        <v>113.60299999999999</v>
      </c>
      <c r="M53" s="14">
        <v>7.5702226173604652</v>
      </c>
      <c r="N53" s="29">
        <v>38.971000000000004</v>
      </c>
      <c r="O53" s="29">
        <v>48.75</v>
      </c>
      <c r="P53" s="14">
        <v>-20.059487179487174</v>
      </c>
      <c r="R53" s="24" t="str">
        <f>+IF($B$6 ="esp","Otros deterioros","Other Impairments")</f>
        <v>Otros deterioros</v>
      </c>
      <c r="S53" s="150">
        <f>+[1]ConsPL_MainOp!C68</f>
        <v>-13.002000000000001</v>
      </c>
      <c r="T53" s="150">
        <f>+[1]ConsPL_MainOp!D68</f>
        <v>-13.285</v>
      </c>
      <c r="U53" s="165"/>
      <c r="V53" s="150">
        <f>+[1]ConsPL_MainOp!F68</f>
        <v>-13.002000000000001</v>
      </c>
      <c r="W53" s="150">
        <f>+[1]ConsPL_MainOp!G68</f>
        <v>-13.285</v>
      </c>
      <c r="Z53" s="53"/>
      <c r="AA53" s="40">
        <f>+$C$12</f>
        <v>2015</v>
      </c>
      <c r="AB53" s="40">
        <f>+$D$12</f>
        <v>2014</v>
      </c>
      <c r="AC53" s="41" t="str">
        <f>+$E$12</f>
        <v>Var. %</v>
      </c>
      <c r="AD53" s="42"/>
      <c r="AE53" s="40">
        <f>+$C$12</f>
        <v>2015</v>
      </c>
      <c r="AF53" s="40">
        <f>+$D$12</f>
        <v>2014</v>
      </c>
      <c r="AG53" s="41" t="str">
        <f>+$E$12</f>
        <v>Var. %</v>
      </c>
      <c r="AI53" s="23" t="str">
        <f>+IF($B$6 ="esp","Efectos extraordinarios en ingresos","One-offs in operating revenues")</f>
        <v>Efectos extraordinarios en ingresos</v>
      </c>
      <c r="AJ53" s="178">
        <f>+[1]UN!C74</f>
        <v>-23.503878101888606</v>
      </c>
      <c r="AK53" s="179">
        <f>+[1]UN!D74</f>
        <v>-25.106729376871197</v>
      </c>
      <c r="AL53" s="179"/>
      <c r="AM53" s="159"/>
      <c r="AN53" s="179">
        <f>+[1]UN!G74</f>
        <v>-7.2175540989188463</v>
      </c>
      <c r="AO53" s="179">
        <f>+[1]UN!H74</f>
        <v>-10.383531053735897</v>
      </c>
      <c r="AP53" s="179"/>
    </row>
    <row r="54" spans="10:44" x14ac:dyDescent="0.25">
      <c r="J54" s="31" t="str">
        <f>+IF($B$6="esp","Margen EBIT ajustado","Adjusted EBIT Margin")</f>
        <v>Margen EBIT ajustado</v>
      </c>
      <c r="K54" s="12">
        <f>+K49/K38</f>
        <v>0.12515780157770245</v>
      </c>
      <c r="L54" s="12">
        <f>+L49/L38</f>
        <v>9.4894855786346807E-2</v>
      </c>
      <c r="M54" s="13"/>
      <c r="N54" s="12">
        <f>+N49/N38</f>
        <v>0.14841446277183931</v>
      </c>
      <c r="O54" s="12">
        <f>+O49/O38</f>
        <v>0.13670382185715338</v>
      </c>
      <c r="P54" s="13"/>
      <c r="R54" s="25"/>
      <c r="S54" s="26"/>
      <c r="T54" s="26"/>
      <c r="U54" s="26"/>
      <c r="V54" s="26"/>
      <c r="W54" s="26"/>
      <c r="Z54" s="23" t="str">
        <f>+IF($B$6 ="esp","Efectos extraordinarios en ingresos","One-offs in operating revenues")</f>
        <v>Efectos extraordinarios en ingresos</v>
      </c>
      <c r="AA54" s="180">
        <f>+[1]UN!C157</f>
        <v>0</v>
      </c>
      <c r="AB54" s="157">
        <f>+[1]UN!D157</f>
        <v>65.009628309629733</v>
      </c>
      <c r="AC54" s="164"/>
      <c r="AD54" s="181"/>
      <c r="AE54" s="157">
        <f>+[1]UN!G157</f>
        <v>0</v>
      </c>
      <c r="AF54" s="157">
        <f>+[1]UN!H157</f>
        <v>1.5620632949075883</v>
      </c>
      <c r="AG54" s="158"/>
      <c r="AI54" s="56" t="str">
        <f>+IF($B$6 ="esp","Ajuste Perímetro de Consolidación - Mx &amp; CR","Consolidation Perimeter Adjustment - Mx &amp; CR")</f>
        <v>Ajuste Perímetro de Consolidación - Mx &amp; CR</v>
      </c>
      <c r="AJ54" s="184">
        <f>+[1]UN!C76</f>
        <v>-23.503878101888606</v>
      </c>
      <c r="AK54" s="185">
        <f>+[1]UN!D76</f>
        <v>-25.106729376871197</v>
      </c>
      <c r="AL54" s="185"/>
      <c r="AM54" s="186"/>
      <c r="AN54" s="185">
        <f>+[1]UN!G76</f>
        <v>-7.2175540989188463</v>
      </c>
      <c r="AO54" s="185">
        <f>+[1]UN!H76</f>
        <v>-10.383531053735897</v>
      </c>
      <c r="AP54" s="185"/>
    </row>
    <row r="55" spans="10:44" x14ac:dyDescent="0.25">
      <c r="R55" s="26"/>
      <c r="S55" s="26"/>
      <c r="T55" s="26"/>
      <c r="U55" s="26"/>
      <c r="V55" s="26"/>
      <c r="W55" s="26"/>
      <c r="X55" s="26"/>
      <c r="Z55" s="54" t="str">
        <f>+IF($B$6 ="esp","Ediciones Generales","Trade Publishing")</f>
        <v>Ediciones Generales</v>
      </c>
      <c r="AA55" s="183">
        <f>+[1]UN!C158</f>
        <v>0</v>
      </c>
      <c r="AB55" s="164">
        <f>+[1]UN!D158</f>
        <v>43.403628309629738</v>
      </c>
      <c r="AC55" s="164"/>
      <c r="AD55" s="181"/>
      <c r="AE55" s="164">
        <f>+[1]UN!G158</f>
        <v>0</v>
      </c>
      <c r="AF55" s="164">
        <f>+[1]UN!H158</f>
        <v>4.0360632949075921</v>
      </c>
      <c r="AG55" s="158"/>
      <c r="AI55" s="23" t="str">
        <f>+IF($B$6 ="esp","Efectos extraordinarios en gastos","One-offs in operating expenses")</f>
        <v>Efectos extraordinarios en gastos</v>
      </c>
      <c r="AJ55" s="178">
        <f>+[1]UN!C77</f>
        <v>-3.3956326695669681</v>
      </c>
      <c r="AK55" s="179">
        <f>+[1]UN!D77</f>
        <v>-5.0894100421633013</v>
      </c>
      <c r="AL55" s="179"/>
      <c r="AM55" s="187"/>
      <c r="AN55" s="179">
        <f>+[1]UN!G77</f>
        <v>-2.6614749763718368</v>
      </c>
      <c r="AO55" s="179">
        <f>+[1]UN!H77</f>
        <v>-1.2975989811208817</v>
      </c>
      <c r="AP55" s="179"/>
    </row>
    <row r="56" spans="10:44" ht="15.75" thickBot="1" x14ac:dyDescent="0.3">
      <c r="R56" s="26"/>
      <c r="S56" s="26"/>
      <c r="T56" s="26"/>
      <c r="U56" s="26"/>
      <c r="V56" s="26"/>
      <c r="W56" s="26"/>
      <c r="X56" s="26"/>
      <c r="Z56" s="54" t="str">
        <f>+IF($B$6 ="esp","Ediciones Generales plusvalía","Trade Publishing gain on disposal")</f>
        <v>Ediciones Generales plusvalía</v>
      </c>
      <c r="AA56" s="183">
        <f>+[1]UN!C159</f>
        <v>0</v>
      </c>
      <c r="AB56" s="164">
        <f>+[1]UN!D159</f>
        <v>21.606000000000002</v>
      </c>
      <c r="AC56" s="164"/>
      <c r="AD56" s="181"/>
      <c r="AE56" s="164">
        <f>+[1]UN!G159</f>
        <v>0</v>
      </c>
      <c r="AF56" s="185">
        <f>+[1]UN!H159</f>
        <v>-2.4739999999999966</v>
      </c>
      <c r="AG56" s="158"/>
      <c r="AI56" s="56" t="str">
        <f>+IF($B$6 ="esp","Indemnizaciones","Redundancies")</f>
        <v>Indemnizaciones</v>
      </c>
      <c r="AJ56" s="188">
        <f>+[1]UN!C78</f>
        <v>9.5743239592746789</v>
      </c>
      <c r="AK56" s="189">
        <f>+[1]UN!D78</f>
        <v>6.5465671000491241</v>
      </c>
      <c r="AL56" s="189"/>
      <c r="AM56" s="187"/>
      <c r="AN56" s="189">
        <f>+[1]UN!G78</f>
        <v>1.0519368349941587</v>
      </c>
      <c r="AO56" s="189">
        <f>+[1]UN!H78</f>
        <v>2.394332503544673</v>
      </c>
      <c r="AP56" s="189"/>
    </row>
    <row r="57" spans="10:44" x14ac:dyDescent="0.25">
      <c r="R57" s="26"/>
      <c r="S57" s="26"/>
      <c r="T57" s="26"/>
      <c r="U57" s="26"/>
      <c r="V57" s="26"/>
      <c r="W57" s="26"/>
      <c r="X57" s="26"/>
      <c r="Z57" s="23" t="str">
        <f>+IF($B$6 ="esp","Efectos extraordinarios en gastos","One-offs in operating expenses")</f>
        <v>Efectos extraordinarios en gastos</v>
      </c>
      <c r="AA57" s="180">
        <f>+[1]UN!C160</f>
        <v>4.5496446517170996</v>
      </c>
      <c r="AB57" s="157">
        <f>+[1]UN!D160</f>
        <v>52.42491942308363</v>
      </c>
      <c r="AC57" s="164"/>
      <c r="AD57" s="181"/>
      <c r="AE57" s="157">
        <f>+[1]UN!G160</f>
        <v>1.8272444223541653</v>
      </c>
      <c r="AF57" s="157">
        <f>+[1]UN!H160</f>
        <v>8.2434282479397893</v>
      </c>
      <c r="AG57" s="158"/>
      <c r="AI57" s="56" t="str">
        <f>+IF($B$6 ="esp","Indemnizaciones Colaboradores","Contractors Redundancies")</f>
        <v>Indemnizaciones Colaboradores</v>
      </c>
      <c r="AJ57" s="188">
        <f>+[1]UN!C79</f>
        <v>1.18243075</v>
      </c>
      <c r="AK57" s="189">
        <f>+[1]UN!D79</f>
        <v>1.5669999999999999</v>
      </c>
      <c r="AL57" s="189"/>
      <c r="AM57" s="187"/>
      <c r="AN57" s="189">
        <f>+[1]UN!G79</f>
        <v>0.38743074999999993</v>
      </c>
      <c r="AO57" s="189">
        <f>+[1]UN!H79</f>
        <v>0.31199999999999983</v>
      </c>
      <c r="AP57" s="189"/>
      <c r="AR57" s="190"/>
    </row>
    <row r="58" spans="10:44" x14ac:dyDescent="0.25">
      <c r="S58" s="26"/>
      <c r="T58" s="26"/>
      <c r="U58" s="26"/>
      <c r="V58" s="26"/>
      <c r="W58" s="26"/>
      <c r="X58" s="26"/>
      <c r="Z58" s="56" t="str">
        <f>+IF($B$6 ="esp","Indemnizaciones","Redundancies")</f>
        <v>Indemnizaciones</v>
      </c>
      <c r="AA58" s="183">
        <f>+[1]UN!C161</f>
        <v>4.5496446517170996</v>
      </c>
      <c r="AB58" s="164">
        <f>+[1]UN!D161</f>
        <v>14.699037755219445</v>
      </c>
      <c r="AC58" s="164"/>
      <c r="AD58" s="181"/>
      <c r="AE58" s="164">
        <f>+[1]UN!G161</f>
        <v>1.8272444223541653</v>
      </c>
      <c r="AF58" s="164">
        <f>+[1]UN!H161</f>
        <v>2.3343125121186734</v>
      </c>
      <c r="AG58" s="158"/>
      <c r="AI58" s="56" t="str">
        <f>+AI54</f>
        <v>Ajuste Perímetro de Consolidación - Mx &amp; CR</v>
      </c>
      <c r="AJ58" s="184">
        <f>+[1]UN!C81</f>
        <v>-14.152387378841647</v>
      </c>
      <c r="AK58" s="185">
        <f>+[1]UN!D81</f>
        <v>-13.202977142212426</v>
      </c>
      <c r="AL58" s="185"/>
      <c r="AM58" s="86"/>
      <c r="AN58" s="185">
        <f>+[1]UN!G81</f>
        <v>-4.1008425613659956</v>
      </c>
      <c r="AO58" s="185">
        <f>+[1]UN!H81</f>
        <v>-4.0039314846655563</v>
      </c>
      <c r="AP58" s="185"/>
    </row>
    <row r="59" spans="10:44" x14ac:dyDescent="0.25">
      <c r="Z59" s="56" t="str">
        <f>+IF($B$6 ="esp","Ediciones Generales","Trade Publishing")</f>
        <v>Ediciones Generales</v>
      </c>
      <c r="AA59" s="183">
        <f>+[1]UN!C162</f>
        <v>0</v>
      </c>
      <c r="AB59" s="164">
        <f>+[1]UN!D162</f>
        <v>36.929881667864187</v>
      </c>
      <c r="AC59" s="164"/>
      <c r="AD59" s="181"/>
      <c r="AE59" s="164">
        <f>+[1]UN!G162</f>
        <v>0</v>
      </c>
      <c r="AF59" s="164">
        <f>+[1]UN!H162</f>
        <v>5.707115735821116</v>
      </c>
      <c r="AG59" s="158"/>
      <c r="AI59" s="23" t="str">
        <f>+IF($B$6 ="esp","Efectos extraordinarios en amort. y provs.","One-offs in Amort. &amp; Provisions")</f>
        <v>Efectos extraordinarios en amort. y provs.</v>
      </c>
      <c r="AJ59" s="191">
        <f>+[1]UN!C82</f>
        <v>0.21332569540799384</v>
      </c>
      <c r="AK59" s="192">
        <f>+[1]UN!D82</f>
        <v>7.9136873958260114</v>
      </c>
      <c r="AL59" s="192"/>
      <c r="AM59" s="182"/>
      <c r="AN59" s="192">
        <f>+[1]UN!G82</f>
        <v>1.0989054032908996</v>
      </c>
      <c r="AO59" s="192">
        <f>+[1]UN!H82</f>
        <v>8.7643703882423605</v>
      </c>
      <c r="AP59" s="179"/>
    </row>
    <row r="60" spans="10:44" x14ac:dyDescent="0.25">
      <c r="Z60" s="56" t="str">
        <f>+IF($B$6 ="esp","Ediciones Generales","Trade Publishing")</f>
        <v>Ediciones Generales</v>
      </c>
      <c r="AA60" s="183">
        <f>+[1]UN!C163</f>
        <v>0</v>
      </c>
      <c r="AB60" s="164">
        <f>+[1]UN!D163</f>
        <v>0.79600000000000004</v>
      </c>
      <c r="AC60" s="164"/>
      <c r="AD60" s="181"/>
      <c r="AE60" s="164">
        <f>+[1]UN!G163</f>
        <v>0</v>
      </c>
      <c r="AF60" s="164">
        <f>+[1]UN!H163</f>
        <v>0.20200000000000007</v>
      </c>
      <c r="AG60" s="158"/>
      <c r="AI60" s="56" t="str">
        <f>+AI58</f>
        <v>Ajuste Perímetro de Consolidación - Mx &amp; CR</v>
      </c>
      <c r="AJ60" s="184">
        <f>+[1]UN!C83</f>
        <v>-1.0278498545920061</v>
      </c>
      <c r="AK60" s="185">
        <f>+[1]UN!D83</f>
        <v>-1.0663126041739888</v>
      </c>
      <c r="AL60" s="185"/>
      <c r="AM60" s="187"/>
      <c r="AN60" s="185">
        <f>+[1]UN!G83</f>
        <v>-0.14227014670910043</v>
      </c>
      <c r="AO60" s="185">
        <f>+[1]UN!H83</f>
        <v>-0.21562961175763962</v>
      </c>
      <c r="AP60" s="185"/>
    </row>
    <row r="61" spans="10:44" x14ac:dyDescent="0.25">
      <c r="Z61" s="23" t="str">
        <f>+IF($B$6 ="esp","Efectos extraordinarios en amort. y provs.","One-offs in Amort. &amp; Provisions")</f>
        <v>Efectos extraordinarios en amort. y provs.</v>
      </c>
      <c r="AA61" s="180">
        <f>+[1]UN!C164</f>
        <v>1.959325</v>
      </c>
      <c r="AB61" s="157">
        <f>+[1]UN!D164</f>
        <v>14.494507684451332</v>
      </c>
      <c r="AC61" s="164"/>
      <c r="AD61" s="181"/>
      <c r="AE61" s="157">
        <f>+[1]UN!G164</f>
        <v>1.959325</v>
      </c>
      <c r="AF61" s="157">
        <f>+[1]UN!H164</f>
        <v>0</v>
      </c>
      <c r="AG61" s="158"/>
      <c r="AI61" s="56" t="str">
        <f>+IF($B$6 ="esp","Deterioros y Pérdidas de Inmovilizado","Impairment &amp; Losses on Assets")</f>
        <v>Deterioros y Pérdidas de Inmovilizado</v>
      </c>
      <c r="AJ61" s="188">
        <f>+[1]UN!C84</f>
        <v>1.2411755499999999</v>
      </c>
      <c r="AK61" s="189">
        <f>+[1]UN!D84</f>
        <v>8.98</v>
      </c>
      <c r="AL61" s="189"/>
      <c r="AN61" s="189">
        <f>+[1]UN!G84</f>
        <v>1.2411755499999999</v>
      </c>
      <c r="AO61" s="189">
        <f>+[1]UN!H84</f>
        <v>8.98</v>
      </c>
      <c r="AP61" s="189"/>
    </row>
    <row r="62" spans="10:44" x14ac:dyDescent="0.25">
      <c r="Z62" s="56" t="str">
        <f>+IF($B$6 ="esp","Fondo de Comercio","Goodwil")</f>
        <v>Fondo de Comercio</v>
      </c>
      <c r="AA62" s="183">
        <f>+[1]UN!C165</f>
        <v>1.959325</v>
      </c>
      <c r="AB62" s="164">
        <f>+[1]UN!D165</f>
        <v>6.7910000000000039</v>
      </c>
      <c r="AC62" s="164"/>
      <c r="AD62" s="181"/>
      <c r="AE62" s="164">
        <f>+[1]UN!G165</f>
        <v>1.959325</v>
      </c>
      <c r="AF62" s="164">
        <f>+[1]UN!H165</f>
        <v>0</v>
      </c>
      <c r="AG62" s="158"/>
    </row>
    <row r="63" spans="10:44" x14ac:dyDescent="0.25">
      <c r="Z63" s="56" t="str">
        <f>+IF($B$6 ="esp","Ediciones Generales","Trade Publishing")</f>
        <v>Ediciones Generales</v>
      </c>
      <c r="AA63" s="183">
        <f>+[1]UN!C166</f>
        <v>0</v>
      </c>
      <c r="AB63" s="164">
        <f>+[1]UN!D166</f>
        <v>7.7035076844513268</v>
      </c>
      <c r="AC63" s="164"/>
      <c r="AD63" s="181"/>
      <c r="AE63" s="164">
        <f>+[1]UN!G166</f>
        <v>0</v>
      </c>
      <c r="AF63" s="164">
        <f>+[1]UN!H166</f>
        <v>0</v>
      </c>
      <c r="AG63" s="158"/>
    </row>
    <row r="66" spans="26:33" x14ac:dyDescent="0.25">
      <c r="Z66" s="193"/>
      <c r="AA66" s="193" t="str">
        <f>+IF($B$6="esp","INGRESOS","REVENUES")</f>
        <v>INGRESOS</v>
      </c>
      <c r="AB66" s="194"/>
      <c r="AC66" s="194"/>
    </row>
    <row r="67" spans="26:33" ht="15.75" thickBot="1" x14ac:dyDescent="0.3">
      <c r="Z67" s="194"/>
      <c r="AA67" s="195">
        <v>2015</v>
      </c>
      <c r="AB67" s="195">
        <v>2014</v>
      </c>
      <c r="AC67" s="41" t="str">
        <f>+$E$12</f>
        <v>Var. %</v>
      </c>
      <c r="AE67" s="195">
        <v>2015</v>
      </c>
      <c r="AF67" s="195">
        <v>2014</v>
      </c>
      <c r="AG67" s="41" t="str">
        <f>+$E$12</f>
        <v>Var. %</v>
      </c>
    </row>
    <row r="68" spans="26:33" ht="26.25" customHeight="1" thickBot="1" x14ac:dyDescent="0.3">
      <c r="Z68" s="194"/>
      <c r="AA68" s="196" t="str">
        <f>+AB10</f>
        <v>ENERO-DICIEMBRE</v>
      </c>
      <c r="AB68" s="196" t="str">
        <f>+AB10</f>
        <v>ENERO-DICIEMBRE</v>
      </c>
      <c r="AC68" s="195"/>
      <c r="AE68" s="196" t="str">
        <f>+AF10</f>
        <v>OCTUBRE-DICIEMBRE</v>
      </c>
      <c r="AF68" s="196" t="str">
        <f>+AE68</f>
        <v>OCTUBRE-DICIEMBRE</v>
      </c>
      <c r="AG68" s="195"/>
    </row>
    <row r="69" spans="26:33" ht="15.75" thickBot="1" x14ac:dyDescent="0.3">
      <c r="Z69" s="194"/>
      <c r="AA69" s="194"/>
      <c r="AB69" s="194"/>
      <c r="AC69" s="194"/>
    </row>
    <row r="70" spans="26:33" ht="15.75" thickBot="1" x14ac:dyDescent="0.3">
      <c r="Z70" s="197" t="s">
        <v>5</v>
      </c>
      <c r="AA70" s="198">
        <v>642.81593545148905</v>
      </c>
      <c r="AB70" s="198">
        <v>651.64164719076734</v>
      </c>
      <c r="AC70" s="199">
        <v>-1.3543811659868621E-2</v>
      </c>
      <c r="AE70" s="198">
        <v>97.739659892126951</v>
      </c>
      <c r="AF70" s="198">
        <v>173.0608080908637</v>
      </c>
      <c r="AG70" s="199">
        <v>-0.43522937994829075</v>
      </c>
    </row>
    <row r="71" spans="26:33" ht="15.75" thickBot="1" x14ac:dyDescent="0.3">
      <c r="Z71" s="201" t="str">
        <f>+IF($B$6="esp","Educación tradicional y Compartir","Traditional Education and Compartir")</f>
        <v>Educación tradicional y Compartir</v>
      </c>
      <c r="AA71" s="202">
        <v>570.74142099291259</v>
      </c>
      <c r="AB71" s="202">
        <v>577.80079858541808</v>
      </c>
      <c r="AC71" s="203">
        <v>-1.2217666728374876E-2</v>
      </c>
      <c r="AE71" s="202">
        <v>77.450924738327387</v>
      </c>
      <c r="AF71" s="202">
        <v>150.41559875362026</v>
      </c>
      <c r="AG71" s="203">
        <v>-0.48508714933753988</v>
      </c>
    </row>
    <row r="72" spans="26:33" ht="15.75" thickBot="1" x14ac:dyDescent="0.3">
      <c r="Z72" s="204" t="str">
        <f>+IF($B$6="esp","España","Spain")</f>
        <v>España</v>
      </c>
      <c r="AA72" s="205">
        <v>139.30130909000002</v>
      </c>
      <c r="AB72" s="205">
        <v>116.34594573999999</v>
      </c>
      <c r="AC72" s="206">
        <v>0.19730264947348242</v>
      </c>
      <c r="AE72" s="205">
        <v>-20.035743130000014</v>
      </c>
      <c r="AF72" s="205">
        <v>-17.67381094000001</v>
      </c>
      <c r="AG72" s="206">
        <v>-0.13364023175411444</v>
      </c>
    </row>
    <row r="73" spans="26:33" ht="15.75" thickBot="1" x14ac:dyDescent="0.3">
      <c r="Z73" s="204" t="str">
        <f>+IF($B$6="esp","Brasil","Brazil")</f>
        <v>Brasil</v>
      </c>
      <c r="AA73" s="205">
        <v>147.98707639029493</v>
      </c>
      <c r="AB73" s="205">
        <v>191.57861717801214</v>
      </c>
      <c r="AC73" s="206">
        <v>-0.22753865452120137</v>
      </c>
      <c r="AE73" s="205">
        <v>51.726869685744788</v>
      </c>
      <c r="AF73" s="205">
        <v>119.63064320051254</v>
      </c>
      <c r="AG73" s="206">
        <v>-0.56761187349761588</v>
      </c>
    </row>
    <row r="74" spans="26:33" ht="15.75" thickBot="1" x14ac:dyDescent="0.3">
      <c r="Z74" s="204" t="str">
        <f>+IF($B$6="esp","México","Mexico")</f>
        <v>México</v>
      </c>
      <c r="AA74" s="205">
        <v>64.599434322554785</v>
      </c>
      <c r="AB74" s="205">
        <v>62.602163685337658</v>
      </c>
      <c r="AC74" s="206">
        <v>3.190417901937348E-2</v>
      </c>
      <c r="AE74" s="205">
        <v>0.5597570248653625</v>
      </c>
      <c r="AF74" s="205">
        <v>-1.0381939615907712</v>
      </c>
      <c r="AG74" s="206">
        <v>1.5391642078207386</v>
      </c>
    </row>
    <row r="75" spans="26:33" ht="15.75" thickBot="1" x14ac:dyDescent="0.3">
      <c r="Z75" s="204" t="str">
        <f>+IF($B$6="esp","Otros países*","Other Countries*")</f>
        <v>Otros países*</v>
      </c>
      <c r="AA75" s="205">
        <v>218.85360119006288</v>
      </c>
      <c r="AB75" s="205">
        <v>207.27407198206828</v>
      </c>
      <c r="AC75" s="206">
        <v>5.5865787250980237E-2</v>
      </c>
      <c r="AE75" s="205">
        <v>45.200041157717266</v>
      </c>
      <c r="AF75" s="205">
        <v>49.496960454698495</v>
      </c>
      <c r="AG75" s="206">
        <v>-8.6811781117629119E-2</v>
      </c>
    </row>
    <row r="76" spans="26:33" ht="15.75" thickBot="1" x14ac:dyDescent="0.3">
      <c r="Z76" s="201" t="str">
        <f>+IF($B$6="esp","Sistema UNO","System UNO")</f>
        <v>Sistema UNO</v>
      </c>
      <c r="AA76" s="202">
        <v>72.073192876412463</v>
      </c>
      <c r="AB76" s="202">
        <v>73.845415824035825</v>
      </c>
      <c r="AC76" s="203">
        <v>-2.3999092263849442E-2</v>
      </c>
      <c r="AE76" s="202">
        <v>20.287413571635511</v>
      </c>
      <c r="AF76" s="202">
        <v>22.649776555929961</v>
      </c>
      <c r="AG76" s="207">
        <v>-0.10429961542715338</v>
      </c>
    </row>
    <row r="77" spans="26:33" x14ac:dyDescent="0.25">
      <c r="Z77" s="208"/>
      <c r="AA77" s="209"/>
      <c r="AB77" s="209"/>
      <c r="AC77" s="210"/>
    </row>
    <row r="78" spans="26:33" ht="15.75" thickBot="1" x14ac:dyDescent="0.3">
      <c r="Z78" s="72" t="str">
        <f>+IF($B$6="esp","Ingresos ajustados a tipo de cambio constante","Adjusted Revenue at constant fx rate")</f>
        <v>Ingresos ajustados a tipo de cambio constante</v>
      </c>
      <c r="AA78" s="40">
        <f>+$C$12</f>
        <v>2015</v>
      </c>
      <c r="AB78" s="40">
        <f>+$D$12</f>
        <v>2014</v>
      </c>
      <c r="AC78" s="40" t="str">
        <f>+$E$12</f>
        <v>Var. %</v>
      </c>
      <c r="AD78" s="42"/>
      <c r="AE78" s="40">
        <f>+$C$12</f>
        <v>2015</v>
      </c>
      <c r="AF78" s="40">
        <f>+$D$12</f>
        <v>2014</v>
      </c>
      <c r="AG78" s="40" t="str">
        <f>+$E$12</f>
        <v>Var. %</v>
      </c>
    </row>
    <row r="79" spans="26:33" ht="15.75" thickBot="1" x14ac:dyDescent="0.3">
      <c r="Z79" s="197" t="s">
        <v>6</v>
      </c>
      <c r="AA79" s="198">
        <v>671.38801327553278</v>
      </c>
      <c r="AB79" s="198">
        <v>651.64164719076734</v>
      </c>
      <c r="AC79" s="199">
        <v>3.0302492435669404E-2</v>
      </c>
      <c r="AE79" s="198">
        <v>119.68122719814289</v>
      </c>
      <c r="AF79" s="198">
        <v>173.0608080908637</v>
      </c>
      <c r="AG79" s="200">
        <v>-0.30844407512932931</v>
      </c>
    </row>
    <row r="80" spans="26:33" ht="15.75" thickBot="1" x14ac:dyDescent="0.3">
      <c r="Z80" s="201" t="str">
        <f>+IF($B$6="esp","Educación tradicional y Compartir","Traditional Education and Compartir")</f>
        <v>Educación tradicional y Compartir</v>
      </c>
      <c r="AA80" s="202">
        <v>592.36432070024591</v>
      </c>
      <c r="AB80" s="202">
        <v>577.80079858541808</v>
      </c>
      <c r="AC80" s="203">
        <v>2.5205091703719429E-2</v>
      </c>
      <c r="AE80" s="202">
        <v>95.78306040560193</v>
      </c>
      <c r="AF80" s="202">
        <v>150.41559875362026</v>
      </c>
      <c r="AG80" s="203">
        <v>-0.36321058986379506</v>
      </c>
    </row>
    <row r="81" spans="26:33" ht="15.75" thickBot="1" x14ac:dyDescent="0.3">
      <c r="Z81" s="204" t="str">
        <f>+IF($B$6="esp","España","Spain")</f>
        <v>España</v>
      </c>
      <c r="AA81" s="205">
        <v>139.30130909000002</v>
      </c>
      <c r="AB81" s="205">
        <v>116.34594573999999</v>
      </c>
      <c r="AC81" s="206">
        <v>0.19730264947348244</v>
      </c>
      <c r="AE81" s="205">
        <v>-20.035743130000014</v>
      </c>
      <c r="AF81" s="205">
        <v>-17.67381094000001</v>
      </c>
      <c r="AG81" s="206">
        <v>-0.13364023175411444</v>
      </c>
    </row>
    <row r="82" spans="26:33" ht="15.75" thickBot="1" x14ac:dyDescent="0.3">
      <c r="Z82" s="204" t="str">
        <f>+IF($B$6="esp","Brasil","Brazil")</f>
        <v>Brasil</v>
      </c>
      <c r="AA82" s="205">
        <v>169.15506204955776</v>
      </c>
      <c r="AB82" s="205">
        <v>191.57861717801214</v>
      </c>
      <c r="AC82" s="206">
        <v>-0.11704623124833777</v>
      </c>
      <c r="AE82" s="205">
        <v>67.171249031693506</v>
      </c>
      <c r="AF82" s="205">
        <v>119.63064320051254</v>
      </c>
      <c r="AG82" s="206">
        <v>-0.43851134429572536</v>
      </c>
    </row>
    <row r="83" spans="26:33" ht="15.75" thickBot="1" x14ac:dyDescent="0.3">
      <c r="Z83" s="204" t="str">
        <f>+IF($B$6="esp","México","Mexico")</f>
        <v>México</v>
      </c>
      <c r="AA83" s="205">
        <v>64.216691200158238</v>
      </c>
      <c r="AB83" s="205">
        <v>62.602163685337658</v>
      </c>
      <c r="AC83" s="206">
        <v>2.5790282951493666E-2</v>
      </c>
      <c r="AE83" s="205">
        <v>0.56188198447412674</v>
      </c>
      <c r="AF83" s="205">
        <v>-1.0381939615907712</v>
      </c>
      <c r="AG83" s="206">
        <v>1.5412109926098818</v>
      </c>
    </row>
    <row r="84" spans="26:33" ht="15.75" thickBot="1" x14ac:dyDescent="0.3">
      <c r="Z84" s="204" t="str">
        <f>+IF($B$6="esp","Otros países*","Other Countries*")</f>
        <v>Otros países*</v>
      </c>
      <c r="AA84" s="205">
        <v>219.69125836052993</v>
      </c>
      <c r="AB84" s="205">
        <v>207.27407198206828</v>
      </c>
      <c r="AC84" s="206">
        <v>5.9907089486503105E-2</v>
      </c>
      <c r="AE84" s="205">
        <v>48.085672519434326</v>
      </c>
      <c r="AF84" s="205">
        <v>49.496960454698495</v>
      </c>
      <c r="AG84" s="206">
        <v>-2.8512618195128049E-2</v>
      </c>
    </row>
    <row r="85" spans="26:33" ht="15.75" thickBot="1" x14ac:dyDescent="0.3">
      <c r="Z85" s="201" t="str">
        <f>+IF($B$6="esp","Sistema UNO","System UNO")</f>
        <v>Sistema UNO</v>
      </c>
      <c r="AA85" s="202">
        <v>79.023692575286802</v>
      </c>
      <c r="AB85" s="202">
        <v>73.845415824035825</v>
      </c>
      <c r="AC85" s="203">
        <v>7.0123198487908045E-2</v>
      </c>
      <c r="AE85" s="202">
        <v>23.89816679254092</v>
      </c>
      <c r="AF85" s="202">
        <v>22.649776555929961</v>
      </c>
      <c r="AG85" s="207">
        <v>5.5117110472514427E-2</v>
      </c>
    </row>
    <row r="87" spans="26:33" ht="26.25" customHeight="1" x14ac:dyDescent="0.25"/>
    <row r="88" spans="26:33" x14ac:dyDescent="0.25">
      <c r="AA88" s="193" t="s">
        <v>0</v>
      </c>
    </row>
    <row r="89" spans="26:33" ht="15.75" thickBot="1" x14ac:dyDescent="0.3">
      <c r="AA89" s="195">
        <v>2015</v>
      </c>
      <c r="AB89" s="195">
        <v>2014</v>
      </c>
      <c r="AC89" s="41" t="str">
        <f>+$E$12</f>
        <v>Var. %</v>
      </c>
      <c r="AE89" s="195">
        <v>2015</v>
      </c>
      <c r="AF89" s="195">
        <v>2014</v>
      </c>
      <c r="AG89" s="41" t="str">
        <f>+$E$12</f>
        <v>Var. %</v>
      </c>
    </row>
    <row r="90" spans="26:33" ht="26.25" thickBot="1" x14ac:dyDescent="0.3">
      <c r="AA90" s="196" t="str">
        <f>+AA68</f>
        <v>ENERO-DICIEMBRE</v>
      </c>
      <c r="AB90" s="196" t="str">
        <f>+AB68</f>
        <v>ENERO-DICIEMBRE</v>
      </c>
      <c r="AC90" s="195"/>
      <c r="AE90" s="196" t="str">
        <f>+AE68</f>
        <v>OCTUBRE-DICIEMBRE</v>
      </c>
      <c r="AF90" s="196" t="str">
        <f>+AF68</f>
        <v>OCTUBRE-DICIEMBRE</v>
      </c>
      <c r="AG90" s="195"/>
    </row>
    <row r="91" spans="26:33" ht="15.75" thickBot="1" x14ac:dyDescent="0.3"/>
    <row r="92" spans="26:33" ht="15.75" thickBot="1" x14ac:dyDescent="0.3">
      <c r="Z92" s="197" t="s">
        <v>5</v>
      </c>
      <c r="AA92" s="198">
        <v>171.70947313317114</v>
      </c>
      <c r="AB92" s="198">
        <v>158.04342433263523</v>
      </c>
      <c r="AC92" s="199">
        <v>8.647021448847414E-2</v>
      </c>
      <c r="AE92" s="198">
        <v>-4.205005210187835</v>
      </c>
      <c r="AF92" s="198">
        <v>21.539098964482434</v>
      </c>
      <c r="AG92" s="199">
        <v>-1.1952266070703239</v>
      </c>
    </row>
    <row r="93" spans="26:33" ht="15.75" thickBot="1" x14ac:dyDescent="0.3">
      <c r="Z93" s="201" t="str">
        <f>+IF($B$6="esp","Educación tradicional y Compartir","Traditional Education and Compartir")</f>
        <v>Educación tradicional y Compartir</v>
      </c>
      <c r="AA93" s="202">
        <v>151.08795900825373</v>
      </c>
      <c r="AB93" s="202">
        <v>136.77811992245634</v>
      </c>
      <c r="AC93" s="203">
        <v>0.10462082015683549</v>
      </c>
      <c r="AE93" s="202">
        <v>-12.701220596018743</v>
      </c>
      <c r="AF93" s="202">
        <v>14.076135618376441</v>
      </c>
      <c r="AG93" s="203">
        <v>-1.902322977013468</v>
      </c>
    </row>
    <row r="94" spans="26:33" ht="15.75" thickBot="1" x14ac:dyDescent="0.3">
      <c r="Z94" s="204" t="str">
        <f>+IF($B$6="esp","España","Spain")</f>
        <v>España</v>
      </c>
      <c r="AA94" s="211">
        <v>32.395075460000015</v>
      </c>
      <c r="AB94" s="211">
        <v>19.497945159999968</v>
      </c>
      <c r="AC94" s="206">
        <v>0.66146099982158679</v>
      </c>
      <c r="AE94" s="205">
        <v>-38.022697539999996</v>
      </c>
      <c r="AF94" s="205">
        <v>-34.576156020000042</v>
      </c>
      <c r="AG94" s="206">
        <v>-9.9679719110659828E-2</v>
      </c>
    </row>
    <row r="95" spans="26:33" ht="15.75" thickBot="1" x14ac:dyDescent="0.3">
      <c r="Z95" s="204" t="str">
        <f>+IF($B$6="esp","Brasil","Brazil")</f>
        <v>Brasil</v>
      </c>
      <c r="AA95" s="211">
        <v>45.870437403063136</v>
      </c>
      <c r="AB95" s="211">
        <v>52.989206345997488</v>
      </c>
      <c r="AC95" s="206">
        <v>-0.13434375477246729</v>
      </c>
      <c r="AE95" s="205">
        <v>26.233876290420039</v>
      </c>
      <c r="AF95" s="205">
        <v>49.567638127067312</v>
      </c>
      <c r="AG95" s="206">
        <v>-0.47074588821099078</v>
      </c>
    </row>
    <row r="96" spans="26:33" ht="15.75" thickBot="1" x14ac:dyDescent="0.3">
      <c r="Z96" s="204" t="str">
        <f>+IF($B$6="esp","México","Mexico")</f>
        <v>México</v>
      </c>
      <c r="AA96" s="211">
        <v>14.456210483376138</v>
      </c>
      <c r="AB96" s="211">
        <v>15.03231083075713</v>
      </c>
      <c r="AC96" s="206">
        <v>-3.8324137510664769E-2</v>
      </c>
      <c r="AE96" s="205">
        <v>-5.2515200437592764</v>
      </c>
      <c r="AF96" s="205">
        <v>-7.7202211920241446</v>
      </c>
      <c r="AG96" s="206">
        <v>0.3197707794713594</v>
      </c>
    </row>
    <row r="97" spans="26:33" ht="15.75" thickBot="1" x14ac:dyDescent="0.3">
      <c r="Z97" s="204" t="str">
        <f>+IF($B$6="esp","Otros países*","Other Countries*")</f>
        <v>Otros países*</v>
      </c>
      <c r="AA97" s="211">
        <v>58.366235661814443</v>
      </c>
      <c r="AB97" s="211">
        <v>49.258657585701755</v>
      </c>
      <c r="AC97" s="206">
        <v>0.18489294110922616</v>
      </c>
      <c r="AE97" s="205">
        <v>4.3391206973204817</v>
      </c>
      <c r="AF97" s="205">
        <v>6.8048747033333186</v>
      </c>
      <c r="AG97" s="206">
        <v>-0.36235112526098462</v>
      </c>
    </row>
    <row r="98" spans="26:33" ht="15.75" thickBot="1" x14ac:dyDescent="0.3">
      <c r="Z98" s="201" t="str">
        <f>+IF($B$6="esp","Sistema UNO","System UNO")</f>
        <v>Sistema UNO</v>
      </c>
      <c r="AA98" s="212">
        <v>20.621580498594145</v>
      </c>
      <c r="AB98" s="212">
        <v>21.265191759108614</v>
      </c>
      <c r="AC98" s="203">
        <v>-3.0265951410421099E-2</v>
      </c>
      <c r="AE98" s="212">
        <v>8.4962817595076476</v>
      </c>
      <c r="AF98" s="212">
        <v>7.4628506950357227</v>
      </c>
      <c r="AG98" s="203">
        <v>0.13847671710213386</v>
      </c>
    </row>
    <row r="100" spans="26:33" ht="15.75" thickBot="1" x14ac:dyDescent="0.3">
      <c r="Z100" s="72" t="str">
        <f>+IF($B$6="esp","EBITDA ajustados a tipo de cambio constante","Adjusted EBITDA at constant fx rate")</f>
        <v>EBITDA ajustados a tipo de cambio constante</v>
      </c>
      <c r="AA100" s="40">
        <f>+$C$12</f>
        <v>2015</v>
      </c>
      <c r="AB100" s="40">
        <f>+$D$12</f>
        <v>2014</v>
      </c>
      <c r="AC100" s="40" t="str">
        <f>+$E$12</f>
        <v>Var. %</v>
      </c>
      <c r="AE100" s="40">
        <f>+$C$12</f>
        <v>2015</v>
      </c>
      <c r="AF100" s="40">
        <f>+$D$12</f>
        <v>2014</v>
      </c>
      <c r="AG100" s="40" t="str">
        <f>+$E$12</f>
        <v>Var. %</v>
      </c>
    </row>
    <row r="101" spans="26:33" ht="15.75" thickBot="1" x14ac:dyDescent="0.3">
      <c r="Z101" s="197" t="s">
        <v>5</v>
      </c>
      <c r="AA101" s="198">
        <v>175.2247697500124</v>
      </c>
      <c r="AB101" s="198">
        <v>158.04342433263523</v>
      </c>
      <c r="AC101" s="199">
        <v>0.10871281415173262</v>
      </c>
      <c r="AE101" s="198">
        <v>2.4387962811913155</v>
      </c>
      <c r="AF101" s="198">
        <v>21.539098964482434</v>
      </c>
      <c r="AG101" s="200">
        <v>-0.88677352357158279</v>
      </c>
    </row>
    <row r="102" spans="26:33" ht="15.75" thickBot="1" x14ac:dyDescent="0.3">
      <c r="Z102" s="201" t="str">
        <f>+IF($B$6="esp","Educación tradicional y Compartir","Traditional Education and Compartir")</f>
        <v>Educación tradicional y Compartir</v>
      </c>
      <c r="AA102" s="212">
        <v>151.82747049271126</v>
      </c>
      <c r="AB102" s="212">
        <v>136.77811992245634</v>
      </c>
      <c r="AC102" s="203">
        <v>0.11002747061289364</v>
      </c>
      <c r="AE102" s="202">
        <v>-7.4554124267796738</v>
      </c>
      <c r="AF102" s="202">
        <v>14.076135618376441</v>
      </c>
      <c r="AG102" s="203">
        <v>-1.5296490904113349</v>
      </c>
    </row>
    <row r="103" spans="26:33" ht="15.75" thickBot="1" x14ac:dyDescent="0.3">
      <c r="Z103" s="204" t="str">
        <f>+IF($B$6="esp","España","Spain")</f>
        <v>España</v>
      </c>
      <c r="AA103" s="211">
        <v>32.395075460000015</v>
      </c>
      <c r="AB103" s="211">
        <v>19.497945159999968</v>
      </c>
      <c r="AC103" s="206">
        <v>0.66146099982158679</v>
      </c>
      <c r="AE103" s="205">
        <v>-38.022697539999996</v>
      </c>
      <c r="AF103" s="205">
        <v>-34.576156020000042</v>
      </c>
      <c r="AG103" s="206">
        <v>-9.9679719110659828E-2</v>
      </c>
    </row>
    <row r="104" spans="26:33" ht="15.75" thickBot="1" x14ac:dyDescent="0.3">
      <c r="Z104" s="204" t="str">
        <f>+IF($B$6="esp","Brasil","Brazil")</f>
        <v>Brasil</v>
      </c>
      <c r="AA104" s="211">
        <v>49.606162453394866</v>
      </c>
      <c r="AB104" s="211">
        <v>52.989206345997488</v>
      </c>
      <c r="AC104" s="206">
        <v>-6.3844018921754619E-2</v>
      </c>
      <c r="AE104" s="205">
        <v>34.125994362864851</v>
      </c>
      <c r="AF104" s="205">
        <v>49.567638127067312</v>
      </c>
      <c r="AG104" s="206">
        <v>-0.31152672081364047</v>
      </c>
    </row>
    <row r="105" spans="26:33" ht="15.75" thickBot="1" x14ac:dyDescent="0.3">
      <c r="Z105" s="204" t="str">
        <f>+IF($B$6="esp","México","Mexico")</f>
        <v>México</v>
      </c>
      <c r="AA105" s="211">
        <v>14.443150360208556</v>
      </c>
      <c r="AB105" s="211">
        <v>15.03231083075713</v>
      </c>
      <c r="AC105" s="206">
        <v>-3.91929409378039E-2</v>
      </c>
      <c r="AE105" s="205">
        <v>-5.6034710135662777</v>
      </c>
      <c r="AF105" s="205">
        <v>-7.7202211920241446</v>
      </c>
      <c r="AG105" s="206">
        <v>0.27418258179502775</v>
      </c>
    </row>
    <row r="106" spans="26:33" ht="15.75" thickBot="1" x14ac:dyDescent="0.3">
      <c r="Z106" s="204" t="str">
        <f>+IF($B$6="esp","Otros países*","Other Countries*")</f>
        <v>Otros países*</v>
      </c>
      <c r="AA106" s="211">
        <v>55.383082219107827</v>
      </c>
      <c r="AB106" s="211">
        <v>49.258657585701755</v>
      </c>
      <c r="AC106" s="206">
        <v>0.12433194353196919</v>
      </c>
      <c r="AE106" s="205">
        <v>2.0447617639217555</v>
      </c>
      <c r="AF106" s="205">
        <v>6.8048747033333186</v>
      </c>
      <c r="AG106" s="206">
        <v>-0.69951514861542652</v>
      </c>
    </row>
    <row r="107" spans="26:33" ht="15.75" thickBot="1" x14ac:dyDescent="0.3">
      <c r="Z107" s="201" t="str">
        <f>+IF($B$6="esp","Sistema UNO","System UNO")</f>
        <v>Sistema UNO</v>
      </c>
      <c r="AA107" s="212">
        <v>23.397299257301135</v>
      </c>
      <c r="AB107" s="212">
        <v>21.265191759108614</v>
      </c>
      <c r="AC107" s="203">
        <v>0.10026279200041843</v>
      </c>
      <c r="AE107" s="212">
        <v>9.894208707970984</v>
      </c>
      <c r="AF107" s="212">
        <v>7.4628506950357227</v>
      </c>
      <c r="AG107" s="203">
        <v>0.32579480848418918</v>
      </c>
    </row>
  </sheetData>
  <mergeCells count="2">
    <mergeCell ref="V34:W34"/>
    <mergeCell ref="S34:T34"/>
  </mergeCells>
  <conditionalFormatting sqref="AZ39:AZ4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BA16 U23 Z40 Z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12M2015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Monfort Montoliu, Cira</dc:creator>
  <cp:lastModifiedBy>Monfort Montoliu, Cira</cp:lastModifiedBy>
  <dcterms:created xsi:type="dcterms:W3CDTF">2015-12-18T09:12:40Z</dcterms:created>
  <dcterms:modified xsi:type="dcterms:W3CDTF">2016-02-26T14:45:51Z</dcterms:modified>
</cp:coreProperties>
</file>