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070" windowHeight="12405"/>
  </bookViews>
  <sheets>
    <sheet name="1Q_2016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Q102" i="1" l="1"/>
  <c r="V83" i="1"/>
  <c r="V82" i="1"/>
  <c r="V62" i="1"/>
  <c r="V61" i="1"/>
  <c r="Q100" i="1" l="1"/>
  <c r="Q99" i="1"/>
  <c r="Q98" i="1"/>
  <c r="Q97" i="1"/>
  <c r="Q96" i="1"/>
  <c r="Q95" i="1"/>
  <c r="Q93" i="1"/>
  <c r="Q91" i="1"/>
  <c r="Q90" i="1"/>
  <c r="Q89" i="1"/>
  <c r="Q88" i="1"/>
  <c r="Q87" i="1"/>
  <c r="Q86" i="1"/>
  <c r="S83" i="1"/>
  <c r="R83" i="1"/>
  <c r="T82" i="1"/>
  <c r="Q79" i="1"/>
  <c r="Q78" i="1"/>
  <c r="Q77" i="1"/>
  <c r="Q76" i="1"/>
  <c r="Q75" i="1"/>
  <c r="Q74" i="1"/>
  <c r="Q72" i="1"/>
  <c r="Q70" i="1"/>
  <c r="Q69" i="1"/>
  <c r="Q68" i="1"/>
  <c r="Q67" i="1"/>
  <c r="Q66" i="1"/>
  <c r="Q65" i="1"/>
  <c r="Q63" i="1"/>
  <c r="R62" i="1"/>
  <c r="S62" i="1" s="1"/>
  <c r="T61" i="1"/>
  <c r="N10" i="1" l="1"/>
  <c r="AI14" i="1"/>
  <c r="W56" i="1"/>
  <c r="M34" i="1"/>
  <c r="L41" i="1"/>
  <c r="L34" i="1"/>
  <c r="L36" i="1"/>
  <c r="L38" i="1"/>
  <c r="L39" i="1"/>
  <c r="L42" i="1" s="1"/>
  <c r="L40" i="1"/>
  <c r="L43" i="1"/>
  <c r="L44" i="1"/>
  <c r="O12" i="1"/>
  <c r="N12" i="1"/>
  <c r="N36" i="1" s="1"/>
  <c r="M12" i="1"/>
  <c r="M36" i="1" s="1"/>
  <c r="J36" i="1"/>
  <c r="I34" i="1"/>
  <c r="J12" i="1"/>
  <c r="I10" i="1"/>
  <c r="D10" i="1"/>
  <c r="C12" i="1"/>
  <c r="D12" i="1"/>
  <c r="E12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C20" i="1"/>
  <c r="D20" i="1"/>
  <c r="E20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S10" i="1" l="1"/>
  <c r="Y59" i="1"/>
  <c r="X59" i="1"/>
  <c r="Y58" i="1"/>
  <c r="X58" i="1"/>
  <c r="W58" i="1"/>
  <c r="S57" i="1"/>
  <c r="R57" i="1"/>
  <c r="Q57" i="1"/>
  <c r="Y57" i="1"/>
  <c r="X57" i="1"/>
  <c r="S56" i="1"/>
  <c r="R56" i="1"/>
  <c r="Q56" i="1"/>
  <c r="S55" i="1"/>
  <c r="R55" i="1"/>
  <c r="Q55" i="1"/>
  <c r="Y55" i="1"/>
  <c r="X55" i="1"/>
  <c r="W55" i="1"/>
  <c r="Y54" i="1"/>
  <c r="X54" i="1"/>
  <c r="W54" i="1"/>
  <c r="W57" i="1" s="1"/>
  <c r="W59" i="1" s="1"/>
  <c r="S54" i="1"/>
  <c r="R54" i="1"/>
  <c r="Q54" i="1"/>
  <c r="G54" i="1"/>
  <c r="Y53" i="1"/>
  <c r="X53" i="1"/>
  <c r="W53" i="1"/>
  <c r="W51" i="1"/>
  <c r="S51" i="1"/>
  <c r="R51" i="1"/>
  <c r="Q51" i="1"/>
  <c r="Y50" i="1"/>
  <c r="X50" i="1"/>
  <c r="W50" i="1"/>
  <c r="T50" i="1"/>
  <c r="S50" i="1"/>
  <c r="R50" i="1"/>
  <c r="Z49" i="1"/>
  <c r="Y49" i="1"/>
  <c r="X49" i="1"/>
  <c r="S49" i="1"/>
  <c r="R49" i="1"/>
  <c r="Q49" i="1"/>
  <c r="G49" i="1"/>
  <c r="Y48" i="1"/>
  <c r="X48" i="1"/>
  <c r="W48" i="1"/>
  <c r="T48" i="1"/>
  <c r="S48" i="1"/>
  <c r="R48" i="1"/>
  <c r="G48" i="1"/>
  <c r="Z47" i="1"/>
  <c r="Y47" i="1"/>
  <c r="X47" i="1"/>
  <c r="T47" i="1"/>
  <c r="S47" i="1"/>
  <c r="R47" i="1"/>
  <c r="Q47" i="1"/>
  <c r="AE44" i="1"/>
  <c r="AD44" i="1"/>
  <c r="AC44" i="1"/>
  <c r="Z46" i="1"/>
  <c r="Y46" i="1"/>
  <c r="X46" i="1"/>
  <c r="W46" i="1"/>
  <c r="T46" i="1"/>
  <c r="S46" i="1"/>
  <c r="R46" i="1"/>
  <c r="Q46" i="1"/>
  <c r="Z45" i="1"/>
  <c r="Y45" i="1"/>
  <c r="X45" i="1"/>
  <c r="W45" i="1"/>
  <c r="T45" i="1"/>
  <c r="S45" i="1"/>
  <c r="R45" i="1"/>
  <c r="Q45" i="1"/>
  <c r="AE43" i="1"/>
  <c r="AD43" i="1"/>
  <c r="AC43" i="1"/>
  <c r="Z44" i="1"/>
  <c r="Y44" i="1"/>
  <c r="X44" i="1"/>
  <c r="W44" i="1"/>
  <c r="T44" i="1"/>
  <c r="S44" i="1"/>
  <c r="R44" i="1"/>
  <c r="Q44" i="1"/>
  <c r="AE42" i="1"/>
  <c r="AD42" i="1"/>
  <c r="AC42" i="1"/>
  <c r="Z43" i="1"/>
  <c r="Y43" i="1"/>
  <c r="X43" i="1"/>
  <c r="W43" i="1"/>
  <c r="Q43" i="1"/>
  <c r="G43" i="1"/>
  <c r="Z42" i="1"/>
  <c r="Y42" i="1"/>
  <c r="X42" i="1"/>
  <c r="W42" i="1"/>
  <c r="G42" i="1"/>
  <c r="G47" i="1" s="1"/>
  <c r="B42" i="1"/>
  <c r="AE41" i="1"/>
  <c r="AD41" i="1"/>
  <c r="AC41" i="1"/>
  <c r="Z41" i="1"/>
  <c r="Y41" i="1"/>
  <c r="X41" i="1"/>
  <c r="W41" i="1"/>
  <c r="S41" i="1"/>
  <c r="R41" i="1"/>
  <c r="Q41" i="1"/>
  <c r="G41" i="1"/>
  <c r="G52" i="1" s="1"/>
  <c r="B41" i="1"/>
  <c r="Z40" i="1"/>
  <c r="Y40" i="1"/>
  <c r="X40" i="1"/>
  <c r="W40" i="1"/>
  <c r="T40" i="1"/>
  <c r="S40" i="1"/>
  <c r="R40" i="1"/>
  <c r="Q40" i="1"/>
  <c r="G40" i="1"/>
  <c r="G45" i="1" s="1"/>
  <c r="B40" i="1"/>
  <c r="AE39" i="1"/>
  <c r="AD39" i="1"/>
  <c r="AC39" i="1"/>
  <c r="W39" i="1"/>
  <c r="S39" i="1"/>
  <c r="R39" i="1"/>
  <c r="Q39" i="1"/>
  <c r="G39" i="1"/>
  <c r="G50" i="1" s="1"/>
  <c r="B39" i="1"/>
  <c r="AF38" i="1"/>
  <c r="AE38" i="1"/>
  <c r="AD38" i="1"/>
  <c r="T38" i="1"/>
  <c r="S38" i="1"/>
  <c r="R38" i="1"/>
  <c r="G38" i="1"/>
  <c r="B38" i="1"/>
  <c r="AE37" i="1"/>
  <c r="AD37" i="1"/>
  <c r="AC37" i="1"/>
  <c r="Y37" i="1"/>
  <c r="X37" i="1"/>
  <c r="W37" i="1"/>
  <c r="T37" i="1"/>
  <c r="S37" i="1"/>
  <c r="R37" i="1"/>
  <c r="G37" i="1"/>
  <c r="B37" i="1"/>
  <c r="AF36" i="1"/>
  <c r="AE36" i="1"/>
  <c r="AD36" i="1"/>
  <c r="Z36" i="1"/>
  <c r="Y36" i="1"/>
  <c r="X36" i="1"/>
  <c r="W36" i="1"/>
  <c r="T36" i="1"/>
  <c r="S36" i="1"/>
  <c r="R36" i="1"/>
  <c r="B36" i="1"/>
  <c r="AF35" i="1"/>
  <c r="AE35" i="1"/>
  <c r="AD35" i="1"/>
  <c r="AC35" i="1"/>
  <c r="Y35" i="1"/>
  <c r="X35" i="1"/>
  <c r="W35" i="1"/>
  <c r="T35" i="1"/>
  <c r="S35" i="1"/>
  <c r="R35" i="1"/>
  <c r="B35" i="1"/>
  <c r="AF34" i="1"/>
  <c r="AE34" i="1"/>
  <c r="AD34" i="1"/>
  <c r="AC34" i="1"/>
  <c r="Y34" i="1"/>
  <c r="X34" i="1"/>
  <c r="T34" i="1"/>
  <c r="S34" i="1"/>
  <c r="R34" i="1"/>
  <c r="Q34" i="1"/>
  <c r="G34" i="1"/>
  <c r="B34" i="1"/>
  <c r="AF33" i="1"/>
  <c r="AE33" i="1"/>
  <c r="AD33" i="1"/>
  <c r="AC33" i="1"/>
  <c r="Z33" i="1"/>
  <c r="Y33" i="1"/>
  <c r="X33" i="1"/>
  <c r="T33" i="1"/>
  <c r="S33" i="1"/>
  <c r="R33" i="1"/>
  <c r="Q33" i="1"/>
  <c r="Q38" i="1" s="1"/>
  <c r="B33" i="1"/>
  <c r="AF32" i="1"/>
  <c r="AE32" i="1"/>
  <c r="AD32" i="1"/>
  <c r="AC32" i="1"/>
  <c r="Z32" i="1"/>
  <c r="Y32" i="1"/>
  <c r="X32" i="1"/>
  <c r="T32" i="1"/>
  <c r="S32" i="1"/>
  <c r="R32" i="1"/>
  <c r="Q32" i="1"/>
  <c r="Q37" i="1" s="1"/>
  <c r="B32" i="1"/>
  <c r="AF31" i="1"/>
  <c r="AE31" i="1"/>
  <c r="AD31" i="1"/>
  <c r="AC31" i="1"/>
  <c r="Z31" i="1"/>
  <c r="Y31" i="1"/>
  <c r="X31" i="1"/>
  <c r="W31" i="1"/>
  <c r="T31" i="1"/>
  <c r="S31" i="1"/>
  <c r="R31" i="1"/>
  <c r="Q31" i="1"/>
  <c r="Q36" i="1" s="1"/>
  <c r="L31" i="1"/>
  <c r="B31" i="1"/>
  <c r="AK31" i="1"/>
  <c r="AJ31" i="1"/>
  <c r="AI31" i="1"/>
  <c r="AC30" i="1"/>
  <c r="Y30" i="1"/>
  <c r="X30" i="1"/>
  <c r="W30" i="1"/>
  <c r="W34" i="1" s="1"/>
  <c r="T30" i="1"/>
  <c r="S30" i="1"/>
  <c r="R30" i="1"/>
  <c r="Q30" i="1"/>
  <c r="Q35" i="1" s="1"/>
  <c r="L30" i="1"/>
  <c r="G30" i="1"/>
  <c r="B30" i="1"/>
  <c r="AK30" i="1"/>
  <c r="AJ30" i="1"/>
  <c r="AI30" i="1"/>
  <c r="Z29" i="1"/>
  <c r="Y29" i="1"/>
  <c r="X29" i="1"/>
  <c r="W29" i="1"/>
  <c r="W33" i="1" s="1"/>
  <c r="T29" i="1"/>
  <c r="S29" i="1"/>
  <c r="R29" i="1"/>
  <c r="Q29" i="1"/>
  <c r="L29" i="1"/>
  <c r="B29" i="1"/>
  <c r="AE28" i="1"/>
  <c r="AD28" i="1"/>
  <c r="AC28" i="1"/>
  <c r="Z28" i="1"/>
  <c r="Y28" i="1"/>
  <c r="X28" i="1"/>
  <c r="W28" i="1"/>
  <c r="W32" i="1" s="1"/>
  <c r="Q28" i="1"/>
  <c r="L28" i="1"/>
  <c r="B28" i="1"/>
  <c r="AK28" i="1"/>
  <c r="AJ28" i="1"/>
  <c r="AI28" i="1"/>
  <c r="AF27" i="1"/>
  <c r="AE27" i="1"/>
  <c r="AD27" i="1"/>
  <c r="AC27" i="1"/>
  <c r="Z27" i="1"/>
  <c r="Y27" i="1"/>
  <c r="X27" i="1"/>
  <c r="W27" i="1"/>
  <c r="L27" i="1"/>
  <c r="AL27" i="1"/>
  <c r="AK27" i="1"/>
  <c r="AJ27" i="1"/>
  <c r="AE26" i="1"/>
  <c r="AD26" i="1"/>
  <c r="AC26" i="1"/>
  <c r="W26" i="1"/>
  <c r="S26" i="1"/>
  <c r="R26" i="1"/>
  <c r="Q26" i="1"/>
  <c r="L26" i="1"/>
  <c r="B26" i="1"/>
  <c r="AK26" i="1"/>
  <c r="AJ26" i="1"/>
  <c r="AI26" i="1"/>
  <c r="AF25" i="1"/>
  <c r="AE25" i="1"/>
  <c r="AD25" i="1"/>
  <c r="AC25" i="1"/>
  <c r="T25" i="1"/>
  <c r="S25" i="1"/>
  <c r="R25" i="1"/>
  <c r="Q25" i="1"/>
  <c r="L25" i="1"/>
  <c r="G25" i="1"/>
  <c r="B25" i="1"/>
  <c r="AL25" i="1"/>
  <c r="AK25" i="1"/>
  <c r="AJ25" i="1"/>
  <c r="AF24" i="1"/>
  <c r="AE24" i="1"/>
  <c r="AD24" i="1"/>
  <c r="AC24" i="1"/>
  <c r="Y24" i="1"/>
  <c r="X24" i="1"/>
  <c r="W24" i="1"/>
  <c r="S24" i="1"/>
  <c r="R24" i="1"/>
  <c r="Q24" i="1"/>
  <c r="L24" i="1"/>
  <c r="G24" i="1"/>
  <c r="B24" i="1"/>
  <c r="AL24" i="1"/>
  <c r="AK24" i="1"/>
  <c r="AJ24" i="1"/>
  <c r="AI24" i="1"/>
  <c r="AC23" i="1"/>
  <c r="Z23" i="1"/>
  <c r="Y23" i="1"/>
  <c r="X23" i="1"/>
  <c r="W23" i="1"/>
  <c r="T23" i="1"/>
  <c r="S23" i="1"/>
  <c r="R23" i="1"/>
  <c r="L23" i="1"/>
  <c r="B23" i="1"/>
  <c r="AL23" i="1"/>
  <c r="AK23" i="1"/>
  <c r="AJ23" i="1"/>
  <c r="AI23" i="1"/>
  <c r="Y22" i="1"/>
  <c r="X22" i="1"/>
  <c r="W22" i="1"/>
  <c r="T22" i="1"/>
  <c r="S22" i="1"/>
  <c r="R22" i="1"/>
  <c r="L22" i="1"/>
  <c r="B22" i="1"/>
  <c r="AL22" i="1"/>
  <c r="AK22" i="1"/>
  <c r="AJ22" i="1"/>
  <c r="AI22" i="1"/>
  <c r="AE21" i="1"/>
  <c r="AD21" i="1"/>
  <c r="AC21" i="1"/>
  <c r="Y21" i="1"/>
  <c r="X21" i="1"/>
  <c r="T21" i="1"/>
  <c r="S21" i="1"/>
  <c r="R21" i="1"/>
  <c r="L21" i="1"/>
  <c r="B21" i="1"/>
  <c r="AL21" i="1"/>
  <c r="AK21" i="1"/>
  <c r="AJ21" i="1"/>
  <c r="AI21" i="1"/>
  <c r="AF20" i="1"/>
  <c r="AE20" i="1"/>
  <c r="AD20" i="1"/>
  <c r="AC20" i="1"/>
  <c r="Z20" i="1"/>
  <c r="Y20" i="1"/>
  <c r="X20" i="1"/>
  <c r="T20" i="1"/>
  <c r="S20" i="1"/>
  <c r="R20" i="1"/>
  <c r="L20" i="1"/>
  <c r="AI20" i="1"/>
  <c r="AE19" i="1"/>
  <c r="AD19" i="1"/>
  <c r="AC19" i="1"/>
  <c r="Z19" i="1"/>
  <c r="Y19" i="1"/>
  <c r="X19" i="1"/>
  <c r="T19" i="1"/>
  <c r="S19" i="1"/>
  <c r="R19" i="1"/>
  <c r="Q19" i="1"/>
  <c r="L19" i="1"/>
  <c r="G19" i="1"/>
  <c r="AF18" i="1"/>
  <c r="AE18" i="1"/>
  <c r="AD18" i="1"/>
  <c r="AC18" i="1"/>
  <c r="Z18" i="1"/>
  <c r="Y18" i="1"/>
  <c r="X18" i="1"/>
  <c r="W18" i="1"/>
  <c r="T18" i="1"/>
  <c r="S18" i="1"/>
  <c r="R18" i="1"/>
  <c r="Q18" i="1"/>
  <c r="Q23" i="1" s="1"/>
  <c r="L18" i="1"/>
  <c r="G18" i="1"/>
  <c r="G29" i="1" s="1"/>
  <c r="B18" i="1"/>
  <c r="AK18" i="1"/>
  <c r="AJ18" i="1"/>
  <c r="AI18" i="1"/>
  <c r="AF17" i="1"/>
  <c r="AE17" i="1"/>
  <c r="AD17" i="1"/>
  <c r="AC17" i="1"/>
  <c r="Y17" i="1"/>
  <c r="X17" i="1"/>
  <c r="W17" i="1"/>
  <c r="W21" i="1" s="1"/>
  <c r="T17" i="1"/>
  <c r="S17" i="1"/>
  <c r="R17" i="1"/>
  <c r="Q17" i="1"/>
  <c r="Q22" i="1" s="1"/>
  <c r="L17" i="1"/>
  <c r="G17" i="1"/>
  <c r="G28" i="1" s="1"/>
  <c r="B17" i="1"/>
  <c r="AL17" i="1"/>
  <c r="AK17" i="1"/>
  <c r="AJ17" i="1"/>
  <c r="AI17" i="1"/>
  <c r="AF16" i="1"/>
  <c r="AE16" i="1"/>
  <c r="AD16" i="1"/>
  <c r="AC16" i="1"/>
  <c r="Z16" i="1"/>
  <c r="Y16" i="1"/>
  <c r="X16" i="1"/>
  <c r="W16" i="1"/>
  <c r="W20" i="1" s="1"/>
  <c r="T16" i="1"/>
  <c r="S16" i="1"/>
  <c r="R16" i="1"/>
  <c r="Q16" i="1"/>
  <c r="Q21" i="1" s="1"/>
  <c r="L16" i="1"/>
  <c r="G16" i="1"/>
  <c r="G27" i="1" s="1"/>
  <c r="B16" i="1"/>
  <c r="AK16" i="1"/>
  <c r="AJ16" i="1"/>
  <c r="AI16" i="1"/>
  <c r="AF15" i="1"/>
  <c r="AE15" i="1"/>
  <c r="AD15" i="1"/>
  <c r="AC15" i="1"/>
  <c r="Z15" i="1"/>
  <c r="Y15" i="1"/>
  <c r="X15" i="1"/>
  <c r="W15" i="1"/>
  <c r="W19" i="1" s="1"/>
  <c r="T15" i="1"/>
  <c r="S15" i="1"/>
  <c r="R15" i="1"/>
  <c r="Q15" i="1"/>
  <c r="Q20" i="1" s="1"/>
  <c r="L15" i="1"/>
  <c r="G15" i="1"/>
  <c r="G20" i="1" s="1"/>
  <c r="B15" i="1"/>
  <c r="AL15" i="1"/>
  <c r="AK15" i="1"/>
  <c r="AJ15" i="1"/>
  <c r="AI15" i="1"/>
  <c r="AF14" i="1"/>
  <c r="AE14" i="1"/>
  <c r="AD14" i="1"/>
  <c r="AC14" i="1"/>
  <c r="Z14" i="1"/>
  <c r="Y14" i="1"/>
  <c r="X14" i="1"/>
  <c r="W14" i="1"/>
  <c r="T14" i="1"/>
  <c r="S14" i="1"/>
  <c r="R14" i="1"/>
  <c r="Q14" i="1"/>
  <c r="L14" i="1"/>
  <c r="G14" i="1"/>
  <c r="B14" i="1"/>
  <c r="AI13" i="1"/>
  <c r="AC13" i="1"/>
  <c r="W13" i="1"/>
  <c r="Q13" i="1"/>
  <c r="G13" i="1"/>
  <c r="B13" i="1"/>
  <c r="L12" i="1"/>
  <c r="AI11" i="1"/>
  <c r="AC11" i="1"/>
  <c r="W11" i="1"/>
  <c r="Q11" i="1"/>
  <c r="B11" i="1"/>
  <c r="AC10" i="1"/>
  <c r="W10" i="1"/>
  <c r="Q10" i="1"/>
  <c r="L10" i="1"/>
  <c r="G10" i="1"/>
  <c r="B10" i="1"/>
  <c r="Y10" i="1" l="1"/>
  <c r="AE10" i="1" s="1"/>
  <c r="AK10" i="1" s="1"/>
  <c r="R53" i="1"/>
  <c r="X52" i="1"/>
  <c r="R43" i="1"/>
  <c r="AD40" i="1"/>
  <c r="X39" i="1"/>
  <c r="AD30" i="1"/>
  <c r="T53" i="1"/>
  <c r="Z52" i="1"/>
  <c r="T43" i="1"/>
  <c r="AF40" i="1"/>
  <c r="Z39" i="1"/>
  <c r="AF30" i="1"/>
  <c r="S12" i="1"/>
  <c r="Y12" i="1"/>
  <c r="AE12" i="1"/>
  <c r="AK12" i="1"/>
  <c r="AK20" i="1"/>
  <c r="G21" i="1"/>
  <c r="AD23" i="1"/>
  <c r="AF23" i="1"/>
  <c r="G26" i="1"/>
  <c r="X26" i="1"/>
  <c r="Z26" i="1"/>
  <c r="R28" i="1"/>
  <c r="T28" i="1"/>
  <c r="AJ29" i="1"/>
  <c r="AL29" i="1"/>
  <c r="S53" i="1"/>
  <c r="Y52" i="1"/>
  <c r="S43" i="1"/>
  <c r="AE40" i="1"/>
  <c r="Y39" i="1"/>
  <c r="AE30" i="1"/>
  <c r="R12" i="1"/>
  <c r="T12" i="1"/>
  <c r="X12" i="1"/>
  <c r="Z12" i="1"/>
  <c r="AD12" i="1"/>
  <c r="AF12" i="1"/>
  <c r="AJ12" i="1"/>
  <c r="AL12" i="1"/>
  <c r="AJ20" i="1"/>
  <c r="AL20" i="1"/>
  <c r="G22" i="1"/>
  <c r="G23" i="1"/>
  <c r="AE23" i="1"/>
  <c r="Y26" i="1"/>
  <c r="S28" i="1"/>
  <c r="AK29" i="1"/>
  <c r="G44" i="1"/>
  <c r="G46" i="1"/>
  <c r="G51" i="1"/>
  <c r="G53" i="1"/>
</calcChain>
</file>

<file path=xl/sharedStrings.xml><?xml version="1.0" encoding="utf-8"?>
<sst xmlns="http://schemas.openxmlformats.org/spreadsheetml/2006/main" count="21" uniqueCount="11">
  <si>
    <t>EBITDA</t>
  </si>
  <si>
    <t>EBIT</t>
  </si>
  <si>
    <t>MEDIA CAPITAL</t>
  </si>
  <si>
    <t>ESP</t>
  </si>
  <si>
    <t>Total Santillana</t>
  </si>
  <si>
    <t xml:space="preserve">Total Santillana </t>
  </si>
  <si>
    <t>IDIOMA/LANGUAGE</t>
  </si>
  <si>
    <t>ESP:ESPAÑOL</t>
  </si>
  <si>
    <t>ENG:ENGLISH</t>
  </si>
  <si>
    <t>---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</si>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</sst>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\ _€_-;\-* #,##0.00\ _€_-;_-* &quot;-&quot;??\ _€_-;_-@_-"/>
    <numFmt numFmtId="165" formatCode="#,##0;\-#,##0;&quot;-&quot;"/>
    <numFmt numFmtId="166" formatCode="#,##0.0;\(#,##0.0\)"/>
    <numFmt numFmtId="167" formatCode="0.0%"/>
    <numFmt numFmtId="168" formatCode="#,##0.00;\(#,##0.00\)"/>
    <numFmt numFmtId="169" formatCode="#,##0.0;\(#,###.0\)"/>
    <numFmt numFmtId="170" formatCode="#,##0.0"/>
    <numFmt numFmtId="171" formatCode="0.00;\(0.00\)"/>
    <numFmt numFmtId="172" formatCode="#,##0.00;[Red]\(#,##0.00\)"/>
    <numFmt numFmtId="173" formatCode="0;[Red]0"/>
    <numFmt numFmtId="174" formatCode="0.0%;\(0.0%\)"/>
    <numFmt numFmtId="175" formatCode="#,##0.00;\(#,##0.0\)"/>
    <numFmt numFmtId="176" formatCode="#,##0.0;\(#,##0\)"/>
    <numFmt numFmtId="177" formatCode="0.0"/>
    <numFmt numFmtId="178" formatCode="#,##0.000000000000"/>
    <numFmt numFmtId="179" formatCode="#,##0.0_);\(#,##0.0\);\-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1" tint="0.249977111117893"/>
      <name val="Arial"/>
      <family val="2"/>
    </font>
    <font>
      <sz val="8"/>
      <color indexed="8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i/>
      <sz val="10"/>
      <color rgb="FF595959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sz val="10"/>
      <color theme="1"/>
      <name val="Neo Sans Pro"/>
      <family val="2"/>
    </font>
    <font>
      <b/>
      <sz val="10"/>
      <color theme="0"/>
      <name val="Neo Sans Pro"/>
      <family val="2"/>
    </font>
    <font>
      <sz val="12"/>
      <name val="Neo Sans Pro"/>
      <family val="2"/>
    </font>
    <font>
      <b/>
      <sz val="10"/>
      <name val="Neo Sans Pro"/>
      <family val="2"/>
    </font>
    <font>
      <b/>
      <sz val="10"/>
      <color theme="1" tint="0.34998626667073579"/>
      <name val="Neo Sans Pro"/>
      <family val="2"/>
    </font>
    <font>
      <b/>
      <sz val="10"/>
      <color rgb="FF595959"/>
      <name val="Neo Sans Pro"/>
      <family val="2"/>
    </font>
    <font>
      <sz val="10"/>
      <color rgb="FF595959"/>
      <name val="Neo Sans Pro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D9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D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ck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/>
  </cellStyleXfs>
  <cellXfs count="19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3" borderId="0" xfId="0" applyFont="1" applyFill="1" applyBorder="1"/>
    <xf numFmtId="0" fontId="5" fillId="0" borderId="0" xfId="0" applyFont="1" applyFill="1" applyBorder="1"/>
    <xf numFmtId="1" fontId="4" fillId="4" borderId="1" xfId="0" quotePrefix="1" applyNumberFormat="1" applyFont="1" applyFill="1" applyBorder="1" applyAlignment="1">
      <alignment horizontal="center" vertical="center"/>
    </xf>
    <xf numFmtId="1" fontId="4" fillId="4" borderId="2" xfId="0" quotePrefix="1" applyNumberFormat="1" applyFont="1" applyFill="1" applyBorder="1" applyAlignment="1">
      <alignment horizontal="center" vertical="center"/>
    </xf>
    <xf numFmtId="165" fontId="7" fillId="5" borderId="1" xfId="2" applyNumberFormat="1" applyFont="1" applyFill="1" applyBorder="1" applyAlignment="1" applyProtection="1">
      <alignment vertical="center"/>
    </xf>
    <xf numFmtId="165" fontId="8" fillId="5" borderId="1" xfId="2" applyNumberFormat="1" applyFont="1" applyFill="1" applyBorder="1" applyAlignment="1" applyProtection="1">
      <alignment horizontal="left" vertical="center" indent="1"/>
    </xf>
    <xf numFmtId="167" fontId="9" fillId="5" borderId="3" xfId="1" applyNumberFormat="1" applyFont="1" applyFill="1" applyBorder="1" applyAlignment="1" applyProtection="1">
      <alignment horizontal="center" vertical="center"/>
    </xf>
    <xf numFmtId="167" fontId="9" fillId="5" borderId="1" xfId="1" applyNumberFormat="1" applyFont="1" applyFill="1" applyBorder="1" applyAlignment="1" applyProtection="1">
      <alignment horizontal="center" vertical="center"/>
    </xf>
    <xf numFmtId="165" fontId="7" fillId="5" borderId="1" xfId="2" applyNumberFormat="1" applyFont="1" applyFill="1" applyBorder="1" applyAlignment="1" applyProtection="1">
      <alignment vertical="center" wrapText="1"/>
    </xf>
    <xf numFmtId="0" fontId="2" fillId="0" borderId="0" xfId="0" applyFont="1"/>
    <xf numFmtId="165" fontId="7" fillId="6" borderId="1" xfId="2" applyNumberFormat="1" applyFont="1" applyFill="1" applyBorder="1" applyAlignment="1" applyProtection="1">
      <alignment vertical="center"/>
    </xf>
    <xf numFmtId="165" fontId="8" fillId="6" borderId="1" xfId="2" applyNumberFormat="1" applyFont="1" applyFill="1" applyBorder="1" applyAlignment="1" applyProtection="1">
      <alignment horizontal="left" vertical="center" indent="1"/>
    </xf>
    <xf numFmtId="167" fontId="9" fillId="6" borderId="3" xfId="1" applyNumberFormat="1" applyFont="1" applyFill="1" applyBorder="1" applyAlignment="1" applyProtection="1">
      <alignment horizontal="center" vertical="center"/>
    </xf>
    <xf numFmtId="167" fontId="9" fillId="6" borderId="1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/>
    <xf numFmtId="0" fontId="5" fillId="7" borderId="0" xfId="0" applyFont="1" applyFill="1" applyBorder="1"/>
    <xf numFmtId="14" fontId="10" fillId="9" borderId="0" xfId="0" quotePrefix="1" applyNumberFormat="1" applyFont="1" applyFill="1" applyBorder="1" applyAlignment="1">
      <alignment horizontal="left" vertical="center" indent="1"/>
    </xf>
    <xf numFmtId="14" fontId="3" fillId="3" borderId="0" xfId="0" quotePrefix="1" applyNumberFormat="1" applyFont="1" applyFill="1" applyBorder="1" applyAlignment="1">
      <alignment horizontal="left" vertical="center" indent="1"/>
    </xf>
    <xf numFmtId="166" fontId="7" fillId="8" borderId="6" xfId="0" applyNumberFormat="1" applyFont="1" applyFill="1" applyBorder="1" applyAlignment="1">
      <alignment horizontal="center"/>
    </xf>
    <xf numFmtId="0" fontId="10" fillId="9" borderId="0" xfId="4" applyFont="1" applyFill="1" applyBorder="1" applyAlignment="1">
      <alignment horizontal="left" indent="1"/>
    </xf>
    <xf numFmtId="169" fontId="8" fillId="5" borderId="1" xfId="2" applyNumberFormat="1" applyFont="1" applyFill="1" applyBorder="1" applyAlignment="1" applyProtection="1">
      <alignment horizontal="center" vertical="center"/>
    </xf>
    <xf numFmtId="169" fontId="7" fillId="8" borderId="6" xfId="2" applyNumberFormat="1" applyFont="1" applyFill="1" applyBorder="1" applyAlignment="1" applyProtection="1">
      <alignment horizontal="center"/>
    </xf>
    <xf numFmtId="0" fontId="11" fillId="9" borderId="0" xfId="0" applyFont="1" applyFill="1" applyBorder="1" applyAlignment="1">
      <alignment horizontal="left" indent="1"/>
    </xf>
    <xf numFmtId="169" fontId="7" fillId="6" borderId="1" xfId="2" applyNumberFormat="1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>
      <alignment horizontal="left" indent="1"/>
    </xf>
    <xf numFmtId="0" fontId="5" fillId="9" borderId="0" xfId="0" applyFont="1" applyFill="1" applyBorder="1"/>
    <xf numFmtId="0" fontId="10" fillId="9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center" vertical="center"/>
    </xf>
    <xf numFmtId="172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173" fontId="4" fillId="4" borderId="1" xfId="0" quotePrefix="1" applyNumberFormat="1" applyFont="1" applyFill="1" applyBorder="1" applyAlignment="1">
      <alignment horizontal="center" vertical="center"/>
    </xf>
    <xf numFmtId="172" fontId="4" fillId="4" borderId="1" xfId="0" quotePrefix="1" applyNumberFormat="1" applyFont="1" applyFill="1" applyBorder="1" applyAlignment="1">
      <alignment horizontal="center" vertical="center"/>
    </xf>
    <xf numFmtId="172" fontId="4" fillId="2" borderId="0" xfId="0" quotePrefix="1" applyNumberFormat="1" applyFont="1" applyFill="1" applyBorder="1" applyAlignment="1">
      <alignment horizontal="center" vertical="center"/>
    </xf>
    <xf numFmtId="0" fontId="5" fillId="9" borderId="0" xfId="0" applyFont="1" applyFill="1" applyBorder="1" applyAlignment="1"/>
    <xf numFmtId="174" fontId="5" fillId="9" borderId="1" xfId="5" quotePrefix="1" applyNumberFormat="1" applyFont="1" applyFill="1" applyBorder="1" applyAlignment="1">
      <alignment horizontal="right" indent="1"/>
    </xf>
    <xf numFmtId="174" fontId="5" fillId="2" borderId="0" xfId="5" quotePrefix="1" applyNumberFormat="1" applyFont="1" applyFill="1" applyBorder="1" applyAlignment="1">
      <alignment horizontal="right" indent="1"/>
    </xf>
    <xf numFmtId="0" fontId="10" fillId="9" borderId="0" xfId="0" applyFont="1" applyFill="1" applyBorder="1"/>
    <xf numFmtId="174" fontId="10" fillId="9" borderId="1" xfId="5" quotePrefix="1" applyNumberFormat="1" applyFont="1" applyFill="1" applyBorder="1" applyAlignment="1">
      <alignment horizontal="right" indent="1"/>
    </xf>
    <xf numFmtId="174" fontId="10" fillId="2" borderId="0" xfId="5" quotePrefix="1" applyNumberFormat="1" applyFont="1" applyFill="1" applyBorder="1" applyAlignment="1">
      <alignment horizontal="right" indent="1"/>
    </xf>
    <xf numFmtId="0" fontId="11" fillId="9" borderId="0" xfId="0" applyFont="1" applyFill="1" applyBorder="1" applyAlignment="1">
      <alignment horizontal="left" indent="2"/>
    </xf>
    <xf numFmtId="174" fontId="5" fillId="2" borderId="0" xfId="5" quotePrefix="1" applyNumberFormat="1" applyFont="1" applyFill="1" applyBorder="1" applyAlignment="1">
      <alignment horizontal="right"/>
    </xf>
    <xf numFmtId="174" fontId="11" fillId="9" borderId="1" xfId="5" applyNumberFormat="1" applyFont="1" applyFill="1" applyBorder="1" applyAlignment="1">
      <alignment horizontal="right" indent="1"/>
    </xf>
    <xf numFmtId="0" fontId="12" fillId="2" borderId="0" xfId="0" applyFont="1" applyFill="1"/>
    <xf numFmtId="0" fontId="12" fillId="0" borderId="0" xfId="0" applyFont="1"/>
    <xf numFmtId="14" fontId="10" fillId="7" borderId="0" xfId="0" quotePrefix="1" applyNumberFormat="1" applyFont="1" applyFill="1" applyBorder="1" applyAlignment="1">
      <alignment vertical="center"/>
    </xf>
    <xf numFmtId="14" fontId="10" fillId="7" borderId="0" xfId="0" quotePrefix="1" applyNumberFormat="1" applyFont="1" applyFill="1" applyBorder="1" applyAlignment="1">
      <alignment horizontal="left" vertical="center" indent="1"/>
    </xf>
    <xf numFmtId="168" fontId="10" fillId="2" borderId="1" xfId="0" applyNumberFormat="1" applyFont="1" applyFill="1" applyBorder="1" applyAlignment="1">
      <alignment horizontal="right"/>
    </xf>
    <xf numFmtId="0" fontId="5" fillId="6" borderId="0" xfId="0" applyFont="1" applyFill="1" applyBorder="1" applyAlignment="1"/>
    <xf numFmtId="167" fontId="11" fillId="6" borderId="1" xfId="5" quotePrefix="1" applyNumberFormat="1" applyFont="1" applyFill="1" applyBorder="1" applyAlignment="1">
      <alignment horizontal="right"/>
    </xf>
    <xf numFmtId="174" fontId="11" fillId="6" borderId="1" xfId="5" quotePrefix="1" applyNumberFormat="1" applyFont="1" applyFill="1" applyBorder="1" applyAlignment="1">
      <alignment horizontal="right" indent="1"/>
    </xf>
    <xf numFmtId="174" fontId="11" fillId="2" borderId="0" xfId="5" quotePrefix="1" applyNumberFormat="1" applyFont="1" applyFill="1" applyBorder="1" applyAlignment="1">
      <alignment horizontal="right" indent="1"/>
    </xf>
    <xf numFmtId="4" fontId="5" fillId="2" borderId="1" xfId="0" applyNumberFormat="1" applyFont="1" applyFill="1" applyBorder="1" applyAlignment="1">
      <alignment horizontal="right"/>
    </xf>
    <xf numFmtId="174" fontId="11" fillId="6" borderId="1" xfId="5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left"/>
    </xf>
    <xf numFmtId="174" fontId="5" fillId="6" borderId="1" xfId="5" quotePrefix="1" applyNumberFormat="1" applyFont="1" applyFill="1" applyBorder="1" applyAlignment="1">
      <alignment horizontal="right" indent="1"/>
    </xf>
    <xf numFmtId="0" fontId="10" fillId="6" borderId="0" xfId="0" applyFont="1" applyFill="1" applyBorder="1" applyAlignment="1">
      <alignment horizontal="left" indent="1"/>
    </xf>
    <xf numFmtId="174" fontId="10" fillId="6" borderId="1" xfId="5" quotePrefix="1" applyNumberFormat="1" applyFont="1" applyFill="1" applyBorder="1" applyAlignment="1">
      <alignment horizontal="right" indent="1"/>
    </xf>
    <xf numFmtId="0" fontId="10" fillId="6" borderId="0" xfId="0" applyFont="1" applyFill="1" applyBorder="1" applyAlignment="1">
      <alignment horizontal="left" indent="2"/>
    </xf>
    <xf numFmtId="174" fontId="5" fillId="6" borderId="0" xfId="5" quotePrefix="1" applyNumberFormat="1" applyFont="1" applyFill="1" applyBorder="1" applyAlignment="1">
      <alignment horizontal="right" indent="1"/>
    </xf>
    <xf numFmtId="174" fontId="10" fillId="6" borderId="0" xfId="5" quotePrefix="1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left"/>
    </xf>
    <xf numFmtId="176" fontId="10" fillId="6" borderId="1" xfId="0" applyNumberFormat="1" applyFont="1" applyFill="1" applyBorder="1"/>
    <xf numFmtId="0" fontId="11" fillId="2" borderId="0" xfId="0" applyFont="1" applyFill="1" applyBorder="1" applyAlignment="1">
      <alignment horizontal="left" indent="1"/>
    </xf>
    <xf numFmtId="167" fontId="11" fillId="2" borderId="1" xfId="5" quotePrefix="1" applyNumberFormat="1" applyFont="1" applyFill="1" applyBorder="1" applyAlignment="1">
      <alignment horizontal="right"/>
    </xf>
    <xf numFmtId="0" fontId="4" fillId="4" borderId="0" xfId="0" applyFont="1" applyFill="1" applyBorder="1" applyAlignment="1">
      <alignment horizontal="center" vertical="center"/>
    </xf>
    <xf numFmtId="169" fontId="7" fillId="5" borderId="1" xfId="2" applyNumberFormat="1" applyFont="1" applyFill="1" applyBorder="1" applyAlignment="1" applyProtection="1">
      <alignment horizontal="center" vertical="center"/>
    </xf>
    <xf numFmtId="170" fontId="7" fillId="8" borderId="6" xfId="2" applyNumberFormat="1" applyFont="1" applyFill="1" applyBorder="1" applyAlignment="1" applyProtection="1">
      <alignment horizontal="center"/>
    </xf>
    <xf numFmtId="176" fontId="5" fillId="6" borderId="1" xfId="0" applyNumberFormat="1" applyFont="1" applyFill="1" applyBorder="1"/>
    <xf numFmtId="176" fontId="5" fillId="2" borderId="1" xfId="0" applyNumberFormat="1" applyFont="1" applyFill="1" applyBorder="1"/>
    <xf numFmtId="176" fontId="5" fillId="6" borderId="2" xfId="0" applyNumberFormat="1" applyFont="1" applyFill="1" applyBorder="1"/>
    <xf numFmtId="176" fontId="5" fillId="6" borderId="0" xfId="0" applyNumberFormat="1" applyFont="1" applyFill="1" applyBorder="1"/>
    <xf numFmtId="176" fontId="5" fillId="2" borderId="0" xfId="0" applyNumberFormat="1" applyFont="1" applyFill="1" applyBorder="1"/>
    <xf numFmtId="176" fontId="5" fillId="2" borderId="5" xfId="0" applyNumberFormat="1" applyFont="1" applyFill="1" applyBorder="1"/>
    <xf numFmtId="170" fontId="8" fillId="5" borderId="1" xfId="2" applyNumberFormat="1" applyFont="1" applyFill="1" applyBorder="1" applyAlignment="1" applyProtection="1">
      <alignment horizontal="center" vertical="center"/>
    </xf>
    <xf numFmtId="176" fontId="10" fillId="6" borderId="2" xfId="0" applyNumberFormat="1" applyFont="1" applyFill="1" applyBorder="1"/>
    <xf numFmtId="176" fontId="10" fillId="6" borderId="0" xfId="0" applyNumberFormat="1" applyFont="1" applyFill="1" applyBorder="1"/>
    <xf numFmtId="0" fontId="0" fillId="2" borderId="0" xfId="0" applyFill="1" applyBorder="1"/>
    <xf numFmtId="176" fontId="5" fillId="6" borderId="0" xfId="6" applyNumberFormat="1" applyFont="1" applyFill="1" applyBorder="1" applyAlignment="1">
      <alignment horizontal="right"/>
    </xf>
    <xf numFmtId="176" fontId="10" fillId="2" borderId="0" xfId="0" applyNumberFormat="1" applyFont="1" applyFill="1" applyBorder="1" applyAlignment="1">
      <alignment horizontal="right"/>
    </xf>
    <xf numFmtId="0" fontId="10" fillId="9" borderId="0" xfId="0" applyFont="1" applyFill="1" applyBorder="1" applyAlignment="1">
      <alignment horizontal="left" indent="2"/>
    </xf>
    <xf numFmtId="167" fontId="11" fillId="6" borderId="2" xfId="5" quotePrefix="1" applyNumberFormat="1" applyFont="1" applyFill="1" applyBorder="1" applyAlignment="1">
      <alignment horizontal="right"/>
    </xf>
    <xf numFmtId="167" fontId="11" fillId="6" borderId="0" xfId="5" quotePrefix="1" applyNumberFormat="1" applyFont="1" applyFill="1" applyBorder="1" applyAlignment="1">
      <alignment horizontal="right"/>
    </xf>
    <xf numFmtId="174" fontId="11" fillId="6" borderId="0" xfId="5" quotePrefix="1" applyNumberFormat="1" applyFont="1" applyFill="1" applyBorder="1" applyAlignment="1">
      <alignment horizontal="right" indent="1"/>
    </xf>
    <xf numFmtId="1" fontId="13" fillId="10" borderId="8" xfId="0" quotePrefix="1" applyNumberFormat="1" applyFont="1" applyFill="1" applyBorder="1" applyAlignment="1">
      <alignment horizontal="center" vertical="center"/>
    </xf>
    <xf numFmtId="166" fontId="5" fillId="6" borderId="0" xfId="0" applyNumberFormat="1" applyFont="1" applyFill="1" applyBorder="1"/>
    <xf numFmtId="176" fontId="5" fillId="9" borderId="0" xfId="6" quotePrefix="1" applyNumberFormat="1" applyFont="1" applyFill="1" applyBorder="1" applyAlignment="1">
      <alignment horizontal="right"/>
    </xf>
    <xf numFmtId="174" fontId="5" fillId="9" borderId="0" xfId="5" quotePrefix="1" applyNumberFormat="1" applyFont="1" applyFill="1" applyBorder="1" applyAlignment="1">
      <alignment horizontal="right" indent="1"/>
    </xf>
    <xf numFmtId="176" fontId="5" fillId="2" borderId="0" xfId="6" quotePrefix="1" applyNumberFormat="1" applyFont="1" applyFill="1" applyBorder="1" applyAlignment="1">
      <alignment horizontal="right"/>
    </xf>
    <xf numFmtId="0" fontId="14" fillId="11" borderId="0" xfId="0" applyFont="1" applyFill="1" applyBorder="1"/>
    <xf numFmtId="0" fontId="14" fillId="12" borderId="0" xfId="0" applyFont="1" applyFill="1" applyBorder="1"/>
    <xf numFmtId="176" fontId="10" fillId="9" borderId="0" xfId="0" quotePrefix="1" applyNumberFormat="1" applyFont="1" applyFill="1" applyBorder="1" applyAlignment="1">
      <alignment horizontal="right"/>
    </xf>
    <xf numFmtId="174" fontId="10" fillId="9" borderId="0" xfId="5" quotePrefix="1" applyNumberFormat="1" applyFont="1" applyFill="1" applyBorder="1" applyAlignment="1">
      <alignment horizontal="right" indent="1"/>
    </xf>
    <xf numFmtId="176" fontId="5" fillId="2" borderId="0" xfId="0" applyNumberFormat="1" applyFont="1" applyFill="1" applyBorder="1" applyAlignment="1">
      <alignment horizontal="right"/>
    </xf>
    <xf numFmtId="169" fontId="7" fillId="13" borderId="8" xfId="2" applyNumberFormat="1" applyFont="1" applyFill="1" applyBorder="1" applyAlignment="1" applyProtection="1">
      <alignment horizontal="center" vertical="center"/>
    </xf>
    <xf numFmtId="176" fontId="10" fillId="9" borderId="0" xfId="6" applyNumberFormat="1" applyFont="1" applyFill="1" applyBorder="1" applyAlignment="1">
      <alignment horizontal="right"/>
    </xf>
    <xf numFmtId="169" fontId="8" fillId="9" borderId="1" xfId="2" applyNumberFormat="1" applyFont="1" applyFill="1" applyBorder="1" applyAlignment="1" applyProtection="1">
      <alignment horizontal="center" vertical="center"/>
    </xf>
    <xf numFmtId="167" fontId="9" fillId="14" borderId="9" xfId="1" applyNumberFormat="1" applyFont="1" applyFill="1" applyBorder="1" applyAlignment="1" applyProtection="1">
      <alignment horizontal="center" vertical="center"/>
    </xf>
    <xf numFmtId="176" fontId="5" fillId="9" borderId="0" xfId="0" applyNumberFormat="1" applyFont="1" applyFill="1" applyBorder="1" applyAlignment="1">
      <alignment horizontal="right"/>
    </xf>
    <xf numFmtId="176" fontId="5" fillId="2" borderId="0" xfId="5" quotePrefix="1" applyNumberFormat="1" applyFont="1" applyFill="1" applyBorder="1" applyAlignment="1">
      <alignment horizontal="right"/>
    </xf>
    <xf numFmtId="167" fontId="9" fillId="13" borderId="8" xfId="1" applyNumberFormat="1" applyFont="1" applyFill="1" applyBorder="1" applyAlignment="1" applyProtection="1">
      <alignment horizontal="center" vertical="center"/>
    </xf>
    <xf numFmtId="176" fontId="5" fillId="9" borderId="0" xfId="6" applyNumberFormat="1" applyFont="1" applyFill="1" applyBorder="1" applyAlignment="1">
      <alignment horizontal="right"/>
    </xf>
    <xf numFmtId="169" fontId="7" fillId="9" borderId="1" xfId="2" applyNumberFormat="1" applyFont="1" applyFill="1" applyBorder="1" applyAlignment="1" applyProtection="1">
      <alignment horizontal="center" vertical="center"/>
    </xf>
    <xf numFmtId="170" fontId="9" fillId="5" borderId="2" xfId="1" applyNumberFormat="1" applyFont="1" applyFill="1" applyBorder="1" applyAlignment="1" applyProtection="1">
      <alignment horizontal="center" vertical="center"/>
    </xf>
    <xf numFmtId="175" fontId="10" fillId="7" borderId="1" xfId="6" applyNumberFormat="1" applyFont="1" applyFill="1" applyBorder="1" applyAlignment="1">
      <alignment horizontal="right"/>
    </xf>
    <xf numFmtId="176" fontId="5" fillId="9" borderId="2" xfId="0" applyNumberFormat="1" applyFont="1" applyFill="1" applyBorder="1"/>
    <xf numFmtId="176" fontId="5" fillId="9" borderId="0" xfId="0" applyNumberFormat="1" applyFont="1" applyFill="1" applyBorder="1"/>
    <xf numFmtId="176" fontId="10" fillId="9" borderId="2" xfId="0" applyNumberFormat="1" applyFont="1" applyFill="1" applyBorder="1"/>
    <xf numFmtId="176" fontId="10" fillId="9" borderId="0" xfId="0" applyNumberFormat="1" applyFont="1" applyFill="1" applyBorder="1"/>
    <xf numFmtId="174" fontId="5" fillId="9" borderId="0" xfId="5" quotePrefix="1" applyNumberFormat="1" applyFont="1" applyFill="1" applyBorder="1" applyAlignment="1">
      <alignment horizontal="center"/>
    </xf>
    <xf numFmtId="0" fontId="2" fillId="2" borderId="0" xfId="0" applyFont="1" applyFill="1" applyBorder="1"/>
    <xf numFmtId="167" fontId="11" fillId="9" borderId="2" xfId="5" quotePrefix="1" applyNumberFormat="1" applyFont="1" applyFill="1" applyBorder="1" applyAlignment="1">
      <alignment horizontal="right"/>
    </xf>
    <xf numFmtId="167" fontId="11" fillId="9" borderId="0" xfId="5" quotePrefix="1" applyNumberFormat="1" applyFont="1" applyFill="1" applyBorder="1" applyAlignment="1">
      <alignment horizontal="right"/>
    </xf>
    <xf numFmtId="174" fontId="11" fillId="9" borderId="0" xfId="5" quotePrefix="1" applyNumberFormat="1" applyFont="1" applyFill="1" applyBorder="1" applyAlignment="1">
      <alignment horizontal="right" indent="1"/>
    </xf>
    <xf numFmtId="166" fontId="7" fillId="8" borderId="6" xfId="2" applyNumberFormat="1" applyFont="1" applyFill="1" applyBorder="1" applyAlignment="1" applyProtection="1">
      <alignment horizontal="center"/>
    </xf>
    <xf numFmtId="166" fontId="0" fillId="2" borderId="0" xfId="0" applyNumberFormat="1" applyFill="1"/>
    <xf numFmtId="175" fontId="5" fillId="9" borderId="2" xfId="0" applyNumberFormat="1" applyFont="1" applyFill="1" applyBorder="1"/>
    <xf numFmtId="175" fontId="5" fillId="9" borderId="0" xfId="0" applyNumberFormat="1" applyFont="1" applyFill="1" applyBorder="1"/>
    <xf numFmtId="166" fontId="8" fillId="5" borderId="1" xfId="2" applyNumberFormat="1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>
      <alignment horizontal="right"/>
    </xf>
    <xf numFmtId="176" fontId="5" fillId="9" borderId="1" xfId="0" applyNumberFormat="1" applyFont="1" applyFill="1" applyBorder="1"/>
    <xf numFmtId="2" fontId="10" fillId="2" borderId="1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center"/>
    </xf>
    <xf numFmtId="176" fontId="10" fillId="9" borderId="1" xfId="0" applyNumberFormat="1" applyFont="1" applyFill="1" applyBorder="1"/>
    <xf numFmtId="0" fontId="5" fillId="7" borderId="10" xfId="0" applyFont="1" applyFill="1" applyBorder="1"/>
    <xf numFmtId="177" fontId="5" fillId="7" borderId="0" xfId="0" applyNumberFormat="1" applyFont="1" applyFill="1" applyBorder="1" applyAlignment="1">
      <alignment horizontal="right"/>
    </xf>
    <xf numFmtId="0" fontId="10" fillId="7" borderId="0" xfId="0" applyFont="1" applyFill="1" applyBorder="1" applyAlignment="1">
      <alignment horizontal="right"/>
    </xf>
    <xf numFmtId="0" fontId="12" fillId="2" borderId="0" xfId="0" applyFont="1" applyFill="1" applyBorder="1"/>
    <xf numFmtId="169" fontId="7" fillId="5" borderId="4" xfId="2" applyNumberFormat="1" applyFont="1" applyFill="1" applyBorder="1" applyAlignment="1" applyProtection="1">
      <alignment horizontal="center" vertical="center"/>
    </xf>
    <xf numFmtId="14" fontId="10" fillId="7" borderId="1" xfId="0" quotePrefix="1" applyNumberFormat="1" applyFont="1" applyFill="1" applyBorder="1" applyAlignment="1">
      <alignment horizontal="left" vertical="center" indent="1"/>
    </xf>
    <xf numFmtId="177" fontId="10" fillId="7" borderId="0" xfId="0" applyNumberFormat="1" applyFont="1" applyFill="1" applyBorder="1" applyAlignment="1">
      <alignment horizontal="right"/>
    </xf>
    <xf numFmtId="166" fontId="7" fillId="2" borderId="6" xfId="0" applyNumberFormat="1" applyFont="1" applyFill="1" applyBorder="1" applyAlignment="1">
      <alignment horizontal="center"/>
    </xf>
    <xf numFmtId="0" fontId="5" fillId="7" borderId="1" xfId="0" applyFont="1" applyFill="1" applyBorder="1"/>
    <xf numFmtId="174" fontId="5" fillId="7" borderId="0" xfId="5" applyNumberFormat="1" applyFont="1" applyFill="1" applyBorder="1" applyAlignment="1">
      <alignment horizontal="right" indent="1"/>
    </xf>
    <xf numFmtId="0" fontId="15" fillId="2" borderId="0" xfId="0" applyFont="1" applyFill="1" applyBorder="1"/>
    <xf numFmtId="174" fontId="10" fillId="7" borderId="0" xfId="5" applyNumberFormat="1" applyFont="1" applyFill="1" applyBorder="1" applyAlignment="1">
      <alignment horizontal="right" indent="1"/>
    </xf>
    <xf numFmtId="178" fontId="0" fillId="2" borderId="0" xfId="0" applyNumberFormat="1" applyFill="1"/>
    <xf numFmtId="171" fontId="8" fillId="5" borderId="1" xfId="2" applyNumberFormat="1" applyFont="1" applyFill="1" applyBorder="1" applyAlignment="1" applyProtection="1">
      <alignment horizontal="center" vertical="center"/>
    </xf>
    <xf numFmtId="166" fontId="5" fillId="9" borderId="1" xfId="0" quotePrefix="1" applyNumberFormat="1" applyFont="1" applyFill="1" applyBorder="1" applyAlignment="1">
      <alignment horizontal="right"/>
    </xf>
    <xf numFmtId="166" fontId="10" fillId="9" borderId="1" xfId="0" quotePrefix="1" applyNumberFormat="1" applyFont="1" applyFill="1" applyBorder="1" applyAlignment="1">
      <alignment horizontal="right"/>
    </xf>
    <xf numFmtId="166" fontId="5" fillId="9" borderId="1" xfId="0" applyNumberFormat="1" applyFont="1" applyFill="1" applyBorder="1" applyAlignment="1">
      <alignment horizontal="right"/>
    </xf>
    <xf numFmtId="9" fontId="9" fillId="5" borderId="1" xfId="1" applyFont="1" applyFill="1" applyBorder="1" applyAlignment="1" applyProtection="1">
      <alignment horizontal="center" vertical="center"/>
    </xf>
    <xf numFmtId="167" fontId="11" fillId="9" borderId="1" xfId="5" quotePrefix="1" applyNumberFormat="1" applyFont="1" applyFill="1" applyBorder="1" applyAlignment="1">
      <alignment horizontal="right"/>
    </xf>
    <xf numFmtId="175" fontId="5" fillId="7" borderId="0" xfId="0" applyNumberFormat="1" applyFont="1" applyFill="1" applyBorder="1"/>
    <xf numFmtId="177" fontId="5" fillId="7" borderId="2" xfId="0" applyNumberFormat="1" applyFont="1" applyFill="1" applyBorder="1" applyAlignment="1">
      <alignment horizontal="right"/>
    </xf>
    <xf numFmtId="177" fontId="10" fillId="2" borderId="0" xfId="0" applyNumberFormat="1" applyFont="1" applyFill="1" applyBorder="1" applyAlignment="1">
      <alignment horizontal="right"/>
    </xf>
    <xf numFmtId="175" fontId="10" fillId="2" borderId="0" xfId="0" applyNumberFormat="1" applyFont="1" applyFill="1" applyBorder="1"/>
    <xf numFmtId="177" fontId="10" fillId="7" borderId="2" xfId="0" applyNumberFormat="1" applyFont="1" applyFill="1" applyBorder="1" applyAlignment="1">
      <alignment horizontal="right"/>
    </xf>
    <xf numFmtId="175" fontId="10" fillId="7" borderId="0" xfId="0" applyNumberFormat="1" applyFont="1" applyFill="1" applyBorder="1"/>
    <xf numFmtId="175" fontId="5" fillId="2" borderId="0" xfId="0" applyNumberFormat="1" applyFont="1" applyFill="1" applyBorder="1"/>
    <xf numFmtId="176" fontId="10" fillId="2" borderId="0" xfId="0" applyNumberFormat="1" applyFont="1" applyFill="1" applyBorder="1"/>
    <xf numFmtId="176" fontId="10" fillId="7" borderId="2" xfId="0" applyNumberFormat="1" applyFont="1" applyFill="1" applyBorder="1"/>
    <xf numFmtId="176" fontId="10" fillId="7" borderId="0" xfId="0" applyNumberFormat="1" applyFont="1" applyFill="1" applyBorder="1"/>
    <xf numFmtId="0" fontId="0" fillId="2" borderId="11" xfId="0" applyFill="1" applyBorder="1"/>
    <xf numFmtId="176" fontId="5" fillId="7" borderId="2" xfId="0" applyNumberFormat="1" applyFont="1" applyFill="1" applyBorder="1"/>
    <xf numFmtId="176" fontId="5" fillId="7" borderId="0" xfId="0" applyNumberFormat="1" applyFont="1" applyFill="1" applyBorder="1"/>
    <xf numFmtId="0" fontId="16" fillId="2" borderId="0" xfId="7" applyFont="1" applyFill="1"/>
    <xf numFmtId="165" fontId="7" fillId="8" borderId="12" xfId="2" applyNumberFormat="1" applyFont="1" applyFill="1" applyBorder="1" applyAlignment="1" applyProtection="1">
      <alignment horizontal="left" vertical="center"/>
    </xf>
    <xf numFmtId="165" fontId="8" fillId="5" borderId="12" xfId="2" applyNumberFormat="1" applyFont="1" applyFill="1" applyBorder="1" applyAlignment="1" applyProtection="1">
      <alignment horizontal="left" vertical="center" indent="1"/>
    </xf>
    <xf numFmtId="0" fontId="0" fillId="2" borderId="13" xfId="0" applyFill="1" applyBorder="1"/>
    <xf numFmtId="0" fontId="1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74" fontId="5" fillId="9" borderId="0" xfId="5" applyNumberFormat="1" applyFont="1" applyFill="1" applyBorder="1" applyAlignment="1">
      <alignment horizontal="right"/>
    </xf>
    <xf numFmtId="174" fontId="10" fillId="9" borderId="0" xfId="5" applyNumberFormat="1" applyFont="1" applyFill="1" applyBorder="1" applyAlignment="1">
      <alignment horizontal="right"/>
    </xf>
    <xf numFmtId="167" fontId="11" fillId="9" borderId="0" xfId="5" applyNumberFormat="1" applyFont="1" applyFill="1" applyBorder="1"/>
    <xf numFmtId="179" fontId="8" fillId="5" borderId="1" xfId="2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>
      <alignment horizontal="centerContinuous" vertical="center"/>
    </xf>
    <xf numFmtId="0" fontId="4" fillId="4" borderId="5" xfId="0" applyFont="1" applyFill="1" applyBorder="1" applyAlignment="1">
      <alignment horizontal="centerContinuous" vertical="center"/>
    </xf>
    <xf numFmtId="166" fontId="5" fillId="7" borderId="2" xfId="0" applyNumberFormat="1" applyFont="1" applyFill="1" applyBorder="1"/>
    <xf numFmtId="166" fontId="5" fillId="7" borderId="0" xfId="0" applyNumberFormat="1" applyFont="1" applyFill="1" applyBorder="1"/>
    <xf numFmtId="166" fontId="10" fillId="7" borderId="2" xfId="0" applyNumberFormat="1" applyFont="1" applyFill="1" applyBorder="1"/>
    <xf numFmtId="166" fontId="10" fillId="7" borderId="0" xfId="0" applyNumberFormat="1" applyFont="1" applyFill="1" applyBorder="1"/>
    <xf numFmtId="175" fontId="5" fillId="7" borderId="1" xfId="6" applyNumberFormat="1" applyFont="1" applyFill="1" applyBorder="1" applyAlignment="1">
      <alignment horizontal="right"/>
    </xf>
    <xf numFmtId="0" fontId="18" fillId="2" borderId="0" xfId="7" applyFont="1" applyFill="1"/>
    <xf numFmtId="0" fontId="19" fillId="4" borderId="4" xfId="9" applyFont="1" applyFill="1" applyBorder="1" applyAlignment="1" applyProtection="1">
      <alignment horizontal="center" vertical="center"/>
      <protection locked="0"/>
    </xf>
    <xf numFmtId="0" fontId="20" fillId="2" borderId="0" xfId="0" applyFont="1" applyFill="1"/>
    <xf numFmtId="0" fontId="19" fillId="4" borderId="4" xfId="9" applyFont="1" applyFill="1" applyBorder="1" applyAlignment="1" applyProtection="1">
      <alignment horizontal="center" vertical="center" wrapText="1"/>
      <protection locked="0"/>
    </xf>
    <xf numFmtId="3" fontId="21" fillId="15" borderId="7" xfId="2" applyNumberFormat="1" applyFont="1" applyFill="1" applyBorder="1" applyAlignment="1" applyProtection="1">
      <alignment horizontal="left" vertical="center"/>
    </xf>
    <xf numFmtId="177" fontId="22" fillId="15" borderId="12" xfId="2" applyNumberFormat="1" applyFont="1" applyFill="1" applyBorder="1" applyAlignment="1" applyProtection="1">
      <alignment horizontal="center" vertical="center"/>
    </xf>
    <xf numFmtId="167" fontId="22" fillId="16" borderId="12" xfId="8" applyNumberFormat="1" applyFont="1" applyFill="1" applyBorder="1" applyAlignment="1" applyProtection="1">
      <alignment horizontal="center" vertical="center"/>
    </xf>
    <xf numFmtId="177" fontId="23" fillId="8" borderId="12" xfId="2" applyNumberFormat="1" applyFont="1" applyFill="1" applyBorder="1" applyAlignment="1" applyProtection="1">
      <alignment horizontal="center" vertical="center"/>
    </xf>
    <xf numFmtId="167" fontId="23" fillId="8" borderId="12" xfId="8" applyNumberFormat="1" applyFont="1" applyFill="1" applyBorder="1" applyAlignment="1" applyProtection="1">
      <alignment horizontal="center" vertical="center"/>
    </xf>
    <xf numFmtId="165" fontId="24" fillId="5" borderId="12" xfId="2" applyNumberFormat="1" applyFont="1" applyFill="1" applyBorder="1" applyAlignment="1" applyProtection="1">
      <alignment horizontal="left" vertical="center" indent="1"/>
    </xf>
    <xf numFmtId="177" fontId="24" fillId="5" borderId="12" xfId="2" applyNumberFormat="1" applyFont="1" applyFill="1" applyBorder="1" applyAlignment="1" applyProtection="1">
      <alignment horizontal="center" vertical="center"/>
    </xf>
    <xf numFmtId="167" fontId="24" fillId="5" borderId="12" xfId="8" applyNumberFormat="1" applyFont="1" applyFill="1" applyBorder="1" applyAlignment="1" applyProtection="1">
      <alignment horizontal="center" vertical="center"/>
    </xf>
    <xf numFmtId="165" fontId="23" fillId="2" borderId="0" xfId="2" applyNumberFormat="1" applyFont="1" applyFill="1" applyBorder="1" applyAlignment="1" applyProtection="1">
      <alignment horizontal="left" vertical="center"/>
    </xf>
    <xf numFmtId="177" fontId="23" fillId="2" borderId="0" xfId="2" applyNumberFormat="1" applyFont="1" applyFill="1" applyBorder="1" applyAlignment="1" applyProtection="1">
      <alignment horizontal="center" vertical="center"/>
    </xf>
    <xf numFmtId="167" fontId="24" fillId="2" borderId="0" xfId="8" applyNumberFormat="1" applyFont="1" applyFill="1" applyBorder="1" applyAlignment="1" applyProtection="1">
      <alignment horizontal="center" vertical="center"/>
    </xf>
    <xf numFmtId="0" fontId="19" fillId="4" borderId="1" xfId="9" applyFont="1" applyFill="1" applyBorder="1" applyAlignment="1" applyProtection="1">
      <alignment horizontal="center" vertical="center"/>
      <protection locked="0"/>
    </xf>
    <xf numFmtId="0" fontId="19" fillId="4" borderId="4" xfId="9" applyFont="1" applyFill="1" applyBorder="1" applyAlignment="1" applyProtection="1">
      <alignment horizontal="center" vertical="center"/>
      <protection locked="0"/>
    </xf>
    <xf numFmtId="175" fontId="5" fillId="9" borderId="1" xfId="0" applyNumberFormat="1" applyFont="1" applyFill="1" applyBorder="1"/>
    <xf numFmtId="175" fontId="10" fillId="6" borderId="1" xfId="0" applyNumberFormat="1" applyFont="1" applyFill="1" applyBorder="1"/>
    <xf numFmtId="166" fontId="10" fillId="6" borderId="1" xfId="0" applyNumberFormat="1" applyFont="1" applyFill="1" applyBorder="1"/>
    <xf numFmtId="175" fontId="5" fillId="6" borderId="0" xfId="0" applyNumberFormat="1" applyFont="1" applyFill="1" applyBorder="1"/>
    <xf numFmtId="175" fontId="5" fillId="6" borderId="2" xfId="0" applyNumberFormat="1" applyFont="1" applyFill="1" applyBorder="1"/>
  </cellXfs>
  <cellStyles count="10">
    <cellStyle name="Comma 3" xfId="2"/>
    <cellStyle name="Normal" xfId="0" builtinId="0"/>
    <cellStyle name="Normal 23" xfId="3"/>
    <cellStyle name="Normal 46" xfId="4"/>
    <cellStyle name="Normal 615" xfId="7"/>
    <cellStyle name="Normal_Business Case Template to be populated" xfId="9"/>
    <cellStyle name="Normal_uunn" xfId="6"/>
    <cellStyle name="Porcentaje" xfId="1" builtinId="5"/>
    <cellStyle name="Porcentaje 13" xfId="8"/>
    <cellStyle name="Porcentaje 2" xfId="5"/>
  </cellStyles>
  <dxfs count="1">
    <dxf>
      <numFmt numFmtId="180" formatCode="\(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W/RESULTS/CURRENT_RESULTS/Tablas_no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izar"/>
      <sheetName val="ConsPL_MainOp"/>
      <sheetName val="Acdo_concepto_apendice"/>
      <sheetName val="UN"/>
      <sheetName val="Detalles"/>
      <sheetName val="Detalles_2"/>
      <sheetName val="load"/>
      <sheetName val="tablas_FMA"/>
    </sheetNames>
    <sheetDataSet>
      <sheetData sheetId="0">
        <row r="14">
          <cell r="R14">
            <v>2016</v>
          </cell>
        </row>
        <row r="17">
          <cell r="R17">
            <v>2015</v>
          </cell>
        </row>
      </sheetData>
      <sheetData sheetId="1"/>
      <sheetData sheetId="2"/>
      <sheetData sheetId="3">
        <row r="14">
          <cell r="C14">
            <v>57.236800756516104</v>
          </cell>
          <cell r="D14">
            <v>55.976589645665314</v>
          </cell>
          <cell r="E14">
            <v>2.2513181292893883E-2</v>
          </cell>
        </row>
        <row r="15">
          <cell r="C15">
            <v>23.7989964168912</v>
          </cell>
          <cell r="D15">
            <v>22.917547324587652</v>
          </cell>
          <cell r="E15">
            <v>3.8461755083095808E-2</v>
          </cell>
        </row>
        <row r="16">
          <cell r="C16">
            <v>23.369312739997298</v>
          </cell>
          <cell r="D16">
            <v>24.362024231602604</v>
          </cell>
          <cell r="E16">
            <v>-4.074831722388457E-2</v>
          </cell>
        </row>
        <row r="17">
          <cell r="C17">
            <v>10.068491599627606</v>
          </cell>
          <cell r="D17">
            <v>8.6970180894750584</v>
          </cell>
          <cell r="E17">
            <v>0.15769468294107322</v>
          </cell>
        </row>
        <row r="18">
          <cell r="C18">
            <v>56.700752714418044</v>
          </cell>
          <cell r="D18">
            <v>59.913077740177144</v>
          </cell>
          <cell r="E18">
            <v>-5.3616424776070967E-2</v>
          </cell>
        </row>
        <row r="19">
          <cell r="C19">
            <v>0.53604804209806201</v>
          </cell>
          <cell r="D19">
            <v>-3.9364880945118306</v>
          </cell>
          <cell r="E19">
            <v>1.1361741809521562</v>
          </cell>
        </row>
        <row r="20">
          <cell r="C20">
            <v>9.3654438230815311E-3</v>
          </cell>
          <cell r="D20">
            <v>-7.0323828576017267E-2</v>
          </cell>
        </row>
        <row r="21">
          <cell r="C21">
            <v>-1.8333513159130701</v>
          </cell>
          <cell r="D21">
            <v>-6.8512243953425571</v>
          </cell>
          <cell r="E21">
            <v>0.73240530303468421</v>
          </cell>
        </row>
        <row r="22">
          <cell r="C22">
            <v>-3.2030988659063946E-2</v>
          </cell>
          <cell r="D22">
            <v>-0.12239445880342406</v>
          </cell>
        </row>
        <row r="24">
          <cell r="C24">
            <v>0</v>
          </cell>
          <cell r="D24">
            <v>0</v>
          </cell>
        </row>
        <row r="26">
          <cell r="C26">
            <v>-0.84991880564655198</v>
          </cell>
          <cell r="D26">
            <v>-3.1876244443196509</v>
          </cell>
        </row>
        <row r="27">
          <cell r="C27">
            <v>-0.84991880564655198</v>
          </cell>
          <cell r="D27">
            <v>-3.1876244443196509</v>
          </cell>
        </row>
        <row r="29">
          <cell r="C29">
            <v>0</v>
          </cell>
          <cell r="D29">
            <v>0</v>
          </cell>
        </row>
        <row r="32">
          <cell r="C32">
            <v>57.236800756516104</v>
          </cell>
          <cell r="D32">
            <v>55.976589645665314</v>
          </cell>
          <cell r="E32">
            <v>2.2513181292893883E-2</v>
          </cell>
        </row>
        <row r="33">
          <cell r="C33">
            <v>23.7989964168912</v>
          </cell>
          <cell r="D33">
            <v>22.917547324587652</v>
          </cell>
          <cell r="E33">
            <v>3.8461755083095808E-2</v>
          </cell>
        </row>
        <row r="34">
          <cell r="C34">
            <v>23.369312739997298</v>
          </cell>
          <cell r="D34">
            <v>24.362024231602604</v>
          </cell>
          <cell r="E34">
            <v>-4.074831722388457E-2</v>
          </cell>
        </row>
        <row r="35">
          <cell r="C35">
            <v>10.068491599627606</v>
          </cell>
          <cell r="D35">
            <v>8.6970180894750584</v>
          </cell>
          <cell r="E35">
            <v>0.15769468294107322</v>
          </cell>
        </row>
        <row r="36">
          <cell r="C36">
            <v>1.3859668477446139</v>
          </cell>
          <cell r="D36">
            <v>-0.7488636501921796</v>
          </cell>
          <cell r="E36" t="str">
            <v>---</v>
          </cell>
        </row>
        <row r="37">
          <cell r="C37">
            <v>2.4214610694970211E-2</v>
          </cell>
          <cell r="D37">
            <v>-1.3378157814410005E-2</v>
          </cell>
        </row>
        <row r="38">
          <cell r="C38">
            <v>-0.98343251026651812</v>
          </cell>
          <cell r="D38">
            <v>-3.6635999510229058</v>
          </cell>
          <cell r="E38">
            <v>0.73156662206201417</v>
          </cell>
        </row>
        <row r="39">
          <cell r="C39">
            <v>-1.7181821787175266E-2</v>
          </cell>
          <cell r="D39">
            <v>-6.5448788041816794E-2</v>
          </cell>
        </row>
        <row r="41">
          <cell r="C41">
            <v>57.507220577711273</v>
          </cell>
          <cell r="D41">
            <v>55.976589645665314</v>
          </cell>
          <cell r="E41">
            <v>2.7344126209455307E-2</v>
          </cell>
        </row>
        <row r="42">
          <cell r="C42">
            <v>1.0878953896886603</v>
          </cell>
          <cell r="D42">
            <v>-0.7488636501921796</v>
          </cell>
          <cell r="E42" t="str">
            <v>---</v>
          </cell>
        </row>
        <row r="43">
          <cell r="C43">
            <v>1.891754424504926E-2</v>
          </cell>
          <cell r="D43">
            <v>-1.3378157814410005E-2</v>
          </cell>
        </row>
        <row r="44">
          <cell r="C44">
            <v>-1.3086583212361693</v>
          </cell>
          <cell r="D44">
            <v>-3.6635999510229058</v>
          </cell>
          <cell r="E44">
            <v>0.64279442659377117</v>
          </cell>
        </row>
        <row r="45">
          <cell r="C45">
            <v>-2.2756417508784644E-2</v>
          </cell>
          <cell r="D45">
            <v>-6.5448788041816794E-2</v>
          </cell>
        </row>
        <row r="61">
          <cell r="C61">
            <v>59.883619595506602</v>
          </cell>
          <cell r="D61">
            <v>65.631684467783259</v>
          </cell>
          <cell r="E61">
            <v>-8.7580639121005957E-2</v>
          </cell>
        </row>
        <row r="62">
          <cell r="C62">
            <v>54.516972585982302</v>
          </cell>
          <cell r="D62">
            <v>60.775672480028781</v>
          </cell>
          <cell r="E62">
            <v>-0.10298034787032792</v>
          </cell>
        </row>
        <row r="63">
          <cell r="C63">
            <v>35.52542571</v>
          </cell>
          <cell r="D63">
            <v>38.17647305000002</v>
          </cell>
          <cell r="E63">
            <v>-6.9441913519038875E-2</v>
          </cell>
        </row>
        <row r="64">
          <cell r="C64">
            <v>18.9874321459823</v>
          </cell>
          <cell r="D64">
            <v>22.584744400028782</v>
          </cell>
          <cell r="E64">
            <v>-0.15928062723799954</v>
          </cell>
        </row>
        <row r="65">
          <cell r="C65">
            <v>4.1147300000012876E-3</v>
          </cell>
          <cell r="D65">
            <v>1.4455029999979274E-2</v>
          </cell>
          <cell r="E65">
            <v>-0.71534268693961978</v>
          </cell>
        </row>
        <row r="66">
          <cell r="C66">
            <v>5.3666470095243</v>
          </cell>
          <cell r="D66">
            <v>4.8560119877544778</v>
          </cell>
          <cell r="E66">
            <v>0.10515522265132432</v>
          </cell>
        </row>
        <row r="67">
          <cell r="C67">
            <v>57.190565586944984</v>
          </cell>
          <cell r="D67">
            <v>63.967170948117889</v>
          </cell>
          <cell r="E67">
            <v>-0.10593880049297839</v>
          </cell>
        </row>
        <row r="68">
          <cell r="C68">
            <v>2.6930540085616199</v>
          </cell>
          <cell r="D68">
            <v>1.6645135196653664</v>
          </cell>
          <cell r="E68">
            <v>0.6179225802281445</v>
          </cell>
        </row>
        <row r="69">
          <cell r="C69">
            <v>4.4971463427766728E-2</v>
          </cell>
          <cell r="D69">
            <v>2.5361432258872298E-2</v>
          </cell>
        </row>
        <row r="70">
          <cell r="C70">
            <v>0.5322983880985207</v>
          </cell>
          <cell r="D70">
            <v>-1.1623161994435214</v>
          </cell>
          <cell r="E70">
            <v>1.4579634942310602</v>
          </cell>
        </row>
        <row r="71">
          <cell r="C71">
            <v>8.88888132838353E-3</v>
          </cell>
          <cell r="D71">
            <v>-1.7709681061348799E-2</v>
          </cell>
        </row>
        <row r="74">
          <cell r="C74">
            <v>4.5179892375778063</v>
          </cell>
          <cell r="D74">
            <v>5.4880424556215406</v>
          </cell>
        </row>
        <row r="76">
          <cell r="C76">
            <v>4.5179892375778063</v>
          </cell>
          <cell r="D76">
            <v>5.4880424556215406</v>
          </cell>
        </row>
        <row r="77">
          <cell r="C77">
            <v>2.1089758257700657</v>
          </cell>
          <cell r="D77">
            <v>-0.2941948053909435</v>
          </cell>
        </row>
        <row r="81">
          <cell r="C81">
            <v>2.9811976631190467</v>
          </cell>
          <cell r="D81">
            <v>3.56705270420108</v>
          </cell>
        </row>
        <row r="82">
          <cell r="C82">
            <v>0.2300392541508593</v>
          </cell>
          <cell r="D82">
            <v>0.30478885360538632</v>
          </cell>
        </row>
        <row r="83">
          <cell r="C83">
            <v>0.2300392541508593</v>
          </cell>
          <cell r="D83">
            <v>0.30478885360538632</v>
          </cell>
        </row>
        <row r="86">
          <cell r="C86">
            <v>64.401608833084396</v>
          </cell>
          <cell r="D86">
            <v>71.119726923404798</v>
          </cell>
          <cell r="E86">
            <v>-9.4462090631418555E-2</v>
          </cell>
        </row>
        <row r="87">
          <cell r="C87">
            <v>40.061978259999997</v>
          </cell>
          <cell r="D87">
            <v>42.713421090000026</v>
          </cell>
          <cell r="E87">
            <v>-6.2075168936088311E-2</v>
          </cell>
        </row>
        <row r="88">
          <cell r="C88">
            <v>24.331490056704904</v>
          </cell>
          <cell r="D88">
            <v>29.008881172963495</v>
          </cell>
          <cell r="E88">
            <v>-0.16123996952415923</v>
          </cell>
        </row>
        <row r="89">
          <cell r="C89">
            <v>8.1405163794947555E-3</v>
          </cell>
          <cell r="D89">
            <v>-0.34257533955872232</v>
          </cell>
        </row>
        <row r="90">
          <cell r="C90">
            <v>5.1020674203693606</v>
          </cell>
          <cell r="D90">
            <v>7.4467507806778492</v>
          </cell>
          <cell r="E90">
            <v>-0.31485992070424318</v>
          </cell>
        </row>
        <row r="91">
          <cell r="C91">
            <v>2.0679224000000098</v>
          </cell>
          <cell r="D91">
            <v>2.4373382500000047</v>
          </cell>
          <cell r="E91">
            <v>-0.15156527822922986</v>
          </cell>
        </row>
        <row r="92">
          <cell r="C92">
            <v>3.5862816950399004</v>
          </cell>
          <cell r="D92">
            <v>5.6800060387111229</v>
          </cell>
          <cell r="E92">
            <v>-0.36861304889498314</v>
          </cell>
        </row>
        <row r="93">
          <cell r="C93">
            <v>-0.55213667467054961</v>
          </cell>
          <cell r="D93">
            <v>-0.49059350803327878</v>
          </cell>
        </row>
        <row r="94">
          <cell r="C94">
            <v>7.9222670253360605E-2</v>
          </cell>
          <cell r="D94">
            <v>0.10470724653791096</v>
          </cell>
        </row>
        <row r="95">
          <cell r="C95">
            <v>2.7112725457554023</v>
          </cell>
          <cell r="D95">
            <v>4.3151322079635763</v>
          </cell>
          <cell r="E95">
            <v>-0.37168262405685998</v>
          </cell>
        </row>
        <row r="96">
          <cell r="C96">
            <v>4.2099453645365568E-2</v>
          </cell>
          <cell r="D96">
            <v>6.0674195397444772E-2</v>
          </cell>
        </row>
        <row r="110">
          <cell r="C110">
            <v>69.932080663145129</v>
          </cell>
          <cell r="D110">
            <v>71.119726923404798</v>
          </cell>
          <cell r="E110">
            <v>-1.6699252255829827E-2</v>
          </cell>
        </row>
        <row r="111">
          <cell r="C111">
            <v>40.061978259999997</v>
          </cell>
          <cell r="D111">
            <v>42.713421090000026</v>
          </cell>
          <cell r="E111">
            <v>-6.2075168936088311E-2</v>
          </cell>
        </row>
        <row r="112">
          <cell r="C112">
            <v>29.893185328069208</v>
          </cell>
          <cell r="D112">
            <v>29.008881172963495</v>
          </cell>
          <cell r="E112">
            <v>3.0483911110983895E-2</v>
          </cell>
        </row>
        <row r="113">
          <cell r="C113">
            <v>-2.3082924924075598E-2</v>
          </cell>
          <cell r="D113">
            <v>-0.60257533955872233</v>
          </cell>
        </row>
        <row r="114">
          <cell r="C114">
            <v>5.7522762490362407</v>
          </cell>
          <cell r="D114">
            <v>7.4467507806778492</v>
          </cell>
          <cell r="E114">
            <v>-0.2275454868233642</v>
          </cell>
        </row>
        <row r="115">
          <cell r="C115">
            <v>2.0679224000000098</v>
          </cell>
          <cell r="D115">
            <v>2.4373382500000047</v>
          </cell>
          <cell r="E115">
            <v>-0.15156527822922986</v>
          </cell>
        </row>
        <row r="116">
          <cell r="C116">
            <v>4.2942674022667244</v>
          </cell>
          <cell r="D116">
            <v>5.6800060387111229</v>
          </cell>
          <cell r="E116">
            <v>-0.24396781042134999</v>
          </cell>
        </row>
        <row r="117">
          <cell r="C117">
            <v>-0.60991355323049357</v>
          </cell>
          <cell r="D117">
            <v>-0.67059350803327877</v>
          </cell>
        </row>
        <row r="118">
          <cell r="C118">
            <v>8.2255185238149869E-2</v>
          </cell>
          <cell r="D118">
            <v>0.10470724653791096</v>
          </cell>
        </row>
        <row r="119">
          <cell r="C119">
            <v>3.1701562107872654</v>
          </cell>
          <cell r="D119">
            <v>4.3151322079635763</v>
          </cell>
          <cell r="E119">
            <v>-0.2653397258752021</v>
          </cell>
        </row>
        <row r="120">
          <cell r="C120">
            <v>4.5331930363369952E-2</v>
          </cell>
          <cell r="D120">
            <v>6.0674195397444772E-2</v>
          </cell>
        </row>
        <row r="148">
          <cell r="C148">
            <v>168.323294579162</v>
          </cell>
          <cell r="D148">
            <v>177.09777298525432</v>
          </cell>
          <cell r="E148">
            <v>-4.9545955650288818E-2</v>
          </cell>
        </row>
        <row r="149">
          <cell r="C149">
            <v>1.5789665669276474</v>
          </cell>
          <cell r="D149">
            <v>1.2557729852543105</v>
          </cell>
          <cell r="E149">
            <v>0.25736624809450409</v>
          </cell>
        </row>
        <row r="150">
          <cell r="C150">
            <v>166.74432801223435</v>
          </cell>
          <cell r="D150">
            <v>175.84200000000001</v>
          </cell>
          <cell r="E150">
            <v>-5.1737764514539555E-2</v>
          </cell>
        </row>
        <row r="151">
          <cell r="C151">
            <v>116.09034236255309</v>
          </cell>
          <cell r="D151">
            <v>119.78748883994889</v>
          </cell>
          <cell r="E151">
            <v>-3.0864212224497468E-2</v>
          </cell>
        </row>
        <row r="152">
          <cell r="C152">
            <v>52.232952216608901</v>
          </cell>
          <cell r="D152">
            <v>57.310284145305431</v>
          </cell>
          <cell r="E152">
            <v>-8.8593731551275853E-2</v>
          </cell>
        </row>
        <row r="153">
          <cell r="C153">
            <v>0.31031327153618588</v>
          </cell>
          <cell r="D153">
            <v>0.32360815824644645</v>
          </cell>
        </row>
        <row r="154">
          <cell r="C154">
            <v>44.408748670750199</v>
          </cell>
          <cell r="D154">
            <v>43.946022459852919</v>
          </cell>
          <cell r="E154">
            <v>1.0529421890684319E-2</v>
          </cell>
        </row>
        <row r="155">
          <cell r="C155">
            <v>0.26383008235300959</v>
          </cell>
          <cell r="D155">
            <v>0.24814553971557843</v>
          </cell>
        </row>
        <row r="157">
          <cell r="C157">
            <v>0</v>
          </cell>
          <cell r="D157">
            <v>0</v>
          </cell>
        </row>
        <row r="160">
          <cell r="C160">
            <v>-0.63557289049249799</v>
          </cell>
          <cell r="D160">
            <v>-0.59464904297706977</v>
          </cell>
        </row>
        <row r="161">
          <cell r="C161">
            <v>-0.63557289049249799</v>
          </cell>
          <cell r="D161">
            <v>-0.59464904297706977</v>
          </cell>
        </row>
        <row r="164">
          <cell r="C164">
            <v>0</v>
          </cell>
          <cell r="D164">
            <v>0</v>
          </cell>
        </row>
        <row r="168">
          <cell r="C168">
            <v>168.323294579162</v>
          </cell>
          <cell r="D168">
            <v>177.09777298525432</v>
          </cell>
          <cell r="E168">
            <v>-4.9545955650288818E-2</v>
          </cell>
        </row>
        <row r="169">
          <cell r="C169">
            <v>1.5789665669276474</v>
          </cell>
          <cell r="D169">
            <v>1.2557729852543105</v>
          </cell>
          <cell r="E169">
            <v>0.25736624809450409</v>
          </cell>
        </row>
        <row r="170">
          <cell r="C170">
            <v>166.74432801223435</v>
          </cell>
          <cell r="D170">
            <v>175.84200000000001</v>
          </cell>
          <cell r="E170">
            <v>-5.1737764514539555E-2</v>
          </cell>
        </row>
        <row r="171">
          <cell r="C171">
            <v>3.2267999999999998E-2</v>
          </cell>
          <cell r="D171">
            <v>3.7999999999999999E-2</v>
          </cell>
          <cell r="E171">
            <v>-0.15084210526315792</v>
          </cell>
        </row>
        <row r="172">
          <cell r="C172">
            <v>166.71206001223436</v>
          </cell>
          <cell r="D172">
            <v>175.804</v>
          </cell>
          <cell r="E172">
            <v>-5.1716343130791348E-2</v>
          </cell>
        </row>
        <row r="173">
          <cell r="C173">
            <v>52.868525107101398</v>
          </cell>
          <cell r="D173">
            <v>57.904933188282499</v>
          </cell>
          <cell r="E173">
            <v>-8.6977184911082084E-2</v>
          </cell>
        </row>
        <row r="174">
          <cell r="C174">
            <v>-16.327914614067886</v>
          </cell>
          <cell r="D174">
            <v>-17.132066811717507</v>
          </cell>
          <cell r="E174">
            <v>4.6938422928611272E-2</v>
          </cell>
        </row>
        <row r="175">
          <cell r="C175">
            <v>69.196439721169284</v>
          </cell>
          <cell r="D175">
            <v>75.037000000000006</v>
          </cell>
          <cell r="E175">
            <v>-7.783573808695339E-2</v>
          </cell>
        </row>
        <row r="176">
          <cell r="C176">
            <v>-0.86745799999999995</v>
          </cell>
          <cell r="D176">
            <v>-0.745</v>
          </cell>
          <cell r="E176">
            <v>-0.16437315436241604</v>
          </cell>
        </row>
        <row r="177">
          <cell r="C177">
            <v>70.063897721169283</v>
          </cell>
          <cell r="D177">
            <v>75.782000000000011</v>
          </cell>
          <cell r="E177">
            <v>-7.5454623509945987E-2</v>
          </cell>
        </row>
        <row r="178">
          <cell r="C178">
            <v>0.31408917725429542</v>
          </cell>
          <cell r="D178">
            <v>0.32696590257577002</v>
          </cell>
        </row>
        <row r="179">
          <cell r="C179">
            <v>45.044321561242704</v>
          </cell>
          <cell r="D179">
            <v>44.540671502829987</v>
          </cell>
          <cell r="E179">
            <v>1.1307644034525081E-2</v>
          </cell>
        </row>
        <row r="180">
          <cell r="C180">
            <v>0.26760598807111918</v>
          </cell>
          <cell r="D180">
            <v>0.25150328404490196</v>
          </cell>
        </row>
        <row r="182">
          <cell r="C182">
            <v>210.91629006278762</v>
          </cell>
          <cell r="D182">
            <v>177.09777298525432</v>
          </cell>
          <cell r="E182">
            <v>0.190959584118255</v>
          </cell>
        </row>
        <row r="183">
          <cell r="C183">
            <v>1.5789665669276474</v>
          </cell>
          <cell r="D183">
            <v>1.2557729852543105</v>
          </cell>
          <cell r="E183">
            <v>0.25736624809450409</v>
          </cell>
        </row>
        <row r="184">
          <cell r="C184">
            <v>209.33732349585998</v>
          </cell>
          <cell r="D184">
            <v>175.84200000000001</v>
          </cell>
          <cell r="E184">
            <v>0.19048534193116526</v>
          </cell>
        </row>
        <row r="185">
          <cell r="C185">
            <v>3.2267999999999998E-2</v>
          </cell>
          <cell r="D185">
            <v>3.7999999999999999E-2</v>
          </cell>
          <cell r="E185">
            <v>-0.15084210526315792</v>
          </cell>
        </row>
        <row r="186">
          <cell r="C186">
            <v>209.30505549585999</v>
          </cell>
          <cell r="D186">
            <v>175.804</v>
          </cell>
          <cell r="E186">
            <v>0.19055911979169976</v>
          </cell>
        </row>
        <row r="187">
          <cell r="C187">
            <v>74.48205998129589</v>
          </cell>
          <cell r="D187">
            <v>57.904933188282499</v>
          </cell>
          <cell r="E187">
            <v>0.28628177048597131</v>
          </cell>
        </row>
        <row r="188">
          <cell r="C188">
            <v>-16.327914614067886</v>
          </cell>
          <cell r="D188">
            <v>-17.132066811717507</v>
          </cell>
          <cell r="E188">
            <v>4.6938422928611272E-2</v>
          </cell>
        </row>
        <row r="189">
          <cell r="C189">
            <v>90.809974595363784</v>
          </cell>
          <cell r="D189">
            <v>75.037000000000006</v>
          </cell>
          <cell r="E189">
            <v>0.21020262797504932</v>
          </cell>
        </row>
        <row r="190">
          <cell r="C190">
            <v>-0.86745799999999995</v>
          </cell>
          <cell r="D190">
            <v>-0.745</v>
          </cell>
          <cell r="E190">
            <v>-0.16437315436241604</v>
          </cell>
        </row>
        <row r="191">
          <cell r="C191">
            <v>91.677432595363783</v>
          </cell>
          <cell r="D191">
            <v>75.782000000000011</v>
          </cell>
          <cell r="E191">
            <v>0.20975208618621533</v>
          </cell>
        </row>
        <row r="192">
          <cell r="C192">
            <v>0.35313564428391636</v>
          </cell>
          <cell r="D192">
            <v>0.32696590257577002</v>
          </cell>
        </row>
        <row r="193">
          <cell r="C193">
            <v>64.318477206670735</v>
          </cell>
          <cell r="D193">
            <v>44.540671502829987</v>
          </cell>
          <cell r="E193">
            <v>0.4440392350749387</v>
          </cell>
        </row>
        <row r="194">
          <cell r="C194">
            <v>0.30494788803427075</v>
          </cell>
          <cell r="D194">
            <v>0.25150328404490196</v>
          </cell>
        </row>
        <row r="214">
          <cell r="C214">
            <v>39.041887799999998</v>
          </cell>
          <cell r="D214">
            <v>37.934732734920885</v>
          </cell>
          <cell r="E214">
            <v>2.9185787937815597E-2</v>
          </cell>
        </row>
        <row r="215">
          <cell r="C215">
            <v>25.773887879999997</v>
          </cell>
          <cell r="D215">
            <v>23.729198380000014</v>
          </cell>
          <cell r="E215">
            <v>8.6167660080895728E-2</v>
          </cell>
        </row>
        <row r="216">
          <cell r="C216">
            <v>13.267999920000001</v>
          </cell>
          <cell r="D216">
            <v>14.205534354920871</v>
          </cell>
          <cell r="E216">
            <v>-6.5997829542829095E-2</v>
          </cell>
        </row>
        <row r="217">
          <cell r="C217">
            <v>33.281917243145948</v>
          </cell>
          <cell r="D217">
            <v>32.351696284853276</v>
          </cell>
          <cell r="E217">
            <v>2.8753390551833038E-2</v>
          </cell>
        </row>
        <row r="218">
          <cell r="C218">
            <v>5.75997055685405</v>
          </cell>
          <cell r="D218">
            <v>5.583036450067608</v>
          </cell>
          <cell r="E218">
            <v>3.1691375897124847E-2</v>
          </cell>
        </row>
        <row r="219">
          <cell r="C219">
            <v>0.14753309538618289</v>
          </cell>
          <cell r="D219">
            <v>0.14717479332411729</v>
          </cell>
        </row>
        <row r="220">
          <cell r="C220">
            <v>3.7483936968540501</v>
          </cell>
          <cell r="D220">
            <v>3.7996064500676074</v>
          </cell>
          <cell r="E220">
            <v>-1.3478436224005803E-2</v>
          </cell>
        </row>
        <row r="221">
          <cell r="C221">
            <v>9.6009540216291753E-2</v>
          </cell>
          <cell r="D221">
            <v>0.1001616770735773</v>
          </cell>
        </row>
        <row r="223">
          <cell r="C223">
            <v>-0.39605243000000001</v>
          </cell>
          <cell r="D223">
            <v>-0.59231653000000051</v>
          </cell>
        </row>
        <row r="224">
          <cell r="C224">
            <v>-0.39605243000000001</v>
          </cell>
          <cell r="D224">
            <v>-0.59231653000000051</v>
          </cell>
        </row>
        <row r="226">
          <cell r="C226">
            <v>6.1560229868540501</v>
          </cell>
          <cell r="D226">
            <v>6.1753529800676077</v>
          </cell>
          <cell r="E226">
            <v>-3.1301843434617606E-3</v>
          </cell>
        </row>
        <row r="227">
          <cell r="C227">
            <v>0.15767739045789816</v>
          </cell>
          <cell r="D227">
            <v>0.16278888856867774</v>
          </cell>
        </row>
        <row r="228">
          <cell r="C228">
            <v>4.1444461268540502</v>
          </cell>
          <cell r="D228">
            <v>4.3919229800676076</v>
          </cell>
          <cell r="E228">
            <v>-5.6348176945887112E-2</v>
          </cell>
        </row>
        <row r="229">
          <cell r="C229">
            <v>0.10615383528800701</v>
          </cell>
          <cell r="D229">
            <v>0.11577577231813775</v>
          </cell>
        </row>
      </sheetData>
      <sheetData sheetId="4"/>
      <sheetData sheetId="5"/>
      <sheetData sheetId="6"/>
      <sheetData sheetId="7">
        <row r="14">
          <cell r="C14">
            <v>329.065</v>
          </cell>
          <cell r="D14">
            <v>341.92</v>
          </cell>
          <cell r="E14">
            <v>-3.7596513804398741</v>
          </cell>
        </row>
        <row r="15">
          <cell r="C15">
            <v>59.667999999999999</v>
          </cell>
          <cell r="D15">
            <v>67.951999999999998</v>
          </cell>
          <cell r="E15">
            <v>-12.190958323522485</v>
          </cell>
        </row>
        <row r="16">
          <cell r="C16">
            <v>0.1813258778660751</v>
          </cell>
          <cell r="D16">
            <v>0.19873654656059894</v>
          </cell>
        </row>
        <row r="17">
          <cell r="C17">
            <v>43.478000000000002</v>
          </cell>
          <cell r="D17">
            <v>44.686999999999998</v>
          </cell>
          <cell r="E17">
            <v>-2.7054848166133243</v>
          </cell>
        </row>
        <row r="18">
          <cell r="C18">
            <v>0.13212587178824853</v>
          </cell>
          <cell r="D18">
            <v>0.13069431445952268</v>
          </cell>
        </row>
        <row r="20">
          <cell r="C20">
            <v>2016</v>
          </cell>
          <cell r="D20">
            <v>2015</v>
          </cell>
          <cell r="E20" t="str">
            <v>Var. %</v>
          </cell>
        </row>
        <row r="22">
          <cell r="C22">
            <v>377.99799999999999</v>
          </cell>
          <cell r="D22">
            <v>341.92</v>
          </cell>
          <cell r="E22">
            <v>10.551591015442201</v>
          </cell>
        </row>
        <row r="23">
          <cell r="C23">
            <v>81.62</v>
          </cell>
          <cell r="D23">
            <v>67.951999999999998</v>
          </cell>
          <cell r="E23">
            <v>20.114198257593603</v>
          </cell>
        </row>
        <row r="24">
          <cell r="C24">
            <v>0.21592706839718731</v>
          </cell>
          <cell r="D24">
            <v>0.19873654656059894</v>
          </cell>
        </row>
        <row r="25">
          <cell r="C25">
            <v>62.866999999999997</v>
          </cell>
          <cell r="D25">
            <v>44.686999999999998</v>
          </cell>
          <cell r="E25">
            <v>40.682972676617361</v>
          </cell>
        </row>
        <row r="26">
          <cell r="C26">
            <v>0.16631569479203592</v>
          </cell>
          <cell r="D26">
            <v>0.13069431445952268</v>
          </cell>
        </row>
        <row r="28">
          <cell r="C28">
            <v>2016</v>
          </cell>
          <cell r="D28">
            <v>2015</v>
          </cell>
          <cell r="E28" t="str">
            <v>Var. %</v>
          </cell>
        </row>
        <row r="29">
          <cell r="C29">
            <v>324.54700000000003</v>
          </cell>
          <cell r="D29">
            <v>336.43200000000002</v>
          </cell>
          <cell r="E29">
            <v>-3.5326603890236332</v>
          </cell>
        </row>
        <row r="30">
          <cell r="C30">
            <v>55.005000000000003</v>
          </cell>
          <cell r="D30">
            <v>55.82</v>
          </cell>
          <cell r="E30">
            <v>-1.4600501612325292</v>
          </cell>
        </row>
        <row r="31">
          <cell r="C31">
            <v>0.16948238621832892</v>
          </cell>
          <cell r="D31">
            <v>0.16591762971417701</v>
          </cell>
        </row>
        <row r="32">
          <cell r="C32">
            <v>39.045000000000002</v>
          </cell>
          <cell r="D32">
            <v>32.86</v>
          </cell>
          <cell r="E32">
            <v>18.822276323797936</v>
          </cell>
        </row>
        <row r="33">
          <cell r="C33">
            <v>0.12030614980264799</v>
          </cell>
          <cell r="D33">
            <v>9.7672040709563882E-2</v>
          </cell>
        </row>
        <row r="34">
          <cell r="C34">
            <v>-7.476</v>
          </cell>
          <cell r="D34">
            <v>-13.265000000000001</v>
          </cell>
          <cell r="E34">
            <v>43.641160949868073</v>
          </cell>
        </row>
        <row r="35">
          <cell r="C35">
            <v>-16.8</v>
          </cell>
          <cell r="D35">
            <v>-27.515000000000001</v>
          </cell>
          <cell r="E35">
            <v>38.942395057241505</v>
          </cell>
        </row>
        <row r="36">
          <cell r="C36">
            <v>9.3239999999999998</v>
          </cell>
          <cell r="D36">
            <v>14.25</v>
          </cell>
          <cell r="E36">
            <v>-34.568421052631578</v>
          </cell>
        </row>
        <row r="37">
          <cell r="C37">
            <v>0.65800000000000003</v>
          </cell>
          <cell r="D37">
            <v>0.81200000000000006</v>
          </cell>
          <cell r="E37">
            <v>-18.965517241379313</v>
          </cell>
        </row>
        <row r="38">
          <cell r="C38">
            <v>32.226999999999997</v>
          </cell>
          <cell r="D38">
            <v>20.407</v>
          </cell>
          <cell r="E38">
            <v>57.921301514186297</v>
          </cell>
        </row>
        <row r="39">
          <cell r="C39">
            <v>13.688000000000001</v>
          </cell>
          <cell r="D39">
            <v>5.601</v>
          </cell>
          <cell r="E39">
            <v>144.38493126227459</v>
          </cell>
        </row>
        <row r="40">
          <cell r="C40">
            <v>5.6000000000000001E-2</v>
          </cell>
          <cell r="D40">
            <v>0.64400000000000002</v>
          </cell>
          <cell r="E40">
            <v>-91.304347826086953</v>
          </cell>
        </row>
        <row r="41">
          <cell r="C41">
            <v>5.6429999999999998</v>
          </cell>
          <cell r="D41">
            <v>6.766</v>
          </cell>
          <cell r="E41">
            <v>-16.597694354123561</v>
          </cell>
        </row>
        <row r="42">
          <cell r="C42">
            <v>12.95</v>
          </cell>
          <cell r="D42">
            <v>8.6829999999999998</v>
          </cell>
          <cell r="E42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M102"/>
  <sheetViews>
    <sheetView tabSelected="1" topLeftCell="W1" workbookViewId="0">
      <selection activeCell="AE36" sqref="AE36"/>
    </sheetView>
  </sheetViews>
  <sheetFormatPr baseColWidth="10" defaultRowHeight="15"/>
  <cols>
    <col min="1" max="1" width="18.5703125" style="2" bestFit="1" customWidth="1"/>
    <col min="2" max="2" width="49" style="2" customWidth="1"/>
    <col min="3" max="3" width="11.42578125" style="2"/>
    <col min="4" max="4" width="19.28515625" style="2" bestFit="1" customWidth="1"/>
    <col min="5" max="5" width="7.140625" style="2" bestFit="1" customWidth="1"/>
    <col min="6" max="6" width="11.42578125" style="2"/>
    <col min="7" max="7" width="36.7109375" style="2" bestFit="1" customWidth="1"/>
    <col min="8" max="11" width="11.42578125" style="2"/>
    <col min="12" max="12" width="44.42578125" style="2" bestFit="1" customWidth="1"/>
    <col min="13" max="16" width="11.42578125" style="2"/>
    <col min="17" max="17" width="49.28515625" style="2" customWidth="1"/>
    <col min="18" max="20" width="11.42578125" style="2"/>
    <col min="21" max="21" width="2.42578125" style="2" customWidth="1"/>
    <col min="22" max="22" width="11.42578125" style="2"/>
    <col min="23" max="23" width="49.7109375" style="2" customWidth="1"/>
    <col min="24" max="26" width="11.42578125" style="2"/>
    <col min="27" max="27" width="2.140625" style="2" customWidth="1"/>
    <col min="28" max="28" width="11.42578125" style="2"/>
    <col min="29" max="29" width="48.85546875" style="2" customWidth="1"/>
    <col min="30" max="32" width="11.42578125" style="2"/>
    <col min="33" max="33" width="2.42578125" style="2" customWidth="1"/>
    <col min="34" max="34" width="11.42578125" style="2"/>
    <col min="35" max="35" width="34" style="2" customWidth="1"/>
    <col min="36" max="38" width="11.42578125" style="2"/>
    <col min="39" max="39" width="3" style="2" customWidth="1"/>
    <col min="40" max="16384" width="11.42578125" style="2"/>
  </cols>
  <sheetData>
    <row r="5" spans="1:39" ht="15.75" thickBot="1"/>
    <row r="6" spans="1:39" ht="15.75" thickBot="1">
      <c r="A6" s="2" t="s">
        <v>6</v>
      </c>
      <c r="B6" s="162" t="s">
        <v>3</v>
      </c>
    </row>
    <row r="7" spans="1:39">
      <c r="A7" s="2" t="s">
        <v>7</v>
      </c>
    </row>
    <row r="8" spans="1:39">
      <c r="A8" s="2" t="s">
        <v>8</v>
      </c>
    </row>
    <row r="10" spans="1:39" ht="16.5" customHeight="1">
      <c r="B10" s="17" t="str">
        <f>+IF($B$6="esp","CUENTA DE PÉRDIDAS Y GANANCIAS CONSOLIDADA","Consolidated P&amp;L ")</f>
        <v>CUENTA DE PÉRDIDAS Y GANANCIAS CONSOLIDADA</v>
      </c>
      <c r="C10" s="163"/>
      <c r="D10" s="68" t="str">
        <f>+IF($B$6="esp","ENERO-MARZO","JANUARY-MARCH")</f>
        <v>ENERO-MARZO</v>
      </c>
      <c r="E10" s="68"/>
      <c r="G10" s="17" t="str">
        <f>+IF($B$6="esp","Millones de euros","Eur Million")</f>
        <v>Millones de euros</v>
      </c>
      <c r="H10" s="68"/>
      <c r="I10" s="68" t="str">
        <f>+D10</f>
        <v>ENERO-MARZO</v>
      </c>
      <c r="J10" s="68"/>
      <c r="L10" s="17" t="str">
        <f>+IF($B$6="esp","Resultados Operativos del Grupo","Group Operating Results")</f>
        <v>Resultados Operativos del Grupo</v>
      </c>
      <c r="M10" s="164"/>
      <c r="N10" s="164" t="str">
        <f>+D10</f>
        <v>ENERO-MARZO</v>
      </c>
      <c r="O10" s="164"/>
      <c r="Q10" s="33" t="str">
        <f>+IF($B$6="esp","EDUCACIÓN","EDUCATION")</f>
        <v>EDUCACIÓN</v>
      </c>
      <c r="R10" s="68"/>
      <c r="S10" s="68" t="str">
        <f>+N10</f>
        <v>ENERO-MARZO</v>
      </c>
      <c r="T10" s="68"/>
      <c r="U10" s="30"/>
      <c r="W10" s="33" t="str">
        <f>+IF($B$6="esp","RADIO","RADIO")</f>
        <v>RADIO</v>
      </c>
      <c r="X10" s="68"/>
      <c r="Y10" s="68" t="str">
        <f>+S10</f>
        <v>ENERO-MARZO</v>
      </c>
      <c r="Z10" s="68"/>
      <c r="AA10" s="30"/>
      <c r="AC10" s="33" t="str">
        <f>+IF($B$6="esp","PRENSA","PRESS")</f>
        <v>PRENSA</v>
      </c>
      <c r="AD10" s="68"/>
      <c r="AE10" s="68" t="str">
        <f>+Y10</f>
        <v>ENERO-MARZO</v>
      </c>
      <c r="AF10" s="68"/>
      <c r="AG10" s="30"/>
      <c r="AI10" s="33" t="s">
        <v>2</v>
      </c>
      <c r="AJ10" s="68"/>
      <c r="AK10" s="68" t="str">
        <f>+AE10</f>
        <v>ENERO-MARZO</v>
      </c>
      <c r="AL10" s="68"/>
      <c r="AM10" s="30"/>
    </row>
    <row r="11" spans="1:39">
      <c r="B11" s="4" t="str">
        <f>+IF($B$6="esp","Millones de euros","Eur Million")</f>
        <v>Millones de euros</v>
      </c>
      <c r="C11" s="3"/>
      <c r="D11" s="3"/>
      <c r="E11" s="3"/>
      <c r="G11" s="3"/>
      <c r="H11" s="3"/>
      <c r="I11" s="3"/>
      <c r="J11" s="3"/>
      <c r="L11" s="3"/>
      <c r="M11" s="3"/>
      <c r="N11" s="3"/>
      <c r="O11" s="3"/>
      <c r="Q11" s="4" t="str">
        <f>+IF($B$6="esp","Millones de euros","Eur Million")</f>
        <v>Millones de euros</v>
      </c>
      <c r="R11" s="31"/>
      <c r="S11" s="31"/>
      <c r="T11" s="32"/>
      <c r="U11" s="32"/>
      <c r="W11" s="33" t="str">
        <f>+IF($B$6="esp","Millones de euros","Eur Million")</f>
        <v>Millones de euros</v>
      </c>
      <c r="X11" s="31"/>
      <c r="Y11" s="31"/>
      <c r="Z11" s="32"/>
      <c r="AA11" s="32"/>
      <c r="AC11" s="33" t="str">
        <f>+IF($B$6="esp","Millones de euros","Eur Million")</f>
        <v>Millones de euros</v>
      </c>
      <c r="AD11" s="31"/>
      <c r="AE11" s="31"/>
      <c r="AF11" s="32"/>
      <c r="AG11" s="32"/>
      <c r="AI11" s="33" t="str">
        <f>+IF($B$6="esp","Millones de euros","Eur Million")</f>
        <v>Millones de euros</v>
      </c>
      <c r="AJ11" s="31"/>
      <c r="AK11" s="31"/>
      <c r="AL11" s="32"/>
      <c r="AM11" s="32"/>
    </row>
    <row r="12" spans="1:39" ht="15.75" customHeight="1">
      <c r="C12" s="5">
        <f>+[1]inicializar!$R$14</f>
        <v>2016</v>
      </c>
      <c r="D12" s="5">
        <f>+[1]inicializar!$R$17</f>
        <v>2015</v>
      </c>
      <c r="E12" s="6" t="str">
        <f>+IF($B$6="ESP","Var. %","% Chg.")</f>
        <v>Var. %</v>
      </c>
      <c r="H12" s="5">
        <v>2016</v>
      </c>
      <c r="I12" s="5">
        <v>2015</v>
      </c>
      <c r="J12" s="6" t="str">
        <f>+E12</f>
        <v>Var. %</v>
      </c>
      <c r="L12" s="17" t="str">
        <f>+IF($B$6="esp","Millones de euros","Eur Million")</f>
        <v>Millones de euros</v>
      </c>
      <c r="M12" s="5">
        <f>+[1]inicializar!$R$14</f>
        <v>2016</v>
      </c>
      <c r="N12" s="5">
        <f>+[1]inicializar!$R$17</f>
        <v>2015</v>
      </c>
      <c r="O12" s="6" t="str">
        <f>+$E$12</f>
        <v>Var. %</v>
      </c>
      <c r="R12" s="34">
        <f>+$C$12</f>
        <v>2016</v>
      </c>
      <c r="S12" s="34">
        <f>+$D$12</f>
        <v>2015</v>
      </c>
      <c r="T12" s="35" t="str">
        <f>+$E$12</f>
        <v>Var. %</v>
      </c>
      <c r="U12" s="36"/>
      <c r="X12" s="34">
        <f>+$C$12</f>
        <v>2016</v>
      </c>
      <c r="Y12" s="34">
        <f>+$D$12</f>
        <v>2015</v>
      </c>
      <c r="Z12" s="34" t="str">
        <f>+$E$12</f>
        <v>Var. %</v>
      </c>
      <c r="AA12" s="36"/>
      <c r="AD12" s="34">
        <f>+$C$12</f>
        <v>2016</v>
      </c>
      <c r="AE12" s="34">
        <f>+$D$12</f>
        <v>2015</v>
      </c>
      <c r="AF12" s="34" t="str">
        <f>+$E$12</f>
        <v>Var. %</v>
      </c>
      <c r="AG12" s="36"/>
      <c r="AI12" s="4"/>
      <c r="AJ12" s="34">
        <f>+$C$12</f>
        <v>2016</v>
      </c>
      <c r="AK12" s="34">
        <f>+$D$12</f>
        <v>2015</v>
      </c>
      <c r="AL12" s="34" t="str">
        <f>+$E$12</f>
        <v>Var. %</v>
      </c>
      <c r="AM12" s="36"/>
    </row>
    <row r="13" spans="1:39">
      <c r="B13" s="17" t="str">
        <f>+IF($B$6="esp","Resultados de explotación ajustados","Operating adjusted results")</f>
        <v>Resultados de explotación ajustados</v>
      </c>
      <c r="G13" s="17" t="str">
        <f>+IF($B$6="esp","Resultados de explotación ajustados","Adjusted operating results")</f>
        <v>Resultados de explotación ajustados</v>
      </c>
      <c r="H13" s="12"/>
      <c r="I13" s="12"/>
      <c r="J13" s="12"/>
      <c r="L13" s="3"/>
      <c r="M13" s="12"/>
      <c r="N13" s="12"/>
      <c r="O13" s="12"/>
      <c r="Q13" s="17" t="str">
        <f>+IF($B$6="esp","Resultados de explotación ajustados","Adjusted operating results")</f>
        <v>Resultados de explotación ajustados</v>
      </c>
      <c r="W13" s="17" t="str">
        <f>+IF($B$6="esp","Resultados de explotación ajustados","Adjusted operating results")</f>
        <v>Resultados de explotación ajustados</v>
      </c>
      <c r="AC13" s="17" t="str">
        <f>+IF($B$6="esp","Resultados de explotación ajustados","Adjusted operating results")</f>
        <v>Resultados de explotación ajustados</v>
      </c>
      <c r="AI13" s="17" t="str">
        <f>+IF($B$6="esp","Resultados de explotación ajustados","Adjusted operating results")</f>
        <v>Resultados de explotación ajustados</v>
      </c>
    </row>
    <row r="14" spans="1:39">
      <c r="B14" s="13" t="str">
        <f>+IF($B$6="esp","Ingresos de explotación ajustados","Adjusted Operating Revenues")</f>
        <v>Ingresos de explotación ajustados</v>
      </c>
      <c r="C14" s="26">
        <f>+[1]tablas_FMA!C14</f>
        <v>329.065</v>
      </c>
      <c r="D14" s="26">
        <f>+[1]tablas_FMA!D14</f>
        <v>341.92</v>
      </c>
      <c r="E14" s="26">
        <f>+[1]tablas_FMA!E14</f>
        <v>-3.7596513804398741</v>
      </c>
      <c r="G14" s="28" t="str">
        <f>+IF($B$6="esp","Ingresos de explotación ajustados","Adjusted Operating Revenues")</f>
        <v>Ingresos de explotación ajustados</v>
      </c>
      <c r="H14" s="69">
        <v>329.06483265256281</v>
      </c>
      <c r="I14" s="69">
        <v>341.92026929266245</v>
      </c>
      <c r="J14" s="165">
        <v>-3.7597761216946711E-2</v>
      </c>
      <c r="L14" s="18" t="str">
        <f>+IF($B$6="esp","Ingresos de explotación","Operating Revenues")</f>
        <v>Ingresos de explotación</v>
      </c>
      <c r="M14" s="70">
        <v>324.54700000000003</v>
      </c>
      <c r="N14" s="70">
        <v>336.43200000000002</v>
      </c>
      <c r="O14" s="21">
        <v>-3.5326603890236332</v>
      </c>
      <c r="Q14" s="57" t="str">
        <f>+IF($B$6="esp","Ingresos ajustados","Adjusted Revenue")</f>
        <v>Ingresos ajustados</v>
      </c>
      <c r="R14" s="71">
        <f>+[1]UN!C168</f>
        <v>168.323294579162</v>
      </c>
      <c r="S14" s="71">
        <f>+[1]UN!D168</f>
        <v>177.09777298525432</v>
      </c>
      <c r="T14" s="58">
        <f>+[1]UN!E168</f>
        <v>-4.9545955650288818E-2</v>
      </c>
      <c r="U14" s="39"/>
      <c r="W14" s="57" t="str">
        <f>+IF($B$6="esp","Ingresos ajustados","Adjusted Revenues")</f>
        <v>Ingresos ajustados</v>
      </c>
      <c r="X14" s="71">
        <f>+[1]UN!C86</f>
        <v>64.401608833084396</v>
      </c>
      <c r="Y14" s="71">
        <f>+[1]UN!D86</f>
        <v>71.119726923404798</v>
      </c>
      <c r="Z14" s="58">
        <f>+[1]UN!E86</f>
        <v>-9.4462090631418555E-2</v>
      </c>
      <c r="AA14" s="72"/>
      <c r="AC14" s="57" t="str">
        <f>+IF($B$6="esp","Ingresos ajustados","Adjusted Revenues")</f>
        <v>Ingresos ajustados</v>
      </c>
      <c r="AD14" s="73">
        <f>+[1]UN!C32</f>
        <v>57.236800756516104</v>
      </c>
      <c r="AE14" s="74">
        <f>+[1]UN!D32</f>
        <v>55.976589645665314</v>
      </c>
      <c r="AF14" s="62">
        <f>+[1]UN!E32</f>
        <v>2.2513181292893883E-2</v>
      </c>
      <c r="AG14" s="75"/>
      <c r="AI14" s="51" t="str">
        <f>+IF($B$6="esp","Ingresos ajustados ","Adjusted Revenues")</f>
        <v xml:space="preserve">Ingresos ajustados </v>
      </c>
      <c r="AJ14" s="74">
        <v>39.041887799999998</v>
      </c>
      <c r="AK14" s="74">
        <v>37.934732734920885</v>
      </c>
      <c r="AL14" s="62">
        <v>2.9185787937815597E-2</v>
      </c>
      <c r="AM14" s="76"/>
    </row>
    <row r="15" spans="1:39">
      <c r="B15" s="13" t="str">
        <f>+IF($B$6="esp","EBITDA ajustado","Adjusted EBITDA")</f>
        <v>EBITDA ajustado</v>
      </c>
      <c r="C15" s="26">
        <f>+[1]tablas_FMA!C15</f>
        <v>59.667999999999999</v>
      </c>
      <c r="D15" s="26">
        <f>+[1]tablas_FMA!D15</f>
        <v>67.951999999999998</v>
      </c>
      <c r="E15" s="26">
        <f>+[1]tablas_FMA!E15</f>
        <v>-12.190958323522485</v>
      </c>
      <c r="G15" s="29" t="str">
        <f>+IF($B$6="esp","España","Spain")</f>
        <v>España</v>
      </c>
      <c r="H15" s="23">
        <v>97.462344561896259</v>
      </c>
      <c r="I15" s="23">
        <v>97.572226837040887</v>
      </c>
      <c r="J15" s="166">
        <v>-1.1261634453433801E-3</v>
      </c>
      <c r="L15" s="22" t="str">
        <f>+IF($B$6="esp","España","Spain")</f>
        <v>España</v>
      </c>
      <c r="M15" s="77">
        <v>97.462000000000003</v>
      </c>
      <c r="N15" s="77">
        <v>97.572000000000003</v>
      </c>
      <c r="O15" s="168">
        <v>-0.1127372606895415</v>
      </c>
      <c r="Q15" s="59" t="str">
        <f>+IF($B$6="esp","España","Spain")</f>
        <v>España</v>
      </c>
      <c r="R15" s="65">
        <f>+[1]UN!C169</f>
        <v>1.5789665669276474</v>
      </c>
      <c r="S15" s="65">
        <f>+[1]UN!D169</f>
        <v>1.2557729852543105</v>
      </c>
      <c r="T15" s="60">
        <f>+[1]UN!E169</f>
        <v>0.25736624809450409</v>
      </c>
      <c r="U15" s="39"/>
      <c r="W15" s="59" t="str">
        <f>+IF($B$6="esp","España","Spain")</f>
        <v>España</v>
      </c>
      <c r="X15" s="65">
        <f>+[1]UN!C87</f>
        <v>40.061978259999997</v>
      </c>
      <c r="Y15" s="65">
        <f>+[1]UN!D87</f>
        <v>42.713421090000026</v>
      </c>
      <c r="Z15" s="60">
        <f>+[1]UN!E87</f>
        <v>-6.2075168936088311E-2</v>
      </c>
      <c r="AC15" s="27" t="str">
        <f>+IF($B$6="esp","Publicidad","Advertising")</f>
        <v>Publicidad</v>
      </c>
      <c r="AD15" s="78">
        <f>+[1]UN!C33</f>
        <v>23.7989964168912</v>
      </c>
      <c r="AE15" s="79">
        <f>+[1]UN!D33</f>
        <v>22.917547324587652</v>
      </c>
      <c r="AF15" s="63">
        <f>+[1]UN!E33</f>
        <v>3.8461755083095808E-2</v>
      </c>
      <c r="AG15" s="80"/>
      <c r="AI15" s="51" t="str">
        <f>+IF($B$6="esp","EBITDA ajustado","Adjusted EBITDA")</f>
        <v>EBITDA ajustado</v>
      </c>
      <c r="AJ15" s="74">
        <f>+[1]UN!C226</f>
        <v>6.1560229868540501</v>
      </c>
      <c r="AK15" s="74">
        <f>+[1]UN!D226</f>
        <v>6.1753529800676077</v>
      </c>
      <c r="AL15" s="62">
        <f>+[1]UN!E226</f>
        <v>-3.1301843434617606E-3</v>
      </c>
      <c r="AM15" s="42"/>
    </row>
    <row r="16" spans="1:39">
      <c r="B16" s="14" t="str">
        <f>+IF($B$6="esp","Margen EBITDA ajustado","Adjusted EBITDA Margin")</f>
        <v>Margen EBITDA ajustado</v>
      </c>
      <c r="C16" s="15">
        <f>+[1]tablas_FMA!C16</f>
        <v>0.1813258778660751</v>
      </c>
      <c r="D16" s="16">
        <f>+[1]tablas_FMA!D16</f>
        <v>0.19873654656059894</v>
      </c>
      <c r="E16" s="16">
        <f>+[1]tablas_FMA!E16</f>
        <v>0</v>
      </c>
      <c r="G16" s="29" t="str">
        <f>+IF($B$6="esp","Internacional","International")</f>
        <v>Internacional</v>
      </c>
      <c r="H16" s="23">
        <v>231.60248809066655</v>
      </c>
      <c r="I16" s="23">
        <v>244.34804245562157</v>
      </c>
      <c r="J16" s="166">
        <v>-5.2161475233712395E-2</v>
      </c>
      <c r="L16" s="22" t="str">
        <f>+IF($B$6="esp","Portugal","Portugal")</f>
        <v>Portugal</v>
      </c>
      <c r="M16" s="77">
        <v>38.481999999999999</v>
      </c>
      <c r="N16" s="77">
        <v>37.026000000000003</v>
      </c>
      <c r="O16" s="23">
        <v>3.9323718468103381</v>
      </c>
      <c r="Q16" s="59" t="str">
        <f>+IF($B$6="esp","Internacional","International")</f>
        <v>Internacional</v>
      </c>
      <c r="R16" s="65">
        <f>+[1]UN!C170</f>
        <v>166.74432801223435</v>
      </c>
      <c r="S16" s="65">
        <f>+[1]UN!D170</f>
        <v>175.84200000000001</v>
      </c>
      <c r="T16" s="60">
        <f>+[1]UN!E170</f>
        <v>-5.1737764514539555E-2</v>
      </c>
      <c r="U16" s="39"/>
      <c r="W16" s="59" t="str">
        <f>+IF($B$6="esp","Latam","Latam")</f>
        <v>Latam</v>
      </c>
      <c r="X16" s="65">
        <f>+[1]UN!C88</f>
        <v>24.331490056704904</v>
      </c>
      <c r="Y16" s="65">
        <f>+[1]UN!D88</f>
        <v>29.008881172963495</v>
      </c>
      <c r="Z16" s="60">
        <f>+[1]UN!E88</f>
        <v>-0.16123996952415923</v>
      </c>
      <c r="AC16" s="27" t="str">
        <f>+IF($B$6= "esp","Circulación", "Circulation")</f>
        <v>Circulación</v>
      </c>
      <c r="AD16" s="78">
        <f>+[1]UN!C34</f>
        <v>23.369312739997298</v>
      </c>
      <c r="AE16" s="79">
        <f>+[1]UN!D34</f>
        <v>24.362024231602604</v>
      </c>
      <c r="AF16" s="63">
        <f>+[1]UN!E34</f>
        <v>-4.074831722388457E-2</v>
      </c>
      <c r="AG16" s="80"/>
      <c r="AI16" s="27" t="str">
        <f>+IF($B$6="esp","% margen ajustado","% adjusted margin")</f>
        <v>% margen ajustado</v>
      </c>
      <c r="AJ16" s="63">
        <f>+[1]UN!C227</f>
        <v>0.15767739045789816</v>
      </c>
      <c r="AK16" s="63">
        <f>+[1]UN!D227</f>
        <v>0.16278888856867774</v>
      </c>
      <c r="AL16" s="63"/>
      <c r="AM16" s="82"/>
    </row>
    <row r="17" spans="2:39">
      <c r="B17" s="13" t="str">
        <f>+IF($B$6="esp","EBIT ajustado","Adjusted EBIT")</f>
        <v>EBIT ajustado</v>
      </c>
      <c r="C17" s="26">
        <f>+[1]tablas_FMA!C17</f>
        <v>43.478000000000002</v>
      </c>
      <c r="D17" s="26">
        <f>+[1]tablas_FMA!D17</f>
        <v>44.686999999999998</v>
      </c>
      <c r="E17" s="26">
        <f>+[1]tablas_FMA!E17</f>
        <v>-2.7054848166133243</v>
      </c>
      <c r="G17" s="83" t="str">
        <f>+IF($B$6="esp","Portugal","Portugal")</f>
        <v>Portugal</v>
      </c>
      <c r="H17" s="23">
        <v>38.482127789999993</v>
      </c>
      <c r="I17" s="23">
        <v>37.026000000000003</v>
      </c>
      <c r="J17" s="166">
        <v>3.9327169826608041E-2</v>
      </c>
      <c r="L17" s="22" t="str">
        <f>+IF($B$6="esp","Latam","Latam")</f>
        <v>Latam</v>
      </c>
      <c r="M17" s="77">
        <v>188.602</v>
      </c>
      <c r="N17" s="77">
        <v>201.834</v>
      </c>
      <c r="O17" s="23">
        <v>-6.555882556952743</v>
      </c>
      <c r="Q17" s="61" t="str">
        <f>+IF($B$6="esp","Portugal","Portugal")</f>
        <v>Portugal</v>
      </c>
      <c r="R17" s="65">
        <f>+[1]UN!C171</f>
        <v>3.2267999999999998E-2</v>
      </c>
      <c r="S17" s="65">
        <f>+[1]UN!D171</f>
        <v>3.7999999999999999E-2</v>
      </c>
      <c r="T17" s="60">
        <f>+[1]UN!E171</f>
        <v>-0.15084210526315792</v>
      </c>
      <c r="U17" s="39"/>
      <c r="W17" s="59" t="str">
        <f>+IF($B$6="esp","Ajustes y Otros","Adjustnents &amp; others")</f>
        <v>Ajustes y Otros</v>
      </c>
      <c r="X17" s="195">
        <f>+[1]UN!C89</f>
        <v>8.1405163794947555E-3</v>
      </c>
      <c r="Y17" s="195">
        <f>+[1]UN!D89</f>
        <v>-0.34257533955872232</v>
      </c>
      <c r="Z17" s="60"/>
      <c r="AC17" s="27" t="str">
        <f>+IF($B$6= "esp","Promociones y otros", "Add-ons and others")</f>
        <v>Promociones y otros</v>
      </c>
      <c r="AD17" s="78">
        <f>+[1]UN!C35</f>
        <v>10.068491599627606</v>
      </c>
      <c r="AE17" s="79">
        <f>+[1]UN!D35</f>
        <v>8.6970180894750584</v>
      </c>
      <c r="AF17" s="63">
        <f>+[1]UN!E35</f>
        <v>0.15769468294107322</v>
      </c>
      <c r="AG17" s="80"/>
      <c r="AI17" s="51" t="str">
        <f>+IF($B$6="esp","EBIT ajustado","Adjusted EBIT")</f>
        <v>EBIT ajustado</v>
      </c>
      <c r="AJ17" s="81">
        <f>+[1]UN!C228</f>
        <v>4.1444461268540502</v>
      </c>
      <c r="AK17" s="81">
        <f>+[1]UN!D228</f>
        <v>4.3919229800676076</v>
      </c>
      <c r="AL17" s="62">
        <f>+[1]UN!E228</f>
        <v>-5.6348176945887112E-2</v>
      </c>
      <c r="AM17" s="42"/>
    </row>
    <row r="18" spans="2:39">
      <c r="B18" s="14" t="str">
        <f>+IF($B$6="esp","Margen EBIT ajustado","Adjusted EBIT Margin")</f>
        <v>Margen EBIT ajustado</v>
      </c>
      <c r="C18" s="15">
        <f>+[1]tablas_FMA!C18</f>
        <v>0.13212587178824853</v>
      </c>
      <c r="D18" s="16">
        <f>+[1]tablas_FMA!D18</f>
        <v>0.13069431445952268</v>
      </c>
      <c r="E18" s="16"/>
      <c r="G18" s="83" t="str">
        <f>+IF($B$6="esp","Latam","Latam")</f>
        <v>Latam</v>
      </c>
      <c r="H18" s="23">
        <v>193.12036030066656</v>
      </c>
      <c r="I18" s="23">
        <v>207.32204245562156</v>
      </c>
      <c r="J18" s="166">
        <v>-6.8500589646636079E-2</v>
      </c>
      <c r="L18" s="18" t="str">
        <f>+IF($B$6="esp","Gastos de explotación","Operationg expenses")</f>
        <v>Gastos de explotación</v>
      </c>
      <c r="M18" s="70">
        <v>269.54199999999997</v>
      </c>
      <c r="N18" s="70">
        <v>280.61200000000002</v>
      </c>
      <c r="O18" s="24">
        <v>-3.9449488974099647</v>
      </c>
      <c r="Q18" s="61" t="str">
        <f>+IF($B$6="esp","Latam","Latam")</f>
        <v>Latam</v>
      </c>
      <c r="R18" s="65">
        <f>+[1]UN!C172</f>
        <v>166.71206001223436</v>
      </c>
      <c r="S18" s="65">
        <f>+[1]UN!D172</f>
        <v>175.804</v>
      </c>
      <c r="T18" s="60">
        <f>+[1]UN!E172</f>
        <v>-5.1716343130791348E-2</v>
      </c>
      <c r="U18" s="39"/>
      <c r="W18" s="57" t="str">
        <f>+IF($B$6="esp","EBITDA ajustado","Adjusted EBITDA")</f>
        <v>EBITDA ajustado</v>
      </c>
      <c r="X18" s="71">
        <f>+[1]UN!C90</f>
        <v>5.1020674203693606</v>
      </c>
      <c r="Y18" s="71">
        <f>+[1]UN!D90</f>
        <v>7.4467507806778492</v>
      </c>
      <c r="Z18" s="58">
        <f>+[1]UN!E90</f>
        <v>-0.31485992070424318</v>
      </c>
      <c r="AC18" s="57" t="str">
        <f>+IF($B$6="esp","EBITDA ajustado","Adjusted EBITDA")</f>
        <v>EBITDA ajustado</v>
      </c>
      <c r="AD18" s="73">
        <f>+[1]UN!C36</f>
        <v>1.3859668477446139</v>
      </c>
      <c r="AE18" s="196">
        <f>+[1]UN!D36</f>
        <v>-0.7488636501921796</v>
      </c>
      <c r="AF18" s="62" t="str">
        <f>+[1]UN!E36</f>
        <v>---</v>
      </c>
      <c r="AG18" s="80"/>
      <c r="AI18" s="27" t="str">
        <f>+IF($B$6="esp","% margen ajustado","% adjusted margin")</f>
        <v>% margen ajustado</v>
      </c>
      <c r="AJ18" s="63">
        <f>+[1]UN!C229</f>
        <v>0.10615383528800701</v>
      </c>
      <c r="AK18" s="63">
        <f>+[1]UN!D229</f>
        <v>0.11577577231813775</v>
      </c>
      <c r="AL18" s="63"/>
    </row>
    <row r="19" spans="2:39">
      <c r="G19" s="28" t="str">
        <f>+IF($B$6="esp","EBITDA ajustado","Adjusted EBITDA")</f>
        <v>EBITDA ajustado</v>
      </c>
      <c r="H19" s="69">
        <v>59.668304657940219</v>
      </c>
      <c r="I19" s="69">
        <v>67.952032044189693</v>
      </c>
      <c r="J19" s="165">
        <v>-0.12190551389048243</v>
      </c>
      <c r="L19" s="22" t="str">
        <f>+IF($B$6="esp","España","Spain")</f>
        <v>España</v>
      </c>
      <c r="M19" s="77">
        <v>117.02200000000001</v>
      </c>
      <c r="N19" s="77">
        <v>122.857</v>
      </c>
      <c r="O19" s="23">
        <v>-4.7494241272373516</v>
      </c>
      <c r="Q19" s="57" t="str">
        <f>+IF($B$6="esp","EBITDA ajustado","Adjusted EBITDA")</f>
        <v>EBITDA ajustado</v>
      </c>
      <c r="R19" s="71">
        <f>+[1]UN!C173</f>
        <v>52.868525107101398</v>
      </c>
      <c r="S19" s="71">
        <f>+[1]UN!D173</f>
        <v>57.904933188282499</v>
      </c>
      <c r="T19" s="58">
        <f>+[1]UN!E173</f>
        <v>-8.6977184911082084E-2</v>
      </c>
      <c r="U19" s="39"/>
      <c r="W19" s="59" t="str">
        <f>+W15</f>
        <v>España</v>
      </c>
      <c r="X19" s="65">
        <f>+[1]UN!C91</f>
        <v>2.0679224000000098</v>
      </c>
      <c r="Y19" s="65">
        <f>+[1]UN!D91</f>
        <v>2.4373382500000047</v>
      </c>
      <c r="Z19" s="60">
        <f>+[1]UN!E91</f>
        <v>-0.15156527822922986</v>
      </c>
      <c r="AC19" s="27" t="str">
        <f>+IF($B$6="esp","% margen ajustado","% adjusted margin")</f>
        <v>% margen ajustado</v>
      </c>
      <c r="AD19" s="84">
        <f>+[1]UN!C37</f>
        <v>2.4214610694970211E-2</v>
      </c>
      <c r="AE19" s="85">
        <f>+[1]UN!D37</f>
        <v>-1.3378157814410005E-2</v>
      </c>
      <c r="AF19" s="86"/>
      <c r="AG19" s="80"/>
      <c r="AM19" s="36"/>
    </row>
    <row r="20" spans="2:39">
      <c r="C20" s="87">
        <f>+[1]tablas_FMA!C20</f>
        <v>2016</v>
      </c>
      <c r="D20" s="87">
        <f>+[1]tablas_FMA!D20</f>
        <v>2015</v>
      </c>
      <c r="E20" s="6" t="str">
        <f>+[1]tablas_FMA!E20</f>
        <v>Var. %</v>
      </c>
      <c r="G20" s="29" t="str">
        <f>+G15</f>
        <v>España</v>
      </c>
      <c r="H20" s="23">
        <v>-17.893089583158577</v>
      </c>
      <c r="I20" s="23">
        <v>-17.765957707230754</v>
      </c>
      <c r="J20" s="166">
        <v>-7.155925845533242E-3</v>
      </c>
      <c r="L20" s="22" t="str">
        <f>+IF($B$6="esp","Portugal","Portugal")</f>
        <v>Portugal</v>
      </c>
      <c r="M20" s="77">
        <v>33.645000000000003</v>
      </c>
      <c r="N20" s="77">
        <v>32.374000000000002</v>
      </c>
      <c r="O20" s="23">
        <v>3.9259899919688661</v>
      </c>
      <c r="Q20" s="59" t="str">
        <f>+Q15</f>
        <v>España</v>
      </c>
      <c r="R20" s="65">
        <f>+[1]UN!C174</f>
        <v>-16.327914614067886</v>
      </c>
      <c r="S20" s="65">
        <f>+[1]UN!D174</f>
        <v>-17.132066811717507</v>
      </c>
      <c r="T20" s="60">
        <f>+[1]UN!E174</f>
        <v>4.6938422928611272E-2</v>
      </c>
      <c r="U20" s="39"/>
      <c r="W20" s="59" t="str">
        <f>+W16</f>
        <v>Latam</v>
      </c>
      <c r="X20" s="65">
        <f>+[1]UN!C92</f>
        <v>3.5862816950399004</v>
      </c>
      <c r="Y20" s="65">
        <f>+[1]UN!D92</f>
        <v>5.6800060387111229</v>
      </c>
      <c r="Z20" s="60">
        <f>+[1]UN!E92</f>
        <v>-0.36861304889498314</v>
      </c>
      <c r="AC20" s="57" t="str">
        <f>+IF($B$6="esp","EBIT ajustado","Adjusted EBIT")</f>
        <v>EBIT ajustado</v>
      </c>
      <c r="AD20" s="73">
        <f>+[1]UN!C38</f>
        <v>-0.98343251026651812</v>
      </c>
      <c r="AE20" s="88">
        <f>+[1]UN!D38</f>
        <v>-3.6635999510229058</v>
      </c>
      <c r="AF20" s="62">
        <f>+[1]UN!E38</f>
        <v>0.73156662206201417</v>
      </c>
      <c r="AG20" s="80"/>
      <c r="AI20" s="17" t="str">
        <f>+IF($B$6="esp","Resultados Reportados","Reported Results ")</f>
        <v>Resultados Reportados</v>
      </c>
      <c r="AJ20" s="34">
        <f>+$C$12</f>
        <v>2016</v>
      </c>
      <c r="AK20" s="34">
        <f>+$D$12</f>
        <v>2015</v>
      </c>
      <c r="AL20" s="34" t="str">
        <f>+$E$12</f>
        <v>Var. %</v>
      </c>
      <c r="AM20" s="91"/>
    </row>
    <row r="21" spans="2:39">
      <c r="B21" s="17" t="str">
        <f>+IF($B$6="esp","Resultados de explotación ajustados a tipo constante","Adjusted Operating results at cosntant currency")</f>
        <v>Resultados de explotación ajustados a tipo constante</v>
      </c>
      <c r="C21" s="92"/>
      <c r="D21" s="92"/>
      <c r="E21" s="93"/>
      <c r="G21" s="29" t="str">
        <f>+G16</f>
        <v>Internacional</v>
      </c>
      <c r="H21" s="23">
        <v>77.561394241098796</v>
      </c>
      <c r="I21" s="23">
        <v>85.717989751420447</v>
      </c>
      <c r="J21" s="166">
        <v>-9.5156168897281956E-2</v>
      </c>
      <c r="L21" s="22" t="str">
        <f>+IF($B$6="esp","Latam","Latam")</f>
        <v>Latam</v>
      </c>
      <c r="M21" s="77">
        <v>118.875</v>
      </c>
      <c r="N21" s="77">
        <v>125.381</v>
      </c>
      <c r="O21" s="23">
        <v>-5.1889839768385961</v>
      </c>
      <c r="Q21" s="59" t="str">
        <f>+Q16</f>
        <v>Internacional</v>
      </c>
      <c r="R21" s="65">
        <f>+[1]UN!C175</f>
        <v>69.196439721169284</v>
      </c>
      <c r="S21" s="65">
        <f>+[1]UN!D175</f>
        <v>75.037000000000006</v>
      </c>
      <c r="T21" s="60">
        <f>+[1]UN!E175</f>
        <v>-7.783573808695339E-2</v>
      </c>
      <c r="U21" s="39"/>
      <c r="W21" s="59" t="str">
        <f>+W17</f>
        <v>Ajustes y Otros</v>
      </c>
      <c r="X21" s="194">
        <f>+[1]UN!C93</f>
        <v>-0.55213667467054961</v>
      </c>
      <c r="Y21" s="194">
        <f>+[1]UN!D93</f>
        <v>-0.49059350803327878</v>
      </c>
      <c r="Z21" s="60"/>
      <c r="AC21" s="27" t="str">
        <f>+IF($B$6="esp","% margen ajustado","% adjusted margin")</f>
        <v>% margen ajustado</v>
      </c>
      <c r="AD21" s="84">
        <f>+[1]UN!C39</f>
        <v>-1.7181821787175266E-2</v>
      </c>
      <c r="AE21" s="85">
        <f>+[1]UN!D39</f>
        <v>-6.5448788041816794E-2</v>
      </c>
      <c r="AF21" s="86"/>
      <c r="AG21" s="80"/>
      <c r="AI21" s="37" t="str">
        <f>+IF($B$6="esp","Ingresos","Revenues")</f>
        <v>Ingresos</v>
      </c>
      <c r="AJ21" s="89">
        <f>+[1]UN!C214</f>
        <v>39.041887799999998</v>
      </c>
      <c r="AK21" s="89">
        <f>+[1]UN!D214</f>
        <v>37.934732734920885</v>
      </c>
      <c r="AL21" s="90">
        <f>+[1]UN!E214</f>
        <v>2.9185787937815597E-2</v>
      </c>
      <c r="AM21" s="96"/>
    </row>
    <row r="22" spans="2:39">
      <c r="B22" s="13" t="str">
        <f>+IF($B$6="esp","Ingresos de explotación","Operating revenues")</f>
        <v>Ingresos de explotación</v>
      </c>
      <c r="C22" s="97">
        <f>+[1]tablas_FMA!C22</f>
        <v>377.99799999999999</v>
      </c>
      <c r="D22" s="97">
        <f>+[1]tablas_FMA!D22</f>
        <v>341.92</v>
      </c>
      <c r="E22" s="97">
        <f>+[1]tablas_FMA!E22</f>
        <v>10.551591015442201</v>
      </c>
      <c r="G22" s="83" t="str">
        <f>+G17</f>
        <v>Portugal</v>
      </c>
      <c r="H22" s="23">
        <v>5.2302448959450976</v>
      </c>
      <c r="I22" s="23">
        <v>5.1589999999999998</v>
      </c>
      <c r="J22" s="166">
        <v>1.3809826699960798E-2</v>
      </c>
      <c r="L22" s="18" t="str">
        <f>+IF($B$6="esp","EBITDA","EBITDA")</f>
        <v>EBITDA</v>
      </c>
      <c r="M22" s="70">
        <v>55.005000000000003</v>
      </c>
      <c r="N22" s="70">
        <v>55.82</v>
      </c>
      <c r="O22" s="24">
        <v>-1.4600501612325292</v>
      </c>
      <c r="Q22" s="61" t="str">
        <f>+Q17</f>
        <v>Portugal</v>
      </c>
      <c r="R22" s="194">
        <f>+[1]UN!C176</f>
        <v>-0.86745799999999995</v>
      </c>
      <c r="S22" s="194">
        <f>+[1]UN!D176</f>
        <v>-0.745</v>
      </c>
      <c r="T22" s="60">
        <f>+[1]UN!E176</f>
        <v>-0.16437315436241604</v>
      </c>
      <c r="U22" s="39"/>
      <c r="W22" s="27" t="str">
        <f>+IF($B$6="esp","% margen ajustado","% adjusted margin")</f>
        <v>% margen ajustado</v>
      </c>
      <c r="X22" s="52">
        <f>+[1]UN!C94</f>
        <v>7.9222670253360605E-2</v>
      </c>
      <c r="Y22" s="52">
        <f>+[1]UN!D94</f>
        <v>0.10470724653791096</v>
      </c>
      <c r="Z22" s="53"/>
      <c r="AI22" s="29" t="str">
        <f>+IF($B$6="esp","Publicidad","Advertising")</f>
        <v>Publicidad</v>
      </c>
      <c r="AJ22" s="94">
        <f>+[1]UN!C215</f>
        <v>25.773887879999997</v>
      </c>
      <c r="AK22" s="94">
        <f>+[1]UN!D215</f>
        <v>23.729198380000014</v>
      </c>
      <c r="AL22" s="95">
        <f>+[1]UN!E215</f>
        <v>8.6167660080895728E-2</v>
      </c>
      <c r="AM22" s="82"/>
    </row>
    <row r="23" spans="2:39">
      <c r="B23" s="13" t="str">
        <f>+IF($B$6="esp","EBITDA a tipo constante","EBITDA at constant currency")</f>
        <v>EBITDA a tipo constante</v>
      </c>
      <c r="C23" s="97">
        <f>+[1]tablas_FMA!C23</f>
        <v>81.62</v>
      </c>
      <c r="D23" s="97">
        <f>+[1]tablas_FMA!D23</f>
        <v>67.951999999999998</v>
      </c>
      <c r="E23" s="97">
        <f>+[1]tablas_FMA!E23</f>
        <v>20.114198257593603</v>
      </c>
      <c r="G23" s="83" t="str">
        <f>+G18</f>
        <v>Latam</v>
      </c>
      <c r="H23" s="99">
        <v>72.331149345153705</v>
      </c>
      <c r="I23" s="99">
        <v>80.558989751420441</v>
      </c>
      <c r="J23" s="166">
        <v>-0.10213435436138474</v>
      </c>
      <c r="L23" s="25" t="str">
        <f>+IF($B$6="esp","Margen EBITDA","EBITDA Margin")</f>
        <v>Margen EBITDA</v>
      </c>
      <c r="M23" s="100">
        <v>0.16900000000000001</v>
      </c>
      <c r="N23" s="100">
        <v>0.16600000000000001</v>
      </c>
      <c r="O23" s="77" t="s">
        <v>10</v>
      </c>
      <c r="Q23" s="61" t="str">
        <f>+Q18</f>
        <v>Latam</v>
      </c>
      <c r="R23" s="65">
        <f>+[1]UN!C177</f>
        <v>70.063897721169283</v>
      </c>
      <c r="S23" s="65">
        <f>+[1]UN!D177</f>
        <v>75.782000000000011</v>
      </c>
      <c r="T23" s="60">
        <f>+[1]UN!E177</f>
        <v>-7.5454623509945987E-2</v>
      </c>
      <c r="U23" s="39"/>
      <c r="W23" s="57" t="str">
        <f>+IF($B$6="esp","EBIT ajustado","Adjusted EBIT")</f>
        <v>EBIT ajustado</v>
      </c>
      <c r="X23" s="71">
        <f>+[1]UN!C95</f>
        <v>2.7112725457554023</v>
      </c>
      <c r="Y23" s="71">
        <f>+[1]UN!D95</f>
        <v>4.3151322079635763</v>
      </c>
      <c r="Z23" s="58">
        <f>+[1]UN!E95</f>
        <v>-0.37168262405685998</v>
      </c>
      <c r="AC23" s="17" t="str">
        <f>+IF($B$6="esp","Resultados de explotación ajustados a tipo constante","Adjusted Operating results at cosntant currency")</f>
        <v>Resultados de explotación ajustados a tipo constante</v>
      </c>
      <c r="AD23" s="34">
        <f>+$C$12</f>
        <v>2016</v>
      </c>
      <c r="AE23" s="34">
        <f>+$D$12</f>
        <v>2015</v>
      </c>
      <c r="AF23" s="34" t="str">
        <f>+$E$12</f>
        <v>Var. %</v>
      </c>
      <c r="AG23" s="36"/>
      <c r="AI23" s="29" t="str">
        <f>+IF($B$6="esp","Otros","Other")</f>
        <v>Otros</v>
      </c>
      <c r="AJ23" s="98">
        <f>+[1]UN!C216</f>
        <v>13.267999920000001</v>
      </c>
      <c r="AK23" s="98">
        <f>+[1]UN!D216</f>
        <v>14.205534354920871</v>
      </c>
      <c r="AL23" s="95">
        <f>+[1]UN!E216</f>
        <v>-6.5997829542829095E-2</v>
      </c>
      <c r="AM23" s="102"/>
    </row>
    <row r="24" spans="2:39">
      <c r="B24" s="14" t="str">
        <f>+IF($B$6="esp","Margen EBITDA ajustado","Adjusted EBITDA Margin")</f>
        <v>Margen EBITDA ajustado</v>
      </c>
      <c r="C24" s="103">
        <f>+[1]tablas_FMA!C24</f>
        <v>0.21592706839718731</v>
      </c>
      <c r="D24" s="103">
        <f>+[1]tablas_FMA!D24</f>
        <v>0.19873654656059894</v>
      </c>
      <c r="E24" s="103">
        <f>+[1]tablas_FMA!E24</f>
        <v>0</v>
      </c>
      <c r="G24" s="25" t="str">
        <f>+IF($B$6="esp","Margen EBITDA ajustado","Adjusted EBITDA Margin")</f>
        <v>Margen EBITDA ajustado</v>
      </c>
      <c r="H24" s="100">
        <v>0.18132689590971857</v>
      </c>
      <c r="I24" s="100">
        <v>0.19873648375617939</v>
      </c>
      <c r="J24" s="167"/>
      <c r="L24" s="22" t="str">
        <f>+IF($B$6="esp","España","Spain")</f>
        <v>España</v>
      </c>
      <c r="M24" s="77">
        <v>-19.559999999999999</v>
      </c>
      <c r="N24" s="23">
        <v>-25.285</v>
      </c>
      <c r="O24" s="23">
        <v>22.64188253905478</v>
      </c>
      <c r="Q24" s="27" t="str">
        <f>+IF($B$6="esp","% margen ajustado","% adjusted margin")</f>
        <v>% margen ajustado</v>
      </c>
      <c r="R24" s="52">
        <f>+[1]UN!C178</f>
        <v>0.31408917725429542</v>
      </c>
      <c r="S24" s="52">
        <f>+[1]UN!D178</f>
        <v>0.32696590257577002</v>
      </c>
      <c r="T24" s="53"/>
      <c r="U24" s="54"/>
      <c r="W24" s="27" t="str">
        <f>+IF($B$6="esp","% margen ajustado","% adjusted margin")</f>
        <v>% margen ajustado</v>
      </c>
      <c r="X24" s="56">
        <f>+[1]UN!C96</f>
        <v>4.2099453645365568E-2</v>
      </c>
      <c r="Y24" s="56">
        <f>+[1]UN!D96</f>
        <v>6.0674195397444772E-2</v>
      </c>
      <c r="Z24" s="53"/>
      <c r="AC24" s="57" t="str">
        <f>+IF($B$6="esp","Ingresos ajustados a tipo de cambio constante","Adjusted Revenues at constant currency")</f>
        <v>Ingresos ajustados a tipo de cambio constante</v>
      </c>
      <c r="AD24" s="73">
        <f>+[1]UN!C41</f>
        <v>57.507220577711273</v>
      </c>
      <c r="AE24" s="74">
        <f>+[1]UN!D41</f>
        <v>55.976589645665314</v>
      </c>
      <c r="AF24" s="62">
        <f>+[1]UN!E41</f>
        <v>2.7344126209455307E-2</v>
      </c>
      <c r="AG24" s="75"/>
      <c r="AI24" s="28" t="str">
        <f>+IF($B$6="esp","Gastos de explotación","Operating expenses")</f>
        <v>Gastos de explotación</v>
      </c>
      <c r="AJ24" s="101">
        <f>+[1]UN!C217</f>
        <v>33.281917243145948</v>
      </c>
      <c r="AK24" s="101">
        <f>+[1]UN!D217</f>
        <v>32.351696284853276</v>
      </c>
      <c r="AL24" s="90">
        <f>+[1]UN!E217</f>
        <v>2.8753390551833038E-2</v>
      </c>
      <c r="AM24" s="96"/>
    </row>
    <row r="25" spans="2:39">
      <c r="B25" s="13" t="str">
        <f>+IF($B$6="esp","EBIT a tipo constante","EBIT at constant currency")</f>
        <v>EBIT a tipo constante</v>
      </c>
      <c r="C25" s="97">
        <f>+[1]tablas_FMA!C25</f>
        <v>62.866999999999997</v>
      </c>
      <c r="D25" s="97">
        <f>+[1]tablas_FMA!D25</f>
        <v>44.686999999999998</v>
      </c>
      <c r="E25" s="97">
        <f>+[1]tablas_FMA!E25</f>
        <v>40.682972676617361</v>
      </c>
      <c r="G25" s="28" t="str">
        <f>+IF($B$6="esp","EBIT ajustado","Adjusted EBIT")</f>
        <v>EBIT ajustado</v>
      </c>
      <c r="H25" s="105">
        <v>43.478299453137957</v>
      </c>
      <c r="I25" s="105">
        <v>44.687020571612294</v>
      </c>
      <c r="J25" s="165">
        <v>-2.7048594939045552E-2</v>
      </c>
      <c r="L25" s="22" t="str">
        <f>+IF($B$6="esp","Portugal","Portugal")</f>
        <v>Portugal</v>
      </c>
      <c r="M25" s="77">
        <v>4.8369999999999997</v>
      </c>
      <c r="N25" s="77">
        <v>4.6520000000000001</v>
      </c>
      <c r="O25" s="23">
        <v>3.9767841788477991</v>
      </c>
      <c r="Q25" s="57" t="str">
        <f>+IF($B$6="esp","EBIT ajustado","Adjusted EBIT")</f>
        <v>EBIT ajustado</v>
      </c>
      <c r="R25" s="71">
        <f>+[1]UN!C179</f>
        <v>45.044321561242704</v>
      </c>
      <c r="S25" s="71">
        <f>+[1]UN!D179</f>
        <v>44.540671502829987</v>
      </c>
      <c r="T25" s="58">
        <f>+[1]UN!E179</f>
        <v>1.1307644034525081E-2</v>
      </c>
      <c r="U25" s="39"/>
      <c r="AC25" s="57" t="str">
        <f>+IF($B$6="esp","EBITDA ajustado","Adjusted EBITDA")</f>
        <v>EBITDA ajustado</v>
      </c>
      <c r="AD25" s="73">
        <f>+[1]UN!C42</f>
        <v>1.0878953896886603</v>
      </c>
      <c r="AE25" s="196">
        <f>+[1]UN!D42</f>
        <v>-0.7488636501921796</v>
      </c>
      <c r="AF25" s="62" t="str">
        <f>+[1]UN!E42</f>
        <v>---</v>
      </c>
      <c r="AG25" s="80"/>
      <c r="AI25" s="28" t="s">
        <v>0</v>
      </c>
      <c r="AJ25" s="101">
        <f>+[1]UN!C218</f>
        <v>5.75997055685405</v>
      </c>
      <c r="AK25" s="101">
        <f>+[1]UN!D218</f>
        <v>5.583036450067608</v>
      </c>
      <c r="AL25" s="90">
        <f>+[1]UN!E218</f>
        <v>3.1691375897124847E-2</v>
      </c>
      <c r="AM25" s="42"/>
    </row>
    <row r="26" spans="2:39">
      <c r="B26" s="14" t="str">
        <f>+IF($B$6="esp","Margen EBIT ajustado","Adjusted EBIT Margin")</f>
        <v>Margen EBIT ajustado</v>
      </c>
      <c r="C26" s="103">
        <f>+[1]tablas_FMA!C26</f>
        <v>0.16631569479203592</v>
      </c>
      <c r="D26" s="103">
        <f>+[1]tablas_FMA!D26</f>
        <v>0.13069431445952268</v>
      </c>
      <c r="E26" s="103"/>
      <c r="G26" s="29" t="str">
        <f>+G15</f>
        <v>España</v>
      </c>
      <c r="H26" s="99">
        <v>-23.967406583158464</v>
      </c>
      <c r="I26" s="99">
        <v>-12.261180326202791</v>
      </c>
      <c r="J26" s="166">
        <v>-0.95473893585423009</v>
      </c>
      <c r="L26" s="22" t="str">
        <f>+IF($B$6="esp","Latam","Latam")</f>
        <v>Latam</v>
      </c>
      <c r="M26" s="77">
        <v>69.727999999999994</v>
      </c>
      <c r="N26" s="77">
        <v>76.453000000000003</v>
      </c>
      <c r="O26" s="23">
        <v>-8.7962539076295343</v>
      </c>
      <c r="Q26" s="27" t="str">
        <f>+IF($B$6="esp","% margen ajustado","% adjusted margin")</f>
        <v>% margen ajustado</v>
      </c>
      <c r="R26" s="56">
        <f>+[1]UN!C180</f>
        <v>0.26760598807111918</v>
      </c>
      <c r="S26" s="56">
        <f>+[1]UN!D180</f>
        <v>0.25150328404490196</v>
      </c>
      <c r="T26" s="53"/>
      <c r="U26" s="54"/>
      <c r="W26" s="17" t="str">
        <f>+IF($B$6="esp","Resultados de explotación ajustados a tipo constante","Adjusted Operating results at cosntant currency")</f>
        <v>Resultados de explotación ajustados a tipo constante</v>
      </c>
      <c r="X26" s="34">
        <f>+$C$12</f>
        <v>2016</v>
      </c>
      <c r="Y26" s="34">
        <f>+$D$12</f>
        <v>2015</v>
      </c>
      <c r="Z26" s="34" t="str">
        <f>+$E$12</f>
        <v>Var. %</v>
      </c>
      <c r="AA26" s="36"/>
      <c r="AC26" s="27" t="str">
        <f>+IF($B$6="esp","% margen ajustado","% adjusted margin")</f>
        <v>% margen ajustado</v>
      </c>
      <c r="AD26" s="84">
        <f>+[1]UN!C43</f>
        <v>1.891754424504926E-2</v>
      </c>
      <c r="AE26" s="85">
        <f>+[1]UN!D43</f>
        <v>-1.3378157814410005E-2</v>
      </c>
      <c r="AF26" s="86"/>
      <c r="AG26" s="80"/>
      <c r="AI26" s="25" t="str">
        <f>+IF($B$6="esp","% margen","% margin")</f>
        <v>% margen</v>
      </c>
      <c r="AJ26" s="95">
        <f>+[1]UN!C219</f>
        <v>0.14753309538618289</v>
      </c>
      <c r="AK26" s="95">
        <f>+[1]UN!D219</f>
        <v>0.14717479332411729</v>
      </c>
      <c r="AL26" s="95"/>
      <c r="AM26" s="96"/>
    </row>
    <row r="27" spans="2:39">
      <c r="G27" s="29" t="str">
        <f>+G16</f>
        <v>Internacional</v>
      </c>
      <c r="H27" s="99">
        <v>67.445706036296428</v>
      </c>
      <c r="I27" s="99">
        <v>56.948200897815084</v>
      </c>
      <c r="J27" s="166">
        <v>0.1843342717238341</v>
      </c>
      <c r="L27" s="18" t="str">
        <f>+IF($B$6="esp","EBIT","EBIT")</f>
        <v>EBIT</v>
      </c>
      <c r="M27" s="70">
        <v>39.045000000000002</v>
      </c>
      <c r="N27" s="70">
        <v>32.86</v>
      </c>
      <c r="O27" s="70">
        <v>18.822276323797936</v>
      </c>
      <c r="W27" s="57" t="str">
        <f>+IF($B$6="esp","Ingresos ajustados a tipo de cambio constante","Adjusted Revenues at constant fx rate")</f>
        <v>Ingresos ajustados a tipo de cambio constante</v>
      </c>
      <c r="X27" s="71">
        <f>+[1]UN!C110</f>
        <v>69.932080663145129</v>
      </c>
      <c r="Y27" s="71">
        <f>+[1]UN!D110</f>
        <v>71.119726923404798</v>
      </c>
      <c r="Z27" s="58">
        <f>+[1]UN!E110</f>
        <v>-1.6699252255829827E-2</v>
      </c>
      <c r="AA27" s="72"/>
      <c r="AC27" s="57" t="str">
        <f>+IF($B$6="esp","EBIT ajustado","Adjusted EBIT")</f>
        <v>EBIT ajustado</v>
      </c>
      <c r="AD27" s="197">
        <f>+[1]UN!C44</f>
        <v>-1.3086583212361693</v>
      </c>
      <c r="AE27" s="88">
        <f>+[1]UN!D44</f>
        <v>-3.6635999510229058</v>
      </c>
      <c r="AF27" s="62">
        <f>+[1]UN!E44</f>
        <v>0.64279442659377117</v>
      </c>
      <c r="AG27" s="80"/>
      <c r="AI27" s="28" t="s">
        <v>1</v>
      </c>
      <c r="AJ27" s="104">
        <f>+[1]UN!C220</f>
        <v>3.7483936968540501</v>
      </c>
      <c r="AK27" s="104">
        <f>+[1]UN!D220</f>
        <v>3.7996064500676074</v>
      </c>
      <c r="AL27" s="90">
        <f>+[1]UN!E220</f>
        <v>-1.3478436224005803E-2</v>
      </c>
      <c r="AM27" s="42"/>
    </row>
    <row r="28" spans="2:39">
      <c r="B28" s="17" t="str">
        <f>+IF($B$6="esp","Resultados Reportados","Reported Results ")</f>
        <v>Resultados Reportados</v>
      </c>
      <c r="C28" s="87">
        <f>+[1]tablas_FMA!C28</f>
        <v>2016</v>
      </c>
      <c r="D28" s="87">
        <f>+[1]tablas_FMA!D28</f>
        <v>2015</v>
      </c>
      <c r="E28" s="6" t="str">
        <f>+[1]tablas_FMA!E28</f>
        <v>Var. %</v>
      </c>
      <c r="G28" s="83" t="str">
        <f>+G17</f>
        <v>Portugal</v>
      </c>
      <c r="H28" s="99">
        <v>3.4679890459450964</v>
      </c>
      <c r="I28" s="99">
        <v>-9.4410000000000007</v>
      </c>
      <c r="J28" s="166" t="s">
        <v>9</v>
      </c>
      <c r="L28" s="25" t="str">
        <f>+IF($B$6="esp","Margen EBIT","EBIT Margin")</f>
        <v>Margen EBIT</v>
      </c>
      <c r="M28" s="100">
        <v>0.12</v>
      </c>
      <c r="N28" s="100">
        <v>9.8000000000000004E-2</v>
      </c>
      <c r="O28" s="106"/>
      <c r="Q28" s="17" t="str">
        <f>+IF($B$6="esp","Resultados de explotación ajustados a tipo constante","Adjusted Operating results at cosntant currency")</f>
        <v>Resultados de explotación ajustados a tipo constante</v>
      </c>
      <c r="R28" s="34">
        <f>+$C$12</f>
        <v>2016</v>
      </c>
      <c r="S28" s="34">
        <f>+$D$12</f>
        <v>2015</v>
      </c>
      <c r="T28" s="35" t="str">
        <f>+$E$12</f>
        <v>Var. %</v>
      </c>
      <c r="U28" s="36"/>
      <c r="W28" s="59" t="str">
        <f>+IF($B$6="esp","España","Spain")</f>
        <v>España</v>
      </c>
      <c r="X28" s="65">
        <f>+[1]UN!C111</f>
        <v>40.061978259999997</v>
      </c>
      <c r="Y28" s="65">
        <f>+[1]UN!D111</f>
        <v>42.713421090000026</v>
      </c>
      <c r="Z28" s="60">
        <f>+[1]UN!E111</f>
        <v>-6.2075168936088311E-2</v>
      </c>
      <c r="AC28" s="27" t="str">
        <f>+IF($B$6="esp","% margen ajustado","% adjusted margin")</f>
        <v>% margen ajustado</v>
      </c>
      <c r="AD28" s="84">
        <f>+[1]UN!C45</f>
        <v>-2.2756417508784644E-2</v>
      </c>
      <c r="AE28" s="85">
        <f>+[1]UN!D45</f>
        <v>-6.5448788041816794E-2</v>
      </c>
      <c r="AF28" s="86"/>
      <c r="AG28" s="80"/>
      <c r="AI28" s="25" t="str">
        <f>+IF($B$6="esp","% margen","% margin")</f>
        <v>% margen</v>
      </c>
      <c r="AJ28" s="95">
        <f>+[1]UN!C221</f>
        <v>9.6009540216291753E-2</v>
      </c>
      <c r="AK28" s="95">
        <f>+[1]UN!D221</f>
        <v>0.1001616770735773</v>
      </c>
      <c r="AL28" s="95"/>
      <c r="AM28" s="36"/>
    </row>
    <row r="29" spans="2:39">
      <c r="B29" s="7" t="str">
        <f>+IF($B$6="esp","Ingresos de explotación "," Operating Revenues")</f>
        <v xml:space="preserve">Ingresos de explotación </v>
      </c>
      <c r="C29" s="69">
        <f>+[1]tablas_FMA!C29</f>
        <v>324.54700000000003</v>
      </c>
      <c r="D29" s="69">
        <f>+[1]tablas_FMA!D29</f>
        <v>336.43200000000002</v>
      </c>
      <c r="E29" s="69">
        <f>+[1]tablas_FMA!E29</f>
        <v>-3.5326603890236332</v>
      </c>
      <c r="G29" s="83" t="str">
        <f>+G18</f>
        <v>Latam</v>
      </c>
      <c r="H29" s="99">
        <v>63.977716990351325</v>
      </c>
      <c r="I29" s="99">
        <v>66.389200897815087</v>
      </c>
      <c r="J29" s="166">
        <v>-3.6323436264513398E-2</v>
      </c>
      <c r="L29" s="22" t="str">
        <f>+IF($B$6="esp","España","Spain")</f>
        <v>España</v>
      </c>
      <c r="M29" s="23">
        <v>-25.634</v>
      </c>
      <c r="N29" s="23">
        <v>-19.78</v>
      </c>
      <c r="O29" s="77">
        <v>-29.59555106167846</v>
      </c>
      <c r="Q29" s="57" t="str">
        <f>+IF($B$6="esp","Ingresos ajustados a tipo de cambio constante","Adjusted Revenue at constant fx rate")</f>
        <v>Ingresos ajustados a tipo de cambio constante</v>
      </c>
      <c r="R29" s="71">
        <f>+[1]UN!C182</f>
        <v>210.91629006278762</v>
      </c>
      <c r="S29" s="71">
        <f>+[1]UN!D182</f>
        <v>177.09777298525432</v>
      </c>
      <c r="T29" s="58">
        <f>+[1]UN!E182</f>
        <v>0.190959584118255</v>
      </c>
      <c r="U29" s="39"/>
      <c r="W29" s="59" t="str">
        <f>+IF($B$6="esp","Latam","Latam")</f>
        <v>Latam</v>
      </c>
      <c r="X29" s="65">
        <f>+[1]UN!C112</f>
        <v>29.893185328069208</v>
      </c>
      <c r="Y29" s="65">
        <f>+[1]UN!D112</f>
        <v>29.008881172963495</v>
      </c>
      <c r="Z29" s="60">
        <f>+[1]UN!E112</f>
        <v>3.0483911110983895E-2</v>
      </c>
      <c r="AI29" s="47"/>
      <c r="AJ29" s="34">
        <f>+$C$12</f>
        <v>2016</v>
      </c>
      <c r="AK29" s="34">
        <f>+$D$12</f>
        <v>2015</v>
      </c>
      <c r="AL29" s="34" t="str">
        <f>+$E$12</f>
        <v>Var. %</v>
      </c>
      <c r="AM29" s="82"/>
    </row>
    <row r="30" spans="2:39">
      <c r="B30" s="7" t="str">
        <f>+IF($B$6="esp","EBITDA","EBITDA")</f>
        <v>EBITDA</v>
      </c>
      <c r="C30" s="69">
        <f>+[1]tablas_FMA!C30</f>
        <v>55.005000000000003</v>
      </c>
      <c r="D30" s="69">
        <f>+[1]tablas_FMA!D30</f>
        <v>55.82</v>
      </c>
      <c r="E30" s="69">
        <f>+[1]tablas_FMA!E30</f>
        <v>-1.4600501612325292</v>
      </c>
      <c r="G30" s="25" t="str">
        <f>+IF($B$6="esp","Margen EBIT ajustado","Adjusted EBIT Margin")</f>
        <v>Margen EBIT ajustado</v>
      </c>
      <c r="H30" s="100">
        <v>0.13212684899405139</v>
      </c>
      <c r="I30" s="100">
        <v>0.13069427169105025</v>
      </c>
      <c r="J30" s="167"/>
      <c r="L30" s="22" t="str">
        <f>+IF($B$6="esp","Portugal","Portugal")</f>
        <v>Portugal</v>
      </c>
      <c r="M30" s="77">
        <v>3.0750000000000002</v>
      </c>
      <c r="N30" s="77">
        <v>-9.9480000000000004</v>
      </c>
      <c r="O30" s="23">
        <v>130.91073582629673</v>
      </c>
      <c r="Q30" s="59" t="str">
        <f>+IF($B$6="esp","España","Spain")</f>
        <v>España</v>
      </c>
      <c r="R30" s="65">
        <f>+[1]UN!C183</f>
        <v>1.5789665669276474</v>
      </c>
      <c r="S30" s="65">
        <f>+[1]UN!D183</f>
        <v>1.2557729852543105</v>
      </c>
      <c r="T30" s="60">
        <f>+[1]UN!E183</f>
        <v>0.25736624809450409</v>
      </c>
      <c r="U30" s="39"/>
      <c r="W30" s="59" t="str">
        <f>+IF($B$6="esp","Ajustes y Otros","Adjustnents &amp; others")</f>
        <v>Ajustes y Otros</v>
      </c>
      <c r="X30" s="194">
        <f>+[1]UN!C113</f>
        <v>-2.3082924924075598E-2</v>
      </c>
      <c r="Y30" s="194">
        <f>+[1]UN!D113</f>
        <v>-0.60257533955872233</v>
      </c>
      <c r="Z30" s="60"/>
      <c r="AC30" s="17" t="str">
        <f>+IF($B$6="esp","Resultados Reportados","Reported Results ")</f>
        <v>Resultados Reportados</v>
      </c>
      <c r="AD30" s="34">
        <f>+$C$12</f>
        <v>2016</v>
      </c>
      <c r="AE30" s="34">
        <f>+$D$12</f>
        <v>2015</v>
      </c>
      <c r="AF30" s="34" t="str">
        <f>+$E$12</f>
        <v>Var. %</v>
      </c>
      <c r="AG30" s="36"/>
      <c r="AI30" s="18" t="str">
        <f>+IF($B$6="esp","Efectos extraordinarios en gastos","One- offs in operating expenses")</f>
        <v>Efectos extraordinarios en gastos</v>
      </c>
      <c r="AJ30" s="175">
        <f>+[1]UN!C223</f>
        <v>-0.39605243000000001</v>
      </c>
      <c r="AK30" s="175">
        <f>+[1]UN!D223</f>
        <v>-0.59231653000000051</v>
      </c>
      <c r="AL30" s="107"/>
      <c r="AM30" s="82"/>
    </row>
    <row r="31" spans="2:39">
      <c r="B31" s="8" t="str">
        <f>+IF($B$6="esp","Margen EBITDA","EBITDA Margin")</f>
        <v>Margen EBITDA</v>
      </c>
      <c r="C31" s="9">
        <f>+[1]tablas_FMA!C31</f>
        <v>0.16948238621832892</v>
      </c>
      <c r="D31" s="10">
        <f>+[1]tablas_FMA!D31</f>
        <v>0.16591762971417701</v>
      </c>
      <c r="E31" s="69">
        <f>+[1]tablas_FMA!E31</f>
        <v>0</v>
      </c>
      <c r="G31" s="1"/>
      <c r="H31" s="1"/>
      <c r="I31" s="1"/>
      <c r="J31" s="1"/>
      <c r="L31" s="22" t="str">
        <f>+IF($B$6="esp","Latam","Latam")</f>
        <v>Latam</v>
      </c>
      <c r="M31" s="77">
        <v>61.603999999999999</v>
      </c>
      <c r="N31" s="77">
        <v>62.588000000000001</v>
      </c>
      <c r="O31" s="77">
        <v>-1.5721863616028662</v>
      </c>
      <c r="Q31" s="59" t="str">
        <f>+IF($B$6="esp","Internacional","International")</f>
        <v>Internacional</v>
      </c>
      <c r="R31" s="65">
        <f>+[1]UN!C184</f>
        <v>209.33732349585998</v>
      </c>
      <c r="S31" s="65">
        <f>+[1]UN!D184</f>
        <v>175.84200000000001</v>
      </c>
      <c r="T31" s="60">
        <f>+[1]UN!E184</f>
        <v>0.19048534193116526</v>
      </c>
      <c r="U31" s="39"/>
      <c r="W31" s="57" t="str">
        <f>+IF($B$6="esp","EBITDA ajustado a tipo de cambio constante","Adjusted EBITDA at constant fx rate")</f>
        <v>EBITDA ajustado a tipo de cambio constante</v>
      </c>
      <c r="X31" s="71">
        <f>+[1]UN!C114</f>
        <v>5.7522762490362407</v>
      </c>
      <c r="Y31" s="71">
        <f>+[1]UN!D114</f>
        <v>7.4467507806778492</v>
      </c>
      <c r="Z31" s="58">
        <f>+[1]UN!E114</f>
        <v>-0.2275454868233642</v>
      </c>
      <c r="AC31" s="37" t="str">
        <f>+IF($B$6="esp","Ingresos","Revenues")</f>
        <v>Ingresos</v>
      </c>
      <c r="AD31" s="108">
        <f>+[1]UN!C14</f>
        <v>57.236800756516104</v>
      </c>
      <c r="AE31" s="109">
        <f>+[1]UN!D14</f>
        <v>55.976589645665314</v>
      </c>
      <c r="AF31" s="90">
        <f>+[1]UN!E14</f>
        <v>2.2513181292893883E-2</v>
      </c>
      <c r="AG31" s="75"/>
      <c r="AI31" s="48" t="str">
        <f>+IF($B$6="esp","Indemnizaciones","Redundancies")</f>
        <v>Indemnizaciones</v>
      </c>
      <c r="AJ31" s="107">
        <f>+[1]UN!C224</f>
        <v>-0.39605243000000001</v>
      </c>
      <c r="AK31" s="107">
        <f>+[1]UN!D224</f>
        <v>-0.59231653000000051</v>
      </c>
      <c r="AL31" s="107"/>
    </row>
    <row r="32" spans="2:39">
      <c r="B32" s="7" t="str">
        <f>+IF($B$6="esp","EBIT","EBIT")</f>
        <v>EBIT</v>
      </c>
      <c r="C32" s="69">
        <f>+[1]tablas_FMA!C32</f>
        <v>39.045000000000002</v>
      </c>
      <c r="D32" s="69">
        <f>+[1]tablas_FMA!D32</f>
        <v>32.86</v>
      </c>
      <c r="E32" s="69">
        <f>+[1]tablas_FMA!E32</f>
        <v>18.822276323797936</v>
      </c>
      <c r="G32" s="1"/>
      <c r="H32" s="1"/>
      <c r="I32" s="1"/>
      <c r="J32" s="1"/>
      <c r="Q32" s="61" t="str">
        <f>+IF($B$6="esp","Portugal","Portugal")</f>
        <v>Portugal</v>
      </c>
      <c r="R32" s="65">
        <f>+[1]UN!C185</f>
        <v>3.2267999999999998E-2</v>
      </c>
      <c r="S32" s="65">
        <f>+[1]UN!D185</f>
        <v>3.7999999999999999E-2</v>
      </c>
      <c r="T32" s="60">
        <f>+[1]UN!E185</f>
        <v>-0.15084210526315792</v>
      </c>
      <c r="U32" s="39"/>
      <c r="W32" s="59" t="str">
        <f>+W28</f>
        <v>España</v>
      </c>
      <c r="X32" s="65">
        <f>+[1]UN!C115</f>
        <v>2.0679224000000098</v>
      </c>
      <c r="Y32" s="65">
        <f>+[1]UN!D115</f>
        <v>2.4373382500000047</v>
      </c>
      <c r="Z32" s="60">
        <f>+[1]UN!E115</f>
        <v>-0.15156527822922986</v>
      </c>
      <c r="AC32" s="25" t="str">
        <f>+IF($B$6="esp","Publicidad","Advertising")</f>
        <v>Publicidad</v>
      </c>
      <c r="AD32" s="110">
        <f>+[1]UN!C15</f>
        <v>23.7989964168912</v>
      </c>
      <c r="AE32" s="111">
        <f>+[1]UN!D15</f>
        <v>22.917547324587652</v>
      </c>
      <c r="AF32" s="95">
        <f>+[1]UN!E15</f>
        <v>3.8461755083095808E-2</v>
      </c>
      <c r="AG32" s="80"/>
    </row>
    <row r="33" spans="2:35">
      <c r="B33" s="8" t="str">
        <f>+IF($B$6="esp","Margen EBIT","EBIT Margin")</f>
        <v>Margen EBIT</v>
      </c>
      <c r="C33" s="9">
        <f>+[1]tablas_FMA!C33</f>
        <v>0.12030614980264799</v>
      </c>
      <c r="D33" s="10">
        <f>+[1]tablas_FMA!D33</f>
        <v>9.7672040709563882E-2</v>
      </c>
      <c r="E33" s="69">
        <f>+[1]tablas_FMA!E33</f>
        <v>0</v>
      </c>
      <c r="G33" s="1"/>
      <c r="H33" s="1"/>
      <c r="I33" s="1"/>
      <c r="J33" s="1"/>
      <c r="Q33" s="61" t="str">
        <f>+IF($B$6="esp","Latam","Latam")</f>
        <v>Latam</v>
      </c>
      <c r="R33" s="65">
        <f>+[1]UN!C186</f>
        <v>209.30505549585999</v>
      </c>
      <c r="S33" s="65">
        <f>+[1]UN!D186</f>
        <v>175.804</v>
      </c>
      <c r="T33" s="60">
        <f>+[1]UN!E186</f>
        <v>0.19055911979169976</v>
      </c>
      <c r="U33" s="39"/>
      <c r="W33" s="59" t="str">
        <f>+W29</f>
        <v>Latam</v>
      </c>
      <c r="X33" s="65">
        <f>+[1]UN!C116</f>
        <v>4.2942674022667244</v>
      </c>
      <c r="Y33" s="65">
        <f>+[1]UN!D116</f>
        <v>5.6800060387111229</v>
      </c>
      <c r="Z33" s="60">
        <f>+[1]UN!E116</f>
        <v>-0.24396781042134999</v>
      </c>
      <c r="AC33" s="25" t="str">
        <f>+IF($B$6= "esp","Circulación", "Circulation")</f>
        <v>Circulación</v>
      </c>
      <c r="AD33" s="110">
        <f>+[1]UN!C16</f>
        <v>23.369312739997298</v>
      </c>
      <c r="AE33" s="111">
        <f>+[1]UN!D16</f>
        <v>24.362024231602604</v>
      </c>
      <c r="AF33" s="95">
        <f>+[1]UN!E16</f>
        <v>-4.074831722388457E-2</v>
      </c>
      <c r="AG33" s="80"/>
    </row>
    <row r="34" spans="2:35" ht="15" customHeight="1">
      <c r="B34" s="7" t="str">
        <f>+IF($B$6="esp","Resultado Financiero","Net financial result")</f>
        <v>Resultado Financiero</v>
      </c>
      <c r="C34" s="69">
        <f>+[1]tablas_FMA!C34</f>
        <v>-7.476</v>
      </c>
      <c r="D34" s="69">
        <f>+[1]tablas_FMA!D34</f>
        <v>-13.265000000000001</v>
      </c>
      <c r="E34" s="69">
        <f>+[1]tablas_FMA!E34</f>
        <v>43.641160949868073</v>
      </c>
      <c r="G34" s="17" t="str">
        <f>+IF($B$6="esp","Millones de euros","Eur Million")</f>
        <v>Millones de euros</v>
      </c>
      <c r="H34" s="68"/>
      <c r="I34" s="68" t="str">
        <f>+I10</f>
        <v>ENERO-MARZO</v>
      </c>
      <c r="J34" s="68"/>
      <c r="L34" s="17" t="str">
        <f>+IF($B$6="esp","Efectos extraordinarios","Extraordinary Items")</f>
        <v>Efectos extraordinarios</v>
      </c>
      <c r="M34" s="169" t="str">
        <f>+N10</f>
        <v>ENERO-MARZO</v>
      </c>
      <c r="N34" s="170"/>
      <c r="Q34" s="57" t="str">
        <f>+IF($B$6="esp","EBITDA ajustado","Adjusted EBITDA")</f>
        <v>EBITDA ajustado</v>
      </c>
      <c r="R34" s="71">
        <f>+[1]UN!C187</f>
        <v>74.48205998129589</v>
      </c>
      <c r="S34" s="71">
        <f>+[1]UN!D187</f>
        <v>57.904933188282499</v>
      </c>
      <c r="T34" s="58">
        <f>+[1]UN!E187</f>
        <v>0.28628177048597131</v>
      </c>
      <c r="U34" s="39"/>
      <c r="W34" s="59" t="str">
        <f>+W30</f>
        <v>Ajustes y Otros</v>
      </c>
      <c r="X34" s="194">
        <f>+[1]UN!C117</f>
        <v>-0.60991355323049357</v>
      </c>
      <c r="Y34" s="194">
        <f>+[1]UN!D117</f>
        <v>-0.67059350803327877</v>
      </c>
      <c r="Z34" s="60"/>
      <c r="AC34" s="25" t="str">
        <f>+IF($B$6= "esp","Promociones y otros", "Add-ons and others")</f>
        <v>Promociones y otros</v>
      </c>
      <c r="AD34" s="110">
        <f>+[1]UN!C17</f>
        <v>10.068491599627606</v>
      </c>
      <c r="AE34" s="111">
        <f>+[1]UN!D17</f>
        <v>8.6970180894750584</v>
      </c>
      <c r="AF34" s="95">
        <f>+[1]UN!E17</f>
        <v>0.15769468294107322</v>
      </c>
      <c r="AG34" s="80"/>
    </row>
    <row r="35" spans="2:35">
      <c r="B35" s="8" t="str">
        <f>+IF($B$6="esp","Gastos por intereses de financiación","Interest on debt")</f>
        <v>Gastos por intereses de financiación</v>
      </c>
      <c r="C35" s="23">
        <f>+[1]tablas_FMA!C35</f>
        <v>-16.8</v>
      </c>
      <c r="D35" s="23">
        <f>+[1]tablas_FMA!D35</f>
        <v>-27.515000000000001</v>
      </c>
      <c r="E35" s="23">
        <f>+[1]tablas_FMA!E35</f>
        <v>38.942395057241505</v>
      </c>
      <c r="G35" s="3"/>
      <c r="H35" s="3"/>
      <c r="I35" s="3"/>
      <c r="J35" s="3"/>
      <c r="L35" s="3"/>
      <c r="M35" s="1"/>
      <c r="N35" s="1"/>
      <c r="Q35" s="59" t="str">
        <f>+Q30</f>
        <v>España</v>
      </c>
      <c r="R35" s="194">
        <f>+[1]UN!C188</f>
        <v>-16.327914614067886</v>
      </c>
      <c r="S35" s="194">
        <f>+[1]UN!D188</f>
        <v>-17.132066811717507</v>
      </c>
      <c r="T35" s="60">
        <f>+[1]UN!E188</f>
        <v>4.6938422928611272E-2</v>
      </c>
      <c r="U35" s="39"/>
      <c r="W35" s="27" t="str">
        <f>+IF($B$6="esp","% margen ajustado","% adjusted margin")</f>
        <v>% margen ajustado</v>
      </c>
      <c r="X35" s="52">
        <f>+[1]UN!C118</f>
        <v>8.2255185238149869E-2</v>
      </c>
      <c r="Y35" s="52">
        <f>+[1]UN!D118</f>
        <v>0.10470724653791096</v>
      </c>
      <c r="Z35" s="53"/>
      <c r="AC35" s="28" t="str">
        <f>+IF($B$6="esp","Gastos de explotación","Operating expenses")</f>
        <v>Gastos de explotación</v>
      </c>
      <c r="AD35" s="108">
        <f>+[1]UN!C18</f>
        <v>56.700752714418044</v>
      </c>
      <c r="AE35" s="109">
        <f>+[1]UN!D18</f>
        <v>59.913077740177144</v>
      </c>
      <c r="AF35" s="90">
        <f>+[1]UN!E18</f>
        <v>-5.3616424776070967E-2</v>
      </c>
      <c r="AG35" s="75"/>
    </row>
    <row r="36" spans="2:35" ht="17.25" customHeight="1">
      <c r="B36" s="8" t="str">
        <f>+IF($B$6="esp","Otros resultados financieros","Other financial results")</f>
        <v>Otros resultados financieros</v>
      </c>
      <c r="C36" s="23">
        <f>+[1]tablas_FMA!C36</f>
        <v>9.3239999999999998</v>
      </c>
      <c r="D36" s="23">
        <f>+[1]tablas_FMA!D36</f>
        <v>14.25</v>
      </c>
      <c r="E36" s="23">
        <f>+[1]tablas_FMA!E36</f>
        <v>-34.568421052631578</v>
      </c>
      <c r="H36" s="5">
        <v>2016</v>
      </c>
      <c r="I36" s="5">
        <v>2015</v>
      </c>
      <c r="J36" s="6" t="str">
        <f>+J12</f>
        <v>Var. %</v>
      </c>
      <c r="L36" s="17" t="str">
        <f>+IF($B$6="esp","Millones de euros","Eur Million")</f>
        <v>Millones de euros</v>
      </c>
      <c r="M36" s="5">
        <f>+M12</f>
        <v>2016</v>
      </c>
      <c r="N36" s="5">
        <f>+N12</f>
        <v>2015</v>
      </c>
      <c r="Q36" s="59" t="str">
        <f>+Q31</f>
        <v>Internacional</v>
      </c>
      <c r="R36" s="65">
        <f>+[1]UN!C189</f>
        <v>90.809974595363784</v>
      </c>
      <c r="S36" s="65">
        <f>+[1]UN!D189</f>
        <v>75.037000000000006</v>
      </c>
      <c r="T36" s="60">
        <f>+[1]UN!E189</f>
        <v>0.21020262797504932</v>
      </c>
      <c r="U36" s="39"/>
      <c r="W36" s="57" t="str">
        <f>+IF($B$6="esp","EBIT ajustado","Adjusted EBIT")</f>
        <v>EBIT ajustado</v>
      </c>
      <c r="X36" s="71">
        <f>+[1]UN!C119</f>
        <v>3.1701562107872654</v>
      </c>
      <c r="Y36" s="71">
        <f>+[1]UN!D119</f>
        <v>4.3151322079635763</v>
      </c>
      <c r="Z36" s="58">
        <f>+[1]UN!E119</f>
        <v>-0.2653397258752021</v>
      </c>
      <c r="AC36" s="28" t="s">
        <v>0</v>
      </c>
      <c r="AD36" s="108">
        <f>+[1]UN!C19</f>
        <v>0.53604804209806201</v>
      </c>
      <c r="AE36" s="120">
        <f>+[1]UN!D19</f>
        <v>-3.9364880945118306</v>
      </c>
      <c r="AF36" s="112">
        <f>+[1]UN!E19</f>
        <v>1.1361741809521562</v>
      </c>
      <c r="AG36" s="80"/>
    </row>
    <row r="37" spans="2:35" ht="25.5">
      <c r="B37" s="11" t="str">
        <f>+IF($B$6="esp","Resultado puesta en equivalencia y otras inversiones","Result from associates")</f>
        <v>Resultado puesta en equivalencia y otras inversiones</v>
      </c>
      <c r="C37" s="69">
        <f>+[1]tablas_FMA!C37</f>
        <v>0.65800000000000003</v>
      </c>
      <c r="D37" s="69">
        <f>+[1]tablas_FMA!D37</f>
        <v>0.81200000000000006</v>
      </c>
      <c r="E37" s="69">
        <f>+[1]tablas_FMA!E37</f>
        <v>-18.965517241379313</v>
      </c>
      <c r="G37" s="17" t="str">
        <f>+IF($B$6="esp","Resultados de explotación ajustados a tipo constante","Adjusted Operating results at constant currency")</f>
        <v>Resultados de explotación ajustados a tipo constante</v>
      </c>
      <c r="H37" s="113"/>
      <c r="I37" s="113"/>
      <c r="J37" s="113"/>
      <c r="L37" s="3"/>
      <c r="M37" s="12"/>
      <c r="N37" s="12"/>
      <c r="Q37" s="61" t="str">
        <f>+Q32</f>
        <v>Portugal</v>
      </c>
      <c r="R37" s="194">
        <f>+[1]UN!C190</f>
        <v>-0.86745799999999995</v>
      </c>
      <c r="S37" s="194">
        <f>+[1]UN!D190</f>
        <v>-0.745</v>
      </c>
      <c r="T37" s="60">
        <f>+[1]UN!E190</f>
        <v>-0.16437315436241604</v>
      </c>
      <c r="U37" s="39"/>
      <c r="W37" s="27" t="str">
        <f>+IF($B$6="esp","% margen ajustado","% adjusted margin")</f>
        <v>% margen ajustado</v>
      </c>
      <c r="X37" s="56">
        <f>+[1]UN!C120</f>
        <v>4.5331930363369952E-2</v>
      </c>
      <c r="Y37" s="56">
        <f>+[1]UN!D120</f>
        <v>6.0674195397444772E-2</v>
      </c>
      <c r="Z37" s="53"/>
      <c r="AC37" s="25" t="str">
        <f>+IF($B$6="esp","% margen","% margin")</f>
        <v>% margen</v>
      </c>
      <c r="AD37" s="114">
        <f>+[1]UN!C20</f>
        <v>9.3654438230815311E-3</v>
      </c>
      <c r="AE37" s="115">
        <f>+[1]UN!D20</f>
        <v>-7.0323828576017267E-2</v>
      </c>
      <c r="AF37" s="116"/>
      <c r="AG37" s="80"/>
    </row>
    <row r="38" spans="2:35">
      <c r="B38" s="7" t="str">
        <f>+IF($B$6="esp","Resultado antes de impuestos","Profit before tax")</f>
        <v>Resultado antes de impuestos</v>
      </c>
      <c r="C38" s="69">
        <f>+[1]tablas_FMA!C38</f>
        <v>32.226999999999997</v>
      </c>
      <c r="D38" s="69">
        <f>+[1]tablas_FMA!D38</f>
        <v>20.407</v>
      </c>
      <c r="E38" s="69">
        <f>+[1]tablas_FMA!E38</f>
        <v>57.921301514186297</v>
      </c>
      <c r="G38" s="28" t="str">
        <f>+IF($B$6="esp","Ingresos de explotación ","Operating Revenues")</f>
        <v xml:space="preserve">Ingresos de explotación </v>
      </c>
      <c r="H38" s="69">
        <v>377.99809371587418</v>
      </c>
      <c r="I38" s="69">
        <v>341.92026929266245</v>
      </c>
      <c r="J38" s="165">
        <v>0.10551531354911088</v>
      </c>
      <c r="L38" s="18" t="str">
        <f>+IF($B$6 ="esp","Efectos extraordinarios en ingresos","One-offs in operating revenues")</f>
        <v>Efectos extraordinarios en ingresos</v>
      </c>
      <c r="M38" s="117">
        <v>4.5179999999999998</v>
      </c>
      <c r="N38" s="117">
        <v>5.4880000000000004</v>
      </c>
      <c r="O38" s="118"/>
      <c r="Q38" s="61" t="str">
        <f>+Q33</f>
        <v>Latam</v>
      </c>
      <c r="R38" s="65">
        <f>+[1]UN!C191</f>
        <v>91.677432595363783</v>
      </c>
      <c r="S38" s="65">
        <f>+[1]UN!D191</f>
        <v>75.782000000000011</v>
      </c>
      <c r="T38" s="60">
        <f>+[1]UN!E191</f>
        <v>0.20975208618621533</v>
      </c>
      <c r="U38" s="39"/>
      <c r="AC38" s="28" t="s">
        <v>1</v>
      </c>
      <c r="AD38" s="119">
        <f>+[1]UN!C21</f>
        <v>-1.8333513159130701</v>
      </c>
      <c r="AE38" s="120">
        <f>+[1]UN!D21</f>
        <v>-6.8512243953425571</v>
      </c>
      <c r="AF38" s="90">
        <f>+[1]UN!E21</f>
        <v>0.73240530303468421</v>
      </c>
      <c r="AG38" s="80"/>
    </row>
    <row r="39" spans="2:35">
      <c r="B39" s="8" t="str">
        <f>+IF($B$6="esp","Impuesto sobre sociedades","Income tax expense")</f>
        <v>Impuesto sobre sociedades</v>
      </c>
      <c r="C39" s="23">
        <f>+[1]tablas_FMA!C39</f>
        <v>13.688000000000001</v>
      </c>
      <c r="D39" s="23">
        <f>+[1]tablas_FMA!D39</f>
        <v>5.601</v>
      </c>
      <c r="E39" s="23">
        <f>+[1]tablas_FMA!E39</f>
        <v>144.38493126227459</v>
      </c>
      <c r="G39" s="29" t="str">
        <f>+IF($B$6="esp","España","Spain")</f>
        <v>España</v>
      </c>
      <c r="H39" s="23">
        <v>97.462344561896259</v>
      </c>
      <c r="I39" s="23">
        <v>97.572226837040887</v>
      </c>
      <c r="J39" s="166">
        <v>-1.1261634453433801E-3</v>
      </c>
      <c r="L39" s="19" t="str">
        <f>+IF($B$6 ="esp","Ajuste perímetro de consolidación - Mx &amp; CR","Consolidation perimeter adjustment - Mx &amp; CR")</f>
        <v>Ajuste perímetro de consolidación - Mx &amp; CR</v>
      </c>
      <c r="M39" s="121">
        <v>4.5179999999999998</v>
      </c>
      <c r="N39" s="121">
        <v>5.4880000000000004</v>
      </c>
      <c r="O39" s="118"/>
      <c r="Q39" s="27" t="str">
        <f>+IF($B$6="esp","% margen ajustado","% adjusted margin")</f>
        <v>% margen ajustado</v>
      </c>
      <c r="R39" s="52">
        <f>+[1]UN!C192</f>
        <v>0.35313564428391636</v>
      </c>
      <c r="S39" s="52">
        <f>+[1]UN!D192</f>
        <v>0.32696590257577002</v>
      </c>
      <c r="T39" s="53"/>
      <c r="U39" s="42"/>
      <c r="W39" s="17" t="str">
        <f>+IF($B$6="esp","Resultados Reportados","Reported Results ")</f>
        <v>Resultados Reportados</v>
      </c>
      <c r="X39" s="34">
        <f>+$C$12</f>
        <v>2016</v>
      </c>
      <c r="Y39" s="34">
        <f>+$D$12</f>
        <v>2015</v>
      </c>
      <c r="Z39" s="34" t="str">
        <f>+$E$12</f>
        <v>Var. %</v>
      </c>
      <c r="AA39" s="36"/>
      <c r="AC39" s="25" t="str">
        <f>+IF($B$6="esp","% margen","% margin")</f>
        <v>% margen</v>
      </c>
      <c r="AD39" s="114">
        <f>+[1]UN!C22</f>
        <v>-3.2030988659063946E-2</v>
      </c>
      <c r="AE39" s="115">
        <f>+[1]UN!D22</f>
        <v>-0.12239445880342406</v>
      </c>
      <c r="AF39" s="116"/>
      <c r="AG39" s="80"/>
      <c r="AH39" s="122"/>
    </row>
    <row r="40" spans="2:35" ht="15.75" thickBot="1">
      <c r="B40" s="7" t="str">
        <f>+IF($B$6="esp","Resultado de operaciones en discontinuación","Results from discontinued activities")</f>
        <v>Resultado de operaciones en discontinuación</v>
      </c>
      <c r="C40" s="69">
        <f>+[1]tablas_FMA!C40</f>
        <v>5.6000000000000001E-2</v>
      </c>
      <c r="D40" s="69">
        <f>+[1]tablas_FMA!D40</f>
        <v>0.64400000000000002</v>
      </c>
      <c r="E40" s="69">
        <f>+[1]tablas_FMA!E40</f>
        <v>-91.304347826086953</v>
      </c>
      <c r="G40" s="29" t="str">
        <f>+IF($B$6="esp","Internacional","International")</f>
        <v>Internacional</v>
      </c>
      <c r="H40" s="23">
        <v>280.53574915397792</v>
      </c>
      <c r="I40" s="23">
        <v>244.34804245562157</v>
      </c>
      <c r="J40" s="166">
        <v>0.14809902438620418</v>
      </c>
      <c r="L40" s="18" t="str">
        <f>+IF($B$6 ="esp","Efectos extraordinarios en gastos","One-offs in operating expenses")</f>
        <v>Efectos extraordinarios en gastos</v>
      </c>
      <c r="M40" s="117">
        <v>-0.14499999999999999</v>
      </c>
      <c r="N40" s="117">
        <v>-6.6440000000000001</v>
      </c>
      <c r="O40" s="118"/>
      <c r="Q40" s="57" t="str">
        <f>+IF($B$6="esp","EBIT ajustado","Adjusted EBIT")</f>
        <v>EBIT ajustado</v>
      </c>
      <c r="R40" s="71">
        <f>+[1]UN!C193</f>
        <v>64.318477206670735</v>
      </c>
      <c r="S40" s="71">
        <f>+[1]UN!D193</f>
        <v>44.540671502829987</v>
      </c>
      <c r="T40" s="58">
        <f>+[1]UN!E193</f>
        <v>0.4440392350749387</v>
      </c>
      <c r="U40" s="39"/>
      <c r="W40" s="37" t="str">
        <f>+IF($B$6="esp","Ingresos","Revenues")</f>
        <v>Ingresos</v>
      </c>
      <c r="X40" s="123">
        <f>+[1]UN!C61</f>
        <v>59.883619595506602</v>
      </c>
      <c r="Y40" s="123">
        <f>+[1]UN!D61</f>
        <v>65.631684467783259</v>
      </c>
      <c r="Z40" s="38">
        <f>+[1]UN!E61</f>
        <v>-8.7580639121005957E-2</v>
      </c>
      <c r="AA40" s="72"/>
      <c r="AD40" s="34">
        <f>+$C$12</f>
        <v>2016</v>
      </c>
      <c r="AE40" s="34">
        <f>+$D$12</f>
        <v>2015</v>
      </c>
      <c r="AF40" s="34" t="str">
        <f>+$E$12</f>
        <v>Var. %</v>
      </c>
      <c r="AG40" s="36"/>
      <c r="AH40" s="124"/>
    </row>
    <row r="41" spans="2:35">
      <c r="B41" s="7" t="str">
        <f>+IF($B$6="esp","Resultado atribuido a socios externos","Minority interest")</f>
        <v>Resultado atribuido a socios externos</v>
      </c>
      <c r="C41" s="69">
        <f>+[1]tablas_FMA!C41</f>
        <v>5.6429999999999998</v>
      </c>
      <c r="D41" s="69">
        <f>+[1]tablas_FMA!D41</f>
        <v>6.766</v>
      </c>
      <c r="E41" s="69">
        <f>+[1]tablas_FMA!E41</f>
        <v>-16.597694354123561</v>
      </c>
      <c r="G41" s="83" t="str">
        <f>+IF($B$6="esp","Portugal","Portugal")</f>
        <v>Portugal</v>
      </c>
      <c r="H41" s="23">
        <v>38.482127789999993</v>
      </c>
      <c r="I41" s="23">
        <v>37.026000000000003</v>
      </c>
      <c r="J41" s="166">
        <v>3.9327169826608041E-2</v>
      </c>
      <c r="L41" s="19" t="str">
        <f>+IF($B$6 ="esp","Indemnizaciones y otros no recurrentes","Redundancies and other non-recurrent")</f>
        <v>Indemnizaciones y otros no recurrentes</v>
      </c>
      <c r="M41" s="121">
        <v>-3.1269999999999998</v>
      </c>
      <c r="N41" s="121">
        <v>-10.211</v>
      </c>
      <c r="Q41" s="27" t="str">
        <f>+IF($B$6="esp","% margen ajustado","% adjusted margin")</f>
        <v>% margen ajustado</v>
      </c>
      <c r="R41" s="56">
        <f>+[1]UN!C194</f>
        <v>0.30494788803427075</v>
      </c>
      <c r="S41" s="56">
        <f>+[1]UN!D194</f>
        <v>0.25150328404490196</v>
      </c>
      <c r="T41" s="60"/>
      <c r="U41" s="42"/>
      <c r="W41" s="40" t="str">
        <f>+IF($B$6="esp","Publicidad","Advertising")</f>
        <v>Publicidad</v>
      </c>
      <c r="X41" s="126">
        <f>+[1]UN!C62</f>
        <v>54.516972585982302</v>
      </c>
      <c r="Y41" s="126">
        <f>+[1]UN!D62</f>
        <v>60.775672480028781</v>
      </c>
      <c r="Z41" s="41">
        <f>+[1]UN!E62</f>
        <v>-0.10298034787032792</v>
      </c>
      <c r="AC41" s="127" t="str">
        <f>+IF($B$6 ="esp","Efectos extraordinarios en ingresos","One-offs in operating revenues")</f>
        <v>Efectos extraordinarios en ingresos</v>
      </c>
      <c r="AD41" s="128">
        <f>+[1]UN!C24</f>
        <v>0</v>
      </c>
      <c r="AE41" s="128">
        <f>+[1]UN!D24</f>
        <v>0</v>
      </c>
      <c r="AF41" s="129"/>
      <c r="AG41" s="130"/>
      <c r="AH41" s="55"/>
    </row>
    <row r="42" spans="2:35" ht="15.75" thickBot="1">
      <c r="B42" s="7" t="str">
        <f>+IF($B$6="esp","Resultado Neto","Net profit")</f>
        <v>Resultado Neto</v>
      </c>
      <c r="C42" s="131">
        <f>+[1]tablas_FMA!C42</f>
        <v>12.95</v>
      </c>
      <c r="D42" s="131">
        <f>+[1]tablas_FMA!D42</f>
        <v>8.6829999999999998</v>
      </c>
      <c r="E42" s="131" t="str">
        <f>+[1]tablas_FMA!E42</f>
        <v>-</v>
      </c>
      <c r="G42" s="83" t="str">
        <f>+IF($B$6="esp","Latam","Latam")</f>
        <v>Latam</v>
      </c>
      <c r="H42" s="23">
        <v>242.05362136397792</v>
      </c>
      <c r="I42" s="23">
        <v>207.32204245562156</v>
      </c>
      <c r="J42" s="166">
        <v>0.16752477689771389</v>
      </c>
      <c r="L42" s="19" t="str">
        <f>+L39</f>
        <v>Ajuste perímetro de consolidación - Mx &amp; CR</v>
      </c>
      <c r="M42" s="121">
        <v>2.9809999999999999</v>
      </c>
      <c r="N42" s="121">
        <v>3.5670000000000002</v>
      </c>
      <c r="O42" s="125"/>
      <c r="W42" s="43" t="str">
        <f>+IF($B$6="esp","España","Spain")</f>
        <v>España</v>
      </c>
      <c r="X42" s="126">
        <f>+[1]UN!C63</f>
        <v>35.52542571</v>
      </c>
      <c r="Y42" s="126">
        <f>+[1]UN!D63</f>
        <v>38.17647305000002</v>
      </c>
      <c r="Z42" s="41">
        <f>+[1]UN!E63</f>
        <v>-6.9441913519038875E-2</v>
      </c>
      <c r="AC42" s="135" t="str">
        <f>+IF($B$6 ="esp","Efectos extraordinarios en gastos","One-offs in operating expenses")</f>
        <v>Efectos extraordinarios en gastos</v>
      </c>
      <c r="AD42" s="128">
        <f>+[1]UN!C26</f>
        <v>-0.84991880564655198</v>
      </c>
      <c r="AE42" s="128">
        <f>+[1]UN!D26</f>
        <v>-3.1876244443196509</v>
      </c>
      <c r="AF42" s="136"/>
      <c r="AG42" s="130"/>
      <c r="AH42" s="50"/>
    </row>
    <row r="43" spans="2:35">
      <c r="G43" s="28" t="str">
        <f>+IF($B$6="esp","EBITDA","EBITDA")</f>
        <v>EBITDA</v>
      </c>
      <c r="H43" s="69">
        <v>81.619834372982567</v>
      </c>
      <c r="I43" s="69">
        <v>67.952032044189693</v>
      </c>
      <c r="J43" s="165">
        <v>0.20113897874171899</v>
      </c>
      <c r="L43" s="18" t="str">
        <f>+IF($B$6 ="esp","Efectos extraordinarios en amort. y provisiones","One-offs in amortization &amp; provisions")</f>
        <v>Efectos extraordinarios en amort. y provisiones</v>
      </c>
      <c r="M43" s="117">
        <v>0.23</v>
      </c>
      <c r="N43" s="117">
        <v>0.30499999999999999</v>
      </c>
      <c r="O43" s="134"/>
      <c r="Q43" s="17" t="str">
        <f>+IF($B$6="esp","Resultados Reportados","Reported Results ")</f>
        <v>Resultados Reportados</v>
      </c>
      <c r="R43" s="34">
        <f>+$C$12</f>
        <v>2016</v>
      </c>
      <c r="S43" s="34">
        <f>+$D$12</f>
        <v>2015</v>
      </c>
      <c r="T43" s="35" t="str">
        <f>+$E$12</f>
        <v>Var. %</v>
      </c>
      <c r="U43" s="36"/>
      <c r="W43" s="43" t="str">
        <f>+IF($B$6="esp","Internacional","International")</f>
        <v>Internacional</v>
      </c>
      <c r="X43" s="126">
        <f>+[1]UN!C64</f>
        <v>18.9874321459823</v>
      </c>
      <c r="Y43" s="126">
        <f>+[1]UN!D64</f>
        <v>22.584744400028782</v>
      </c>
      <c r="Z43" s="41">
        <f>+[1]UN!E64</f>
        <v>-0.15928062723799954</v>
      </c>
      <c r="AC43" s="132" t="str">
        <f>+IF($B$6 ="esp","Indemnizaciones","Redundancies")</f>
        <v>Indemnizaciones</v>
      </c>
      <c r="AD43" s="133">
        <f>+[1]UN!C27</f>
        <v>-0.84991880564655198</v>
      </c>
      <c r="AE43" s="133">
        <f>+[1]UN!D27</f>
        <v>-3.1876244443196509</v>
      </c>
      <c r="AF43" s="138"/>
      <c r="AG43" s="137"/>
      <c r="AH43" s="50"/>
      <c r="AI43" s="139"/>
    </row>
    <row r="44" spans="2:35">
      <c r="G44" s="29" t="str">
        <f>+G39</f>
        <v>España</v>
      </c>
      <c r="H44" s="23">
        <v>-17.893089583158577</v>
      </c>
      <c r="I44" s="140">
        <v>-17.765957707230754</v>
      </c>
      <c r="J44" s="166">
        <v>-7.155925845533242E-3</v>
      </c>
      <c r="L44" s="19" t="str">
        <f>+L39</f>
        <v>Ajuste perímetro de consolidación - Mx &amp; CR</v>
      </c>
      <c r="M44" s="121">
        <v>0.23</v>
      </c>
      <c r="N44" s="121">
        <v>0.30499999999999999</v>
      </c>
      <c r="O44" s="125"/>
      <c r="Q44" s="37" t="str">
        <f>+IF($B$6="esp","Ingresos","Revenues")</f>
        <v>Ingresos</v>
      </c>
      <c r="R44" s="141">
        <f>+[1]UN!C148</f>
        <v>168.323294579162</v>
      </c>
      <c r="S44" s="141">
        <f>+[1]UN!D148</f>
        <v>177.09777298525432</v>
      </c>
      <c r="T44" s="38">
        <f>+[1]UN!E148</f>
        <v>-4.9545955650288818E-2</v>
      </c>
      <c r="U44" s="39"/>
      <c r="W44" s="43" t="str">
        <f>+IF($B$6="esp","Otros*","Other*")</f>
        <v>Otros*</v>
      </c>
      <c r="X44" s="126">
        <f>+[1]UN!C65</f>
        <v>4.1147300000012876E-3</v>
      </c>
      <c r="Y44" s="126">
        <f>+[1]UN!D65</f>
        <v>1.4455029999979274E-2</v>
      </c>
      <c r="Z44" s="41">
        <f>+[1]UN!E65</f>
        <v>-0.71534268693961978</v>
      </c>
      <c r="AC44" s="135" t="str">
        <f>+IF($B$6 ="esp","Efectos extraordinarios en amort. y provs.","One-offs in Amort. &amp; Provisions")</f>
        <v>Efectos extraordinarios en amort. y provs.</v>
      </c>
      <c r="AD44" s="128">
        <f>+[1]UN!C29</f>
        <v>0</v>
      </c>
      <c r="AE44" s="128">
        <f>+[1]UN!D29</f>
        <v>0</v>
      </c>
      <c r="AF44" s="136"/>
      <c r="AG44" s="130"/>
      <c r="AH44" s="55"/>
    </row>
    <row r="45" spans="2:35">
      <c r="G45" s="29" t="str">
        <f>+G40</f>
        <v>Internacional</v>
      </c>
      <c r="H45" s="23">
        <v>99.512923956141151</v>
      </c>
      <c r="I45" s="23">
        <v>85.717989751420447</v>
      </c>
      <c r="J45" s="166">
        <v>0.16093394449316406</v>
      </c>
      <c r="O45" s="125"/>
      <c r="Q45" s="40" t="str">
        <f>+IF($B$6="esp","España","Spain")</f>
        <v>España</v>
      </c>
      <c r="R45" s="142">
        <f>+[1]UN!C149</f>
        <v>1.5789665669276474</v>
      </c>
      <c r="S45" s="142">
        <f>+[1]UN!D149</f>
        <v>1.2557729852543105</v>
      </c>
      <c r="T45" s="41">
        <f>+[1]UN!E149</f>
        <v>0.25736624809450409</v>
      </c>
      <c r="U45" s="42"/>
      <c r="W45" s="40" t="str">
        <f>+IF($B$6= "esp","Otros", "Others")</f>
        <v>Otros</v>
      </c>
      <c r="X45" s="126">
        <f>+[1]UN!C66</f>
        <v>5.3666470095243</v>
      </c>
      <c r="Y45" s="126">
        <f>+[1]UN!D66</f>
        <v>4.8560119877544778</v>
      </c>
      <c r="Z45" s="41">
        <f>+[1]UN!E66</f>
        <v>0.10515522265132432</v>
      </c>
      <c r="AG45" s="130"/>
      <c r="AH45" s="50"/>
    </row>
    <row r="46" spans="2:35">
      <c r="G46" s="83" t="str">
        <f>+G41</f>
        <v>Portugal</v>
      </c>
      <c r="H46" s="23">
        <v>5.2302448959450976</v>
      </c>
      <c r="I46" s="23">
        <v>5.1589999999999998</v>
      </c>
      <c r="J46" s="166">
        <v>1.3809826699960798E-2</v>
      </c>
      <c r="O46" s="125"/>
      <c r="Q46" s="40" t="str">
        <f>+IF($B$6="esp","Internacional","International")</f>
        <v>Internacional</v>
      </c>
      <c r="R46" s="142">
        <f>+[1]UN!C150</f>
        <v>166.74432801223435</v>
      </c>
      <c r="S46" s="142">
        <f>+[1]UN!D150</f>
        <v>175.84200000000001</v>
      </c>
      <c r="T46" s="41">
        <f>+[1]UN!E150</f>
        <v>-5.1737764514539555E-2</v>
      </c>
      <c r="U46" s="42"/>
      <c r="W46" s="28" t="str">
        <f>+IF($B$6="esp","Gastos de explotación","Operating expenses")</f>
        <v>Gastos de explotación</v>
      </c>
      <c r="X46" s="123">
        <f>+[1]UN!C67</f>
        <v>57.190565586944984</v>
      </c>
      <c r="Y46" s="123">
        <f>+[1]UN!D67</f>
        <v>63.967170948117889</v>
      </c>
      <c r="Z46" s="38">
        <f>+[1]UN!E67</f>
        <v>-0.10593880049297839</v>
      </c>
      <c r="AG46" s="137"/>
    </row>
    <row r="47" spans="2:35">
      <c r="G47" s="83" t="str">
        <f>+G42</f>
        <v>Latam</v>
      </c>
      <c r="H47" s="23">
        <v>94.28267906019606</v>
      </c>
      <c r="I47" s="23">
        <v>80.558989751420441</v>
      </c>
      <c r="J47" s="166">
        <v>0.17035577719038661</v>
      </c>
      <c r="O47" s="125"/>
      <c r="Q47" s="28" t="str">
        <f>+IF($B$6="esp","Gastos de explotación","Operating expenses")</f>
        <v>Gastos de explotación</v>
      </c>
      <c r="R47" s="143">
        <f>+[1]UN!C151</f>
        <v>116.09034236255309</v>
      </c>
      <c r="S47" s="143">
        <f>+[1]UN!D151</f>
        <v>119.78748883994889</v>
      </c>
      <c r="T47" s="38">
        <f>+[1]UN!E151</f>
        <v>-3.0864212224497468E-2</v>
      </c>
      <c r="U47" s="44"/>
      <c r="W47" s="28" t="s">
        <v>0</v>
      </c>
      <c r="X47" s="123">
        <f>+[1]UN!C68</f>
        <v>2.6930540085616199</v>
      </c>
      <c r="Y47" s="123">
        <f>+[1]UN!D68</f>
        <v>1.6645135196653664</v>
      </c>
      <c r="Z47" s="38">
        <f>+[1]UN!E68</f>
        <v>0.6179225802281445</v>
      </c>
      <c r="AG47" s="130"/>
    </row>
    <row r="48" spans="2:35">
      <c r="G48" s="25" t="str">
        <f>+IF($B$6="esp","Margen EBITDA ajustado","Adjusted EBITDA Margin")</f>
        <v>Margen EBITDA ajustado</v>
      </c>
      <c r="H48" s="144">
        <v>0.18132689590971857</v>
      </c>
      <c r="I48" s="144">
        <v>0.19873648375617939</v>
      </c>
      <c r="J48" s="167"/>
      <c r="O48" s="125"/>
      <c r="Q48" s="28" t="s">
        <v>0</v>
      </c>
      <c r="R48" s="143">
        <f>+[1]UN!C152</f>
        <v>52.232952216608901</v>
      </c>
      <c r="S48" s="143">
        <f>+[1]UN!D152</f>
        <v>57.310284145305431</v>
      </c>
      <c r="T48" s="38">
        <f>+[1]UN!E152</f>
        <v>-8.8593731551275853E-2</v>
      </c>
      <c r="U48" s="39"/>
      <c r="W48" s="25" t="str">
        <f>+IF($B$6="esp","% margen","% margin")</f>
        <v>% margen</v>
      </c>
      <c r="X48" s="145">
        <f>+[1]UN!C69</f>
        <v>4.4971463427766728E-2</v>
      </c>
      <c r="Y48" s="145">
        <f>+[1]UN!D69</f>
        <v>2.5361432258872298E-2</v>
      </c>
      <c r="Z48" s="38"/>
      <c r="AA48" s="67"/>
    </row>
    <row r="49" spans="7:29">
      <c r="G49" s="28" t="str">
        <f>+IF($B$6="esp","EBIT","EBIT")</f>
        <v>EBIT</v>
      </c>
      <c r="H49" s="69">
        <v>62.866668745975304</v>
      </c>
      <c r="I49" s="69">
        <v>44.687020571612294</v>
      </c>
      <c r="J49" s="165">
        <v>0.40682166637691991</v>
      </c>
      <c r="O49" s="134"/>
      <c r="Q49" s="25" t="str">
        <f>+IF($B$6="esp","% margen","% margin")</f>
        <v>% margen</v>
      </c>
      <c r="R49" s="45">
        <f>+[1]UN!C153</f>
        <v>0.31031327153618588</v>
      </c>
      <c r="S49" s="45">
        <f>+[1]UN!D153</f>
        <v>0.32360815824644645</v>
      </c>
      <c r="T49" s="45"/>
      <c r="U49" s="46"/>
      <c r="W49" s="28" t="s">
        <v>1</v>
      </c>
      <c r="X49" s="123">
        <f>+[1]UN!C70</f>
        <v>0.5322983880985207</v>
      </c>
      <c r="Y49" s="193">
        <f>+[1]UN!D70</f>
        <v>-1.1623161994435214</v>
      </c>
      <c r="Z49" s="38">
        <f>+[1]UN!E70</f>
        <v>1.4579634942310602</v>
      </c>
      <c r="AA49" s="72"/>
    </row>
    <row r="50" spans="7:29">
      <c r="G50" s="29" t="str">
        <f>+G39</f>
        <v>España</v>
      </c>
      <c r="H50" s="23">
        <v>-23.967406583158464</v>
      </c>
      <c r="I50" s="23">
        <v>-12.261180326202791</v>
      </c>
      <c r="J50" s="166">
        <v>-0.95473893585423009</v>
      </c>
      <c r="O50" s="125"/>
      <c r="Q50" s="28" t="s">
        <v>1</v>
      </c>
      <c r="R50" s="141">
        <f>+[1]UN!C154</f>
        <v>44.408748670750199</v>
      </c>
      <c r="S50" s="141">
        <f>+[1]UN!D154</f>
        <v>43.946022459852919</v>
      </c>
      <c r="T50" s="38">
        <f>+[1]UN!E154</f>
        <v>1.0529421890684319E-2</v>
      </c>
      <c r="U50" s="39"/>
      <c r="W50" s="25" t="str">
        <f>+IF($B$6="esp","% margen","% margin")</f>
        <v>% margen</v>
      </c>
      <c r="X50" s="145">
        <f>+[1]UN!C71</f>
        <v>8.88888132838353E-3</v>
      </c>
      <c r="Y50" s="145">
        <f>+[1]UN!D71</f>
        <v>-1.7709681061348799E-2</v>
      </c>
      <c r="Z50" s="145"/>
      <c r="AA50" s="67"/>
    </row>
    <row r="51" spans="7:29">
      <c r="G51" s="29" t="str">
        <f>+G40</f>
        <v>Internacional</v>
      </c>
      <c r="H51" s="23">
        <v>86.834075329133768</v>
      </c>
      <c r="I51" s="23">
        <v>56.948200897815084</v>
      </c>
      <c r="J51" s="166">
        <v>0.52479049311749737</v>
      </c>
      <c r="O51" s="125"/>
      <c r="Q51" s="25" t="str">
        <f>+IF($B$6="esp","% margen","% margin")</f>
        <v>% margen</v>
      </c>
      <c r="R51" s="45">
        <f>+[1]UN!C155</f>
        <v>0.26383008235300959</v>
      </c>
      <c r="S51" s="45">
        <f>+[1]UN!D155</f>
        <v>0.24814553971557843</v>
      </c>
      <c r="T51" s="45"/>
      <c r="U51" s="46"/>
      <c r="W51" s="66" t="str">
        <f>+IF($B$6="esp","* Incluye Música y Ajustes de consolidación"," * Includes Music &amp; Consolidation adjustments")</f>
        <v>* Incluye Música y Ajustes de consolidación</v>
      </c>
    </row>
    <row r="52" spans="7:29">
      <c r="G52" s="83" t="str">
        <f>+G41</f>
        <v>Portugal</v>
      </c>
      <c r="H52" s="23">
        <v>3.4679890459450964</v>
      </c>
      <c r="I52" s="23">
        <v>-9.4410000000000007</v>
      </c>
      <c r="J52" s="166" t="s">
        <v>9</v>
      </c>
      <c r="O52" s="125"/>
      <c r="X52" s="34">
        <f>+$C$12</f>
        <v>2016</v>
      </c>
      <c r="Y52" s="34">
        <f>+$D$12</f>
        <v>2015</v>
      </c>
      <c r="Z52" s="34" t="str">
        <f>+$E$12</f>
        <v>Var. %</v>
      </c>
      <c r="AA52" s="36"/>
    </row>
    <row r="53" spans="7:29">
      <c r="G53" s="83" t="str">
        <f>+G42</f>
        <v>Latam</v>
      </c>
      <c r="H53" s="23">
        <v>83.366086283188665</v>
      </c>
      <c r="I53" s="23">
        <v>66.389200897815087</v>
      </c>
      <c r="J53" s="166">
        <v>0.25571757387928279</v>
      </c>
      <c r="O53" s="134"/>
      <c r="Q53" s="47"/>
      <c r="R53" s="34">
        <f>+$C$12</f>
        <v>2016</v>
      </c>
      <c r="S53" s="34">
        <f>+$D$12</f>
        <v>2015</v>
      </c>
      <c r="T53" s="35" t="str">
        <f>+$E$12</f>
        <v>Var. %</v>
      </c>
      <c r="U53" s="36"/>
      <c r="W53" s="18" t="str">
        <f>+IF($B$6 ="esp","Efectos extraordinarios en ingresos","One-offs in operating revenues")</f>
        <v>Efectos extraordinarios en ingresos</v>
      </c>
      <c r="X53" s="157">
        <f>+[1]UN!C74</f>
        <v>4.5179892375778063</v>
      </c>
      <c r="Y53" s="158">
        <f>+[1]UN!D74</f>
        <v>5.4880424556215406</v>
      </c>
      <c r="Z53" s="146"/>
      <c r="AA53" s="130"/>
    </row>
    <row r="54" spans="7:29">
      <c r="G54" s="25" t="str">
        <f>+IF($B$6="esp","Margen EBIT ajustado","Adjusted EBIT Margin")</f>
        <v>Margen EBIT ajustado</v>
      </c>
      <c r="H54" s="10">
        <v>0.13212684899405139</v>
      </c>
      <c r="I54" s="10">
        <v>0.13069427169105025</v>
      </c>
      <c r="J54" s="167"/>
      <c r="O54" s="20"/>
      <c r="Q54" s="18" t="str">
        <f>+IF($B$6 ="esp","Efectos extraordinarios en ingresos","One-offs in operating revenues")</f>
        <v>Efectos extraordinarios en ingresos</v>
      </c>
      <c r="R54" s="147">
        <f>+[1]UN!C157</f>
        <v>0</v>
      </c>
      <c r="S54" s="128">
        <f>+[1]UN!D157</f>
        <v>0</v>
      </c>
      <c r="T54" s="133"/>
      <c r="U54" s="148"/>
      <c r="W54" s="49" t="str">
        <f>+IF($B$6 ="esp","Ajuste Perímetro de Consolidación - Mx &amp; CR","Consolidation Perimeter Adjustment - Mx &amp; CR")</f>
        <v>Ajuste Perímetro de Consolidación - Mx &amp; CR</v>
      </c>
      <c r="X54" s="154">
        <f>+[1]UN!C76</f>
        <v>4.5179892375778063</v>
      </c>
      <c r="Y54" s="155">
        <f>+[1]UN!D76</f>
        <v>5.4880424556215406</v>
      </c>
      <c r="Z54" s="151"/>
      <c r="AA54" s="152"/>
    </row>
    <row r="55" spans="7:29">
      <c r="L55" s="20"/>
      <c r="O55" s="20"/>
      <c r="Q55" s="18" t="str">
        <f>+IF($B$6 ="esp","Efectos extraordinarios en gastos","One-offs in operating expenses")</f>
        <v>Efectos extraordinarios en gastos</v>
      </c>
      <c r="R55" s="147">
        <f>+[1]UN!C160</f>
        <v>-0.63557289049249799</v>
      </c>
      <c r="S55" s="128">
        <f>+[1]UN!D160</f>
        <v>-0.59464904297706977</v>
      </c>
      <c r="T55" s="133"/>
      <c r="U55" s="148"/>
      <c r="W55" s="18" t="str">
        <f>+IF($B$6 ="esp","Efectos extraordinarios en gastos","One-offs in operating expenses")</f>
        <v>Efectos extraordinarios en gastos</v>
      </c>
      <c r="X55" s="171">
        <f>+[1]UN!C77</f>
        <v>2.1089758257700657</v>
      </c>
      <c r="Y55" s="172">
        <f>+[1]UN!D77</f>
        <v>-0.2941948053909435</v>
      </c>
      <c r="Z55" s="146"/>
      <c r="AA55" s="153"/>
    </row>
    <row r="56" spans="7:29" ht="15.75" thickBot="1">
      <c r="L56" s="20"/>
      <c r="O56" s="20"/>
      <c r="Q56" s="49" t="str">
        <f>+IF($B$6 ="esp","Indemnizaciones","Redundancies")</f>
        <v>Indemnizaciones</v>
      </c>
      <c r="R56" s="150">
        <f>+[1]UN!C161</f>
        <v>-0.63557289049249799</v>
      </c>
      <c r="S56" s="133">
        <f>+[1]UN!D161</f>
        <v>-0.59464904297706977</v>
      </c>
      <c r="T56" s="133"/>
      <c r="U56" s="148"/>
      <c r="W56" s="49" t="str">
        <f>+IF($B$6 ="esp","Indemnizaciones","Redundancies")</f>
        <v>Indemnizaciones</v>
      </c>
      <c r="X56" s="173">
        <v>-0.87222183734898107</v>
      </c>
      <c r="Y56" s="174">
        <v>-3.8612475095920233</v>
      </c>
      <c r="Z56" s="155"/>
      <c r="AA56" s="153"/>
    </row>
    <row r="57" spans="7:29">
      <c r="L57" s="20"/>
      <c r="M57" s="20"/>
      <c r="N57" s="20"/>
      <c r="O57" s="20"/>
      <c r="Q57" s="18" t="str">
        <f>+IF($B$6 ="esp","Efectos extraordinarios en amort. y provs.","One-offs in Amort. &amp; Provisions")</f>
        <v>Efectos extraordinarios en amort. y provs.</v>
      </c>
      <c r="R57" s="147">
        <f>+[1]UN!C164</f>
        <v>0</v>
      </c>
      <c r="S57" s="128">
        <f>+[1]UN!D164</f>
        <v>0</v>
      </c>
      <c r="T57" s="133"/>
      <c r="U57" s="148"/>
      <c r="W57" s="49" t="str">
        <f>+W54</f>
        <v>Ajuste Perímetro de Consolidación - Mx &amp; CR</v>
      </c>
      <c r="X57" s="173">
        <f>+[1]UN!C81</f>
        <v>2.9811976631190467</v>
      </c>
      <c r="Y57" s="174">
        <f>+[1]UN!D81</f>
        <v>3.56705270420108</v>
      </c>
      <c r="Z57" s="151"/>
      <c r="AA57" s="153"/>
      <c r="AC57" s="156"/>
    </row>
    <row r="58" spans="7:29">
      <c r="M58" s="20"/>
      <c r="N58" s="20"/>
      <c r="O58" s="20"/>
      <c r="U58" s="148"/>
      <c r="W58" s="18" t="str">
        <f>+IF($B$6 ="esp","Efectos extraordinarios en amort. y provs.","One-offs in Amort. &amp; Provisions")</f>
        <v>Efectos extraordinarios en amort. y provs.</v>
      </c>
      <c r="X58" s="171">
        <f>+[1]UN!C82</f>
        <v>0.2300392541508593</v>
      </c>
      <c r="Y58" s="172">
        <f>+[1]UN!D82</f>
        <v>0.30478885360538632</v>
      </c>
      <c r="Z58" s="158"/>
      <c r="AA58" s="75"/>
    </row>
    <row r="59" spans="7:29">
      <c r="U59" s="148"/>
      <c r="W59" s="49" t="str">
        <f>+W57</f>
        <v>Ajuste Perímetro de Consolidación - Mx &amp; CR</v>
      </c>
      <c r="X59" s="173">
        <f>+[1]UN!C83</f>
        <v>0.2300392541508593</v>
      </c>
      <c r="Y59" s="174">
        <f>+[1]UN!D83</f>
        <v>0.30478885360538632</v>
      </c>
      <c r="Z59" s="151"/>
      <c r="AA59" s="149"/>
    </row>
    <row r="60" spans="7:29">
      <c r="AA60" s="153"/>
    </row>
    <row r="61" spans="7:29" ht="16.5" thickBot="1">
      <c r="Q61" s="176"/>
      <c r="R61" s="177">
        <v>2016</v>
      </c>
      <c r="S61" s="177">
        <v>2015</v>
      </c>
      <c r="T61" s="191" t="str">
        <f>+IF($B$6="ESP","Var. %","% Chg.")</f>
        <v>Var. %</v>
      </c>
      <c r="U61" s="178"/>
      <c r="V61" s="179" t="str">
        <f>+IF($B$6="ESP","EFECTO","EFFECT")</f>
        <v>EFECTO</v>
      </c>
      <c r="W61" s="178"/>
    </row>
    <row r="62" spans="7:29" ht="26.25" thickBot="1">
      <c r="Q62" s="176"/>
      <c r="R62" s="179" t="str">
        <f>+IF($B$6="esp","ENERO - MARZO","JANUARY-MARCH")</f>
        <v>ENERO - MARZO</v>
      </c>
      <c r="S62" s="179" t="str">
        <f>+R62</f>
        <v>ENERO - MARZO</v>
      </c>
      <c r="T62" s="192"/>
      <c r="U62" s="178"/>
      <c r="V62" s="179" t="str">
        <f>+IF($B$6="ESP","TC 16/15","16/15 FX")</f>
        <v>TC 16/15</v>
      </c>
      <c r="W62" s="178"/>
    </row>
    <row r="63" spans="7:29" ht="16.5" thickBot="1">
      <c r="Q63" s="159" t="str">
        <f>+IF($B$6="esp","INGRESOS","REVENUES")</f>
        <v>INGRESOS</v>
      </c>
      <c r="R63" s="176"/>
      <c r="S63" s="176"/>
      <c r="T63" s="176"/>
      <c r="U63" s="178"/>
      <c r="V63" s="178"/>
      <c r="W63" s="178"/>
    </row>
    <row r="64" spans="7:29" ht="16.5" thickBot="1">
      <c r="Q64" s="180" t="s">
        <v>4</v>
      </c>
      <c r="R64" s="181">
        <v>168.32329457916188</v>
      </c>
      <c r="S64" s="181">
        <v>177.09777409673683</v>
      </c>
      <c r="T64" s="182">
        <v>-4.9545961615429603E-2</v>
      </c>
      <c r="U64" s="178"/>
      <c r="V64" s="181">
        <v>-42.592995483625629</v>
      </c>
      <c r="W64" s="178"/>
    </row>
    <row r="65" spans="17:24" ht="16.5" thickBot="1">
      <c r="Q65" s="160" t="str">
        <f>+IF($B$6="esp","Educación tradicional y Compartir","Traditional Education and Compartir")</f>
        <v>Educación tradicional y Compartir</v>
      </c>
      <c r="R65" s="183">
        <v>152.53594341940709</v>
      </c>
      <c r="S65" s="183">
        <v>159.4318486478108</v>
      </c>
      <c r="T65" s="184">
        <v>-4.3252996731142121E-2</v>
      </c>
      <c r="U65" s="178"/>
      <c r="V65" s="183">
        <v>-38.426884744547976</v>
      </c>
      <c r="W65" s="178"/>
    </row>
    <row r="66" spans="17:24" ht="16.5" thickBot="1">
      <c r="Q66" s="185" t="str">
        <f>+IF($B$6="esp","España*","Spain*")</f>
        <v>España*</v>
      </c>
      <c r="R66" s="186">
        <v>1.5540928300000005</v>
      </c>
      <c r="S66" s="186">
        <v>1.2746773400000002</v>
      </c>
      <c r="T66" s="187">
        <v>0.21920487736920174</v>
      </c>
      <c r="U66" s="178"/>
      <c r="V66" s="186">
        <v>0</v>
      </c>
      <c r="W66" s="178"/>
    </row>
    <row r="67" spans="17:24" ht="16.5" thickBot="1">
      <c r="Q67" s="185" t="str">
        <f>+IF($B$6="esp","Brasil","Brazil")</f>
        <v>Brasil</v>
      </c>
      <c r="R67" s="186">
        <v>41.557506481258045</v>
      </c>
      <c r="S67" s="186">
        <v>62.322283402367859</v>
      </c>
      <c r="T67" s="187">
        <v>-0.33318382747704139</v>
      </c>
      <c r="U67" s="178"/>
      <c r="V67" s="186">
        <v>-16.160621658699259</v>
      </c>
      <c r="W67" s="178"/>
    </row>
    <row r="68" spans="17:24" ht="18.75" customHeight="1" thickBot="1">
      <c r="Q68" s="185" t="str">
        <f>+IF($B$6="esp","México","Mexico")</f>
        <v>México</v>
      </c>
      <c r="R68" s="186">
        <v>0.92697463373426447</v>
      </c>
      <c r="S68" s="186">
        <v>1.3833291671831012</v>
      </c>
      <c r="T68" s="187">
        <v>-0.32989583699599129</v>
      </c>
      <c r="U68" s="178"/>
      <c r="V68" s="186">
        <v>-0.16272319957182563</v>
      </c>
      <c r="W68" s="178"/>
    </row>
    <row r="69" spans="17:24" ht="16.5" thickBot="1">
      <c r="Q69" s="161" t="str">
        <f>+IF($B$6="esp","Otros países","Other Countries")</f>
        <v>Otros países</v>
      </c>
      <c r="R69" s="186">
        <v>108.49736947441478</v>
      </c>
      <c r="S69" s="186">
        <v>94.45155873825982</v>
      </c>
      <c r="T69" s="187">
        <v>0.14870914703565793</v>
      </c>
      <c r="U69" s="178"/>
      <c r="V69" s="186">
        <v>-22.103539886276891</v>
      </c>
      <c r="W69" s="178"/>
    </row>
    <row r="70" spans="17:24" ht="16.5" thickBot="1">
      <c r="Q70" s="160" t="str">
        <f>+IF($B$6="esp","Sistema UNO","System UNO")</f>
        <v>Sistema UNO</v>
      </c>
      <c r="R70" s="183">
        <v>15.7839592450011</v>
      </c>
      <c r="S70" s="183">
        <v>17.703492822648666</v>
      </c>
      <c r="T70" s="184">
        <v>-0.10842682835964683</v>
      </c>
      <c r="U70" s="178"/>
      <c r="V70" s="183">
        <v>-4.1661107390776539</v>
      </c>
      <c r="W70" s="178"/>
    </row>
    <row r="71" spans="17:24" ht="15.75">
      <c r="Q71" s="188"/>
      <c r="R71" s="189"/>
      <c r="S71" s="189"/>
      <c r="T71" s="190"/>
      <c r="U71" s="178"/>
      <c r="V71" s="178"/>
      <c r="W71" s="178"/>
    </row>
    <row r="72" spans="17:24" ht="16.5" thickBot="1">
      <c r="Q72" s="64" t="str">
        <f>+IF($B$6="esp","Ingresos ajustados a tipo de cambio constante","Adjusted Revenue at constant fx rate")</f>
        <v>Ingresos ajustados a tipo de cambio constante</v>
      </c>
      <c r="R72" s="178"/>
      <c r="S72" s="178"/>
      <c r="T72" s="178"/>
      <c r="U72" s="178"/>
      <c r="V72" s="178"/>
      <c r="W72" s="178"/>
      <c r="X72" s="178"/>
    </row>
    <row r="73" spans="17:24" ht="16.5" thickBot="1">
      <c r="Q73" s="180" t="s">
        <v>5</v>
      </c>
      <c r="R73" s="181">
        <v>210.91629006278751</v>
      </c>
      <c r="S73" s="181">
        <v>177.09777409673683</v>
      </c>
      <c r="T73" s="182">
        <v>0.19095957664367852</v>
      </c>
      <c r="U73" s="178"/>
      <c r="V73" s="178"/>
      <c r="W73" s="178"/>
      <c r="X73" s="178"/>
    </row>
    <row r="74" spans="17:24" ht="16.5" thickBot="1">
      <c r="Q74" s="160" t="str">
        <f>+IF($B$6="esp","Educación tradicional y Compartir","Traditional Education and Compartir")</f>
        <v>Educación tradicional y Compartir</v>
      </c>
      <c r="R74" s="183">
        <v>190.96282816395507</v>
      </c>
      <c r="S74" s="183">
        <v>159.4318486478108</v>
      </c>
      <c r="T74" s="184">
        <v>0.1977708957373821</v>
      </c>
      <c r="U74" s="178"/>
      <c r="V74" s="178"/>
      <c r="W74" s="178"/>
      <c r="X74" s="178"/>
    </row>
    <row r="75" spans="17:24" ht="16.5" thickBot="1">
      <c r="Q75" s="185" t="str">
        <f>+IF($B$6="esp","España*","Spain*")</f>
        <v>España*</v>
      </c>
      <c r="R75" s="186">
        <v>1.5540928300000005</v>
      </c>
      <c r="S75" s="186">
        <v>1.2746773400000002</v>
      </c>
      <c r="T75" s="187">
        <v>0.21920487736920174</v>
      </c>
      <c r="U75" s="178"/>
      <c r="V75" s="178"/>
      <c r="W75" s="178"/>
      <c r="X75" s="178"/>
    </row>
    <row r="76" spans="17:24" ht="16.5" thickBot="1">
      <c r="Q76" s="185" t="str">
        <f>+IF($B$6="esp","Brasil","Brazil")</f>
        <v>Brasil</v>
      </c>
      <c r="R76" s="186">
        <v>57.718128139957301</v>
      </c>
      <c r="S76" s="186">
        <v>62.322283402367859</v>
      </c>
      <c r="T76" s="187">
        <v>-7.3876549623270518E-2</v>
      </c>
      <c r="U76" s="178"/>
      <c r="V76" s="178"/>
      <c r="W76" s="178"/>
      <c r="X76" s="178"/>
    </row>
    <row r="77" spans="17:24" ht="16.5" thickBot="1">
      <c r="Q77" s="185" t="str">
        <f>+IF($B$6="esp","México","Mexico")</f>
        <v>México</v>
      </c>
      <c r="R77" s="186">
        <v>1.08969783330609</v>
      </c>
      <c r="S77" s="186">
        <v>1.3833291671831012</v>
      </c>
      <c r="T77" s="187">
        <v>-0.21226425412177063</v>
      </c>
      <c r="U77" s="178"/>
      <c r="V77" s="178"/>
      <c r="W77" s="178"/>
      <c r="X77" s="178"/>
    </row>
    <row r="78" spans="17:24" ht="16.5" thickBot="1">
      <c r="Q78" s="161" t="str">
        <f>+IF($B$6="esp","Otros países","Other Countries")</f>
        <v>Otros países</v>
      </c>
      <c r="R78" s="186">
        <v>130.60090936069167</v>
      </c>
      <c r="S78" s="186">
        <v>94.45155873825982</v>
      </c>
      <c r="T78" s="187">
        <v>0.38272899997984589</v>
      </c>
      <c r="U78" s="178"/>
      <c r="V78" s="178"/>
      <c r="W78" s="178"/>
      <c r="X78" s="178"/>
    </row>
    <row r="79" spans="17:24" ht="16.5" thickBot="1">
      <c r="Q79" s="160" t="str">
        <f>+IF($B$6="esp","Sistema UNO","System UNO")</f>
        <v>Sistema UNO</v>
      </c>
      <c r="R79" s="183">
        <v>19.950069984078752</v>
      </c>
      <c r="S79" s="183">
        <v>17.703492822648666</v>
      </c>
      <c r="T79" s="184">
        <v>0.12690022155153274</v>
      </c>
      <c r="U79" s="178"/>
      <c r="V79" s="178"/>
      <c r="W79" s="178"/>
      <c r="X79" s="178"/>
    </row>
    <row r="82" spans="17:24" ht="16.5" thickBot="1">
      <c r="Q82" s="178"/>
      <c r="R82" s="177">
        <v>2016</v>
      </c>
      <c r="S82" s="177">
        <v>2015</v>
      </c>
      <c r="T82" s="191" t="str">
        <f>+IF($B$6="ESP","Var. %","% Chg.")</f>
        <v>Var. %</v>
      </c>
      <c r="U82" s="178"/>
      <c r="V82" s="179" t="str">
        <f>+IF($B$6="ESP","EFECTO","EFFECT")</f>
        <v>EFECTO</v>
      </c>
    </row>
    <row r="83" spans="17:24" ht="26.25" thickBot="1">
      <c r="Q83" s="178"/>
      <c r="R83" s="179" t="str">
        <f>+IF($B$6="esp","ENERO - MARZO","JANUARY-MARCH")</f>
        <v>ENERO - MARZO</v>
      </c>
      <c r="S83" s="179" t="str">
        <f>+R83</f>
        <v>ENERO - MARZO</v>
      </c>
      <c r="T83" s="192"/>
      <c r="U83" s="178"/>
      <c r="V83" s="179" t="str">
        <f>+IF($B$6="ESP","TC 16/15","16/15 FX")</f>
        <v>TC 16/15</v>
      </c>
    </row>
    <row r="84" spans="17:24" ht="16.5" thickBot="1">
      <c r="Q84" s="159" t="s">
        <v>0</v>
      </c>
      <c r="R84" s="178"/>
      <c r="S84" s="178"/>
      <c r="T84" s="178"/>
      <c r="U84" s="178"/>
      <c r="V84" s="178"/>
    </row>
    <row r="85" spans="17:24" ht="16.5" thickBot="1">
      <c r="Q85" s="180" t="s">
        <v>4</v>
      </c>
      <c r="R85" s="181">
        <v>52.868525107100844</v>
      </c>
      <c r="S85" s="181">
        <v>57.904934299765102</v>
      </c>
      <c r="T85" s="182">
        <v>-8.6977202436523432E-2</v>
      </c>
      <c r="U85" s="178"/>
      <c r="V85" s="181">
        <v>-21.613534874194503</v>
      </c>
    </row>
    <row r="86" spans="17:24" ht="16.5" thickBot="1">
      <c r="Q86" s="160" t="str">
        <f>+IF($B$6="esp","Educación tradicional y Compartir","Traditional Education and Compartir")</f>
        <v>Educación tradicional y Compartir</v>
      </c>
      <c r="R86" s="183">
        <v>47.343856466522837</v>
      </c>
      <c r="S86" s="183">
        <v>55.765997669572471</v>
      </c>
      <c r="T86" s="184">
        <v>-0.15102645976053247</v>
      </c>
      <c r="U86" s="178"/>
      <c r="V86" s="183">
        <v>-20.242391651716005</v>
      </c>
    </row>
    <row r="87" spans="17:24" ht="26.25" customHeight="1" thickBot="1">
      <c r="Q87" s="185" t="str">
        <f>+IF($B$6="esp","España*","Spain*")</f>
        <v>España*</v>
      </c>
      <c r="R87" s="186">
        <v>-16.24723157</v>
      </c>
      <c r="S87" s="186">
        <v>-16.00124074</v>
      </c>
      <c r="T87" s="187">
        <v>-1.5373234738295688E-2</v>
      </c>
      <c r="U87" s="178"/>
      <c r="V87" s="186">
        <v>0</v>
      </c>
    </row>
    <row r="88" spans="17:24" ht="16.5" thickBot="1">
      <c r="Q88" s="185" t="str">
        <f>+IF($B$6="esp","Brasil","Brazil")</f>
        <v>Brasil</v>
      </c>
      <c r="R88" s="186">
        <v>19.285694512443357</v>
      </c>
      <c r="S88" s="186">
        <v>33.509347050780001</v>
      </c>
      <c r="T88" s="187">
        <v>-0.42446820932625601</v>
      </c>
      <c r="U88" s="178"/>
      <c r="V88" s="186">
        <v>-8.2823324563525667</v>
      </c>
    </row>
    <row r="89" spans="17:24" ht="16.5" thickBot="1">
      <c r="Q89" s="185" t="str">
        <f>+IF($B$6="esp","México","Mexico")</f>
        <v>México</v>
      </c>
      <c r="R89" s="186">
        <v>-6.5816537988618187</v>
      </c>
      <c r="S89" s="186">
        <v>-7.4733166309807304</v>
      </c>
      <c r="T89" s="187">
        <v>0.11931286684984174</v>
      </c>
      <c r="U89" s="178"/>
      <c r="V89" s="186">
        <v>0.96437782380442061</v>
      </c>
    </row>
    <row r="90" spans="17:24" ht="16.5" thickBot="1">
      <c r="Q90" s="161" t="str">
        <f>+IF($B$6="esp","Otros países","Other Countries")</f>
        <v>Otros países</v>
      </c>
      <c r="R90" s="186">
        <v>50.887047322941299</v>
      </c>
      <c r="S90" s="186">
        <v>45.731207989773203</v>
      </c>
      <c r="T90" s="187">
        <v>0.11274225107548194</v>
      </c>
      <c r="U90" s="178"/>
      <c r="V90" s="186">
        <v>-12.924437019167859</v>
      </c>
    </row>
    <row r="91" spans="17:24" ht="16.5" thickBot="1">
      <c r="Q91" s="160" t="str">
        <f>+IF($B$6="esp","Sistema UNO","System UNO")</f>
        <v>Sistema UNO</v>
      </c>
      <c r="R91" s="183">
        <v>5.5613876796724888</v>
      </c>
      <c r="S91" s="183">
        <v>2.1517230610488527</v>
      </c>
      <c r="T91" s="184">
        <v>1.5846205677423946</v>
      </c>
      <c r="U91" s="178"/>
      <c r="V91" s="183">
        <v>-1.3711432224784974</v>
      </c>
    </row>
    <row r="92" spans="17:24" ht="15.75">
      <c r="Q92" s="178"/>
      <c r="R92" s="189"/>
      <c r="S92" s="189"/>
      <c r="T92" s="190"/>
      <c r="U92" s="178"/>
      <c r="V92" s="178"/>
    </row>
    <row r="93" spans="17:24" ht="16.5" thickBot="1">
      <c r="Q93" s="64" t="str">
        <f>+IF($B$6="esp","Ingresos ajustados a tipo de cambio constante","Adjusted Revenue at constant fx rate")</f>
        <v>Ingresos ajustados a tipo de cambio constante</v>
      </c>
      <c r="R93" s="178"/>
      <c r="S93" s="178"/>
      <c r="T93" s="178"/>
      <c r="U93" s="178"/>
      <c r="V93" s="178"/>
      <c r="W93" s="178"/>
      <c r="X93" s="178"/>
    </row>
    <row r="94" spans="17:24" ht="16.5" thickBot="1">
      <c r="Q94" s="180" t="s">
        <v>4</v>
      </c>
      <c r="R94" s="181">
        <v>74.48205998129535</v>
      </c>
      <c r="S94" s="181">
        <v>57.904934299765102</v>
      </c>
      <c r="T94" s="182">
        <v>0.28628174579584137</v>
      </c>
      <c r="U94" s="178"/>
      <c r="V94" s="178"/>
      <c r="W94" s="178"/>
      <c r="X94" s="178"/>
    </row>
    <row r="95" spans="17:24" ht="16.5" thickBot="1">
      <c r="Q95" s="160" t="str">
        <f>+IF($B$6="esp","Educación tradicional y Compartir","Traditional Education and Compartir")</f>
        <v>Educación tradicional y Compartir</v>
      </c>
      <c r="R95" s="183">
        <v>67.586248118238842</v>
      </c>
      <c r="S95" s="183">
        <v>55.765997669572471</v>
      </c>
      <c r="T95" s="184">
        <v>0.2119616064022439</v>
      </c>
      <c r="U95" s="178"/>
      <c r="V95" s="178"/>
      <c r="W95" s="178"/>
      <c r="X95" s="178"/>
    </row>
    <row r="96" spans="17:24" ht="16.5" thickBot="1">
      <c r="Q96" s="185" t="str">
        <f>+IF($B$6="esp","España*","Spain*")</f>
        <v>España*</v>
      </c>
      <c r="R96" s="186">
        <v>-16.24723157</v>
      </c>
      <c r="S96" s="186">
        <v>-16.00124074</v>
      </c>
      <c r="T96" s="187">
        <v>-1.5373234738295688E-2</v>
      </c>
      <c r="U96" s="178"/>
      <c r="V96" s="178"/>
      <c r="W96" s="178"/>
      <c r="X96" s="178"/>
    </row>
    <row r="97" spans="17:24" ht="16.5" thickBot="1">
      <c r="Q97" s="185" t="str">
        <f>+IF($B$6="esp","Brasil","Brazil")</f>
        <v>Brasil</v>
      </c>
      <c r="R97" s="186">
        <v>27.568026968795923</v>
      </c>
      <c r="S97" s="186">
        <v>33.509347050780001</v>
      </c>
      <c r="T97" s="187">
        <v>-0.17730336771351027</v>
      </c>
      <c r="U97" s="178"/>
      <c r="V97" s="178"/>
      <c r="W97" s="178"/>
      <c r="X97" s="178"/>
    </row>
    <row r="98" spans="17:24" ht="16.5" thickBot="1">
      <c r="Q98" s="185" t="str">
        <f>+IF($B$6="esp","México","Mexico")</f>
        <v>México</v>
      </c>
      <c r="R98" s="186">
        <v>-7.5460316226662396</v>
      </c>
      <c r="S98" s="186">
        <v>-7.4733166309807304</v>
      </c>
      <c r="T98" s="187">
        <v>-9.7299492683165963E-3</v>
      </c>
      <c r="U98" s="178"/>
      <c r="V98" s="178"/>
      <c r="W98" s="178"/>
      <c r="X98" s="178"/>
    </row>
    <row r="99" spans="17:24" ht="16.5" thickBot="1">
      <c r="Q99" s="161" t="str">
        <f>+IF($B$6="esp","Otros países","Other Countries")</f>
        <v>Otros países</v>
      </c>
      <c r="R99" s="186">
        <v>63.811484342109161</v>
      </c>
      <c r="S99" s="186">
        <v>45.731207989773203</v>
      </c>
      <c r="T99" s="187">
        <v>0.39535969302143126</v>
      </c>
      <c r="U99" s="178"/>
      <c r="V99" s="178"/>
      <c r="W99" s="178"/>
      <c r="X99" s="178"/>
    </row>
    <row r="100" spans="17:24" ht="16.5" thickBot="1">
      <c r="Q100" s="160" t="str">
        <f>+IF($B$6="esp","Sistema UNO","System UNO")</f>
        <v>Sistema UNO</v>
      </c>
      <c r="R100" s="183">
        <v>6.9325309021509867</v>
      </c>
      <c r="S100" s="183">
        <v>2.1517230610488527</v>
      </c>
      <c r="T100" s="184">
        <v>2.2218509099269212</v>
      </c>
      <c r="U100" s="178"/>
      <c r="V100" s="178"/>
      <c r="W100" s="178"/>
      <c r="X100" s="178"/>
    </row>
    <row r="101" spans="17:24" ht="15.75" thickBot="1"/>
    <row r="102" spans="17:24" ht="15.75" thickBot="1">
      <c r="Q102" s="185" t="str">
        <f>+IF($B$6="esp","España incluye Centro Corporativo*","Spain includes Corporate Center*")</f>
        <v>España incluye Centro Corporativo*</v>
      </c>
    </row>
  </sheetData>
  <mergeCells count="2">
    <mergeCell ref="T61:T62"/>
    <mergeCell ref="T82:T83"/>
  </mergeCells>
  <conditionalFormatting sqref="AH39:AH4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W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1Q_2016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Monfort Montoliu, Cira</dc:creator>
  <cp:lastModifiedBy>Monfort Montoliu, Cira</cp:lastModifiedBy>
  <dcterms:created xsi:type="dcterms:W3CDTF">2015-12-18T09:12:40Z</dcterms:created>
  <dcterms:modified xsi:type="dcterms:W3CDTF">2016-05-06T09:05:37Z</dcterms:modified>
</cp:coreProperties>
</file>