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LACIÓN CON INVERSORES\NEW\RESULTS\2017\2T\Doc DEF\"/>
    </mc:Choice>
  </mc:AlternateContent>
  <bookViews>
    <workbookView xWindow="240" yWindow="90" windowWidth="28380" windowHeight="11385"/>
  </bookViews>
  <sheets>
    <sheet name="To Publish" sheetId="1" r:id="rId1"/>
  </sheets>
  <externalReferences>
    <externalReference r:id="rId2"/>
  </externalReferences>
  <definedNames>
    <definedName name="_xlnm.Print_Area" localSheetId="0">'To Publish'!$D$6:$H$168</definedName>
  </definedNames>
  <calcPr calcId="171027"/>
</workbook>
</file>

<file path=xl/calcChain.xml><?xml version="1.0" encoding="utf-8"?>
<calcChain xmlns="http://schemas.openxmlformats.org/spreadsheetml/2006/main">
  <c r="V186" i="1" l="1"/>
  <c r="W186" i="1" s="1"/>
  <c r="U186" i="1"/>
  <c r="R186" i="1"/>
  <c r="S186" i="1" s="1"/>
  <c r="Q186" i="1"/>
  <c r="O186" i="1"/>
  <c r="V185" i="1"/>
  <c r="U185" i="1"/>
  <c r="R185" i="1"/>
  <c r="Q185" i="1"/>
  <c r="S185" i="1" s="1"/>
  <c r="O185" i="1"/>
  <c r="V184" i="1"/>
  <c r="U184" i="1"/>
  <c r="R184" i="1"/>
  <c r="S184" i="1" s="1"/>
  <c r="Q184" i="1"/>
  <c r="O184" i="1"/>
  <c r="V183" i="1"/>
  <c r="U183" i="1"/>
  <c r="R183" i="1"/>
  <c r="S183" i="1" s="1"/>
  <c r="Q183" i="1"/>
  <c r="O183" i="1"/>
  <c r="V182" i="1"/>
  <c r="W182" i="1" s="1"/>
  <c r="U182" i="1"/>
  <c r="R182" i="1"/>
  <c r="S182" i="1" s="1"/>
  <c r="Q182" i="1"/>
  <c r="O182" i="1"/>
  <c r="O181" i="1"/>
  <c r="W180" i="1"/>
  <c r="S180" i="1"/>
  <c r="O180" i="1"/>
  <c r="V175" i="1"/>
  <c r="U175" i="1"/>
  <c r="R175" i="1"/>
  <c r="S175" i="1" s="1"/>
  <c r="Q175" i="1"/>
  <c r="O175" i="1"/>
  <c r="V174" i="1"/>
  <c r="W174" i="1" s="1"/>
  <c r="U174" i="1"/>
  <c r="R174" i="1"/>
  <c r="S174" i="1" s="1"/>
  <c r="Q174" i="1"/>
  <c r="O174" i="1"/>
  <c r="V173" i="1"/>
  <c r="U173" i="1"/>
  <c r="R173" i="1"/>
  <c r="Q173" i="1"/>
  <c r="S173" i="1" s="1"/>
  <c r="O173" i="1"/>
  <c r="V172" i="1"/>
  <c r="U172" i="1"/>
  <c r="R172" i="1"/>
  <c r="S172" i="1" s="1"/>
  <c r="Q172" i="1"/>
  <c r="O172" i="1"/>
  <c r="V171" i="1"/>
  <c r="U171" i="1"/>
  <c r="R171" i="1"/>
  <c r="S171" i="1" s="1"/>
  <c r="Q171" i="1"/>
  <c r="O171" i="1"/>
  <c r="O170" i="1"/>
  <c r="W169" i="1"/>
  <c r="S169" i="1"/>
  <c r="O169" i="1"/>
  <c r="K163" i="1"/>
  <c r="J163" i="1"/>
  <c r="L163" i="1" s="1"/>
  <c r="G163" i="1"/>
  <c r="F163" i="1"/>
  <c r="D163" i="1"/>
  <c r="V162" i="1"/>
  <c r="W162" i="1" s="1"/>
  <c r="U162" i="1"/>
  <c r="S162" i="1"/>
  <c r="R162" i="1"/>
  <c r="Q162" i="1"/>
  <c r="O162" i="1"/>
  <c r="K162" i="1"/>
  <c r="J162" i="1"/>
  <c r="L162" i="1" s="1"/>
  <c r="G162" i="1"/>
  <c r="F162" i="1"/>
  <c r="D162" i="1"/>
  <c r="V161" i="1"/>
  <c r="W161" i="1" s="1"/>
  <c r="U161" i="1"/>
  <c r="R161" i="1"/>
  <c r="Q161" i="1"/>
  <c r="O161" i="1"/>
  <c r="K161" i="1"/>
  <c r="J161" i="1"/>
  <c r="L161" i="1" s="1"/>
  <c r="G161" i="1"/>
  <c r="F161" i="1"/>
  <c r="D161" i="1"/>
  <c r="V160" i="1"/>
  <c r="W160" i="1" s="1"/>
  <c r="U160" i="1"/>
  <c r="S160" i="1"/>
  <c r="R160" i="1"/>
  <c r="Q160" i="1"/>
  <c r="O160" i="1"/>
  <c r="K160" i="1"/>
  <c r="J160" i="1"/>
  <c r="L160" i="1" s="1"/>
  <c r="G160" i="1"/>
  <c r="F160" i="1"/>
  <c r="D160" i="1"/>
  <c r="V159" i="1"/>
  <c r="W159" i="1" s="1"/>
  <c r="U159" i="1"/>
  <c r="R159" i="1"/>
  <c r="Q159" i="1"/>
  <c r="O159" i="1"/>
  <c r="K159" i="1"/>
  <c r="J159" i="1"/>
  <c r="L159" i="1" s="1"/>
  <c r="G159" i="1"/>
  <c r="F159" i="1"/>
  <c r="D159" i="1"/>
  <c r="V158" i="1"/>
  <c r="W158" i="1" s="1"/>
  <c r="U158" i="1"/>
  <c r="R158" i="1"/>
  <c r="Q158" i="1"/>
  <c r="S158" i="1" s="1"/>
  <c r="O158" i="1"/>
  <c r="L158" i="1"/>
  <c r="K158" i="1"/>
  <c r="J158" i="1"/>
  <c r="G158" i="1"/>
  <c r="F158" i="1"/>
  <c r="D158" i="1"/>
  <c r="O157" i="1"/>
  <c r="D157" i="1"/>
  <c r="W156" i="1"/>
  <c r="S156" i="1"/>
  <c r="O156" i="1"/>
  <c r="L156" i="1"/>
  <c r="H156" i="1"/>
  <c r="D156" i="1"/>
  <c r="K152" i="1"/>
  <c r="L152" i="1" s="1"/>
  <c r="J152" i="1"/>
  <c r="G152" i="1"/>
  <c r="F152" i="1"/>
  <c r="D152" i="1"/>
  <c r="V151" i="1"/>
  <c r="U151" i="1"/>
  <c r="W151" i="1" s="1"/>
  <c r="R151" i="1"/>
  <c r="Q151" i="1"/>
  <c r="O151" i="1"/>
  <c r="K151" i="1"/>
  <c r="L151" i="1" s="1"/>
  <c r="J151" i="1"/>
  <c r="G151" i="1"/>
  <c r="F151" i="1"/>
  <c r="H151" i="1" s="1"/>
  <c r="D151" i="1"/>
  <c r="W150" i="1"/>
  <c r="V150" i="1"/>
  <c r="U150" i="1"/>
  <c r="R150" i="1"/>
  <c r="Q150" i="1"/>
  <c r="O150" i="1"/>
  <c r="K150" i="1"/>
  <c r="L150" i="1" s="1"/>
  <c r="J150" i="1"/>
  <c r="G150" i="1"/>
  <c r="F150" i="1"/>
  <c r="D150" i="1"/>
  <c r="V149" i="1"/>
  <c r="U149" i="1"/>
  <c r="W149" i="1" s="1"/>
  <c r="R149" i="1"/>
  <c r="Q149" i="1"/>
  <c r="O149" i="1"/>
  <c r="K149" i="1"/>
  <c r="L149" i="1" s="1"/>
  <c r="J149" i="1"/>
  <c r="H149" i="1"/>
  <c r="G149" i="1"/>
  <c r="F149" i="1"/>
  <c r="D149" i="1"/>
  <c r="V148" i="1"/>
  <c r="U148" i="1"/>
  <c r="W148" i="1" s="1"/>
  <c r="R148" i="1"/>
  <c r="Q148" i="1"/>
  <c r="O148" i="1"/>
  <c r="K148" i="1"/>
  <c r="L148" i="1" s="1"/>
  <c r="J148" i="1"/>
  <c r="G148" i="1"/>
  <c r="F148" i="1"/>
  <c r="D148" i="1"/>
  <c r="V147" i="1"/>
  <c r="U147" i="1"/>
  <c r="W147" i="1" s="1"/>
  <c r="R147" i="1"/>
  <c r="Q147" i="1"/>
  <c r="O147" i="1"/>
  <c r="K147" i="1"/>
  <c r="L147" i="1" s="1"/>
  <c r="J147" i="1"/>
  <c r="H147" i="1"/>
  <c r="G147" i="1"/>
  <c r="F147" i="1"/>
  <c r="D147" i="1"/>
  <c r="O146" i="1"/>
  <c r="D146" i="1"/>
  <c r="W145" i="1"/>
  <c r="S145" i="1"/>
  <c r="O145" i="1"/>
  <c r="L145" i="1"/>
  <c r="H145" i="1"/>
  <c r="D145" i="1"/>
  <c r="K138" i="1"/>
  <c r="J138" i="1"/>
  <c r="L138" i="1" s="1"/>
  <c r="G138" i="1"/>
  <c r="F138" i="1"/>
  <c r="D138" i="1"/>
  <c r="K137" i="1"/>
  <c r="L137" i="1" s="1"/>
  <c r="J137" i="1"/>
  <c r="G137" i="1"/>
  <c r="F137" i="1"/>
  <c r="D137" i="1"/>
  <c r="K136" i="1"/>
  <c r="J136" i="1"/>
  <c r="L136" i="1" s="1"/>
  <c r="G136" i="1"/>
  <c r="F136" i="1"/>
  <c r="D136" i="1"/>
  <c r="K135" i="1"/>
  <c r="L135" i="1" s="1"/>
  <c r="J135" i="1"/>
  <c r="G135" i="1"/>
  <c r="F135" i="1"/>
  <c r="H135" i="1" s="1"/>
  <c r="D135" i="1"/>
  <c r="L134" i="1"/>
  <c r="K134" i="1"/>
  <c r="J134" i="1"/>
  <c r="G134" i="1"/>
  <c r="F134" i="1"/>
  <c r="D134" i="1"/>
  <c r="K133" i="1"/>
  <c r="L133" i="1" s="1"/>
  <c r="J133" i="1"/>
  <c r="G133" i="1"/>
  <c r="F133" i="1"/>
  <c r="D133" i="1"/>
  <c r="K132" i="1"/>
  <c r="J132" i="1"/>
  <c r="L132" i="1" s="1"/>
  <c r="G132" i="1"/>
  <c r="F132" i="1"/>
  <c r="D132" i="1"/>
  <c r="L130" i="1"/>
  <c r="H130" i="1"/>
  <c r="D130" i="1"/>
  <c r="AG125" i="1"/>
  <c r="AF125" i="1"/>
  <c r="AH125" i="1" s="1"/>
  <c r="AC125" i="1"/>
  <c r="AB125" i="1"/>
  <c r="Z125" i="1"/>
  <c r="K125" i="1"/>
  <c r="L125" i="1" s="1"/>
  <c r="J125" i="1"/>
  <c r="G125" i="1"/>
  <c r="F125" i="1"/>
  <c r="H125" i="1" s="1"/>
  <c r="D125" i="1"/>
  <c r="BD124" i="1"/>
  <c r="BC124" i="1"/>
  <c r="BB124" i="1"/>
  <c r="AY124" i="1"/>
  <c r="AX124" i="1"/>
  <c r="AV124" i="1"/>
  <c r="AR124" i="1"/>
  <c r="AS124" i="1" s="1"/>
  <c r="AQ124" i="1"/>
  <c r="AN124" i="1"/>
  <c r="AM124" i="1"/>
  <c r="AK124" i="1"/>
  <c r="AG124" i="1"/>
  <c r="AF124" i="1"/>
  <c r="AH124" i="1" s="1"/>
  <c r="AC124" i="1"/>
  <c r="AB124" i="1"/>
  <c r="Z124" i="1"/>
  <c r="V124" i="1"/>
  <c r="W124" i="1" s="1"/>
  <c r="U124" i="1"/>
  <c r="S124" i="1"/>
  <c r="R124" i="1"/>
  <c r="Q124" i="1"/>
  <c r="O124" i="1"/>
  <c r="K124" i="1"/>
  <c r="J124" i="1"/>
  <c r="L124" i="1" s="1"/>
  <c r="G124" i="1"/>
  <c r="F124" i="1"/>
  <c r="D124" i="1"/>
  <c r="BC123" i="1"/>
  <c r="BD123" i="1" s="1"/>
  <c r="BB123" i="1"/>
  <c r="AY123" i="1"/>
  <c r="AX123" i="1"/>
  <c r="AV123" i="1"/>
  <c r="AR123" i="1"/>
  <c r="AQ123" i="1"/>
  <c r="AS123" i="1" s="1"/>
  <c r="AN123" i="1"/>
  <c r="AM123" i="1"/>
  <c r="AK123" i="1"/>
  <c r="AG123" i="1"/>
  <c r="AH123" i="1" s="1"/>
  <c r="AF123" i="1"/>
  <c r="AD123" i="1"/>
  <c r="AC123" i="1"/>
  <c r="AB123" i="1"/>
  <c r="Z123" i="1"/>
  <c r="V123" i="1"/>
  <c r="U123" i="1"/>
  <c r="W123" i="1" s="1"/>
  <c r="R123" i="1"/>
  <c r="Q123" i="1"/>
  <c r="O123" i="1"/>
  <c r="K123" i="1"/>
  <c r="L123" i="1" s="1"/>
  <c r="J123" i="1"/>
  <c r="G123" i="1"/>
  <c r="F123" i="1"/>
  <c r="D123" i="1"/>
  <c r="BC122" i="1"/>
  <c r="BB122" i="1"/>
  <c r="BD122" i="1" s="1"/>
  <c r="AY122" i="1"/>
  <c r="AX122" i="1"/>
  <c r="AV122" i="1"/>
  <c r="AR122" i="1"/>
  <c r="AS122" i="1" s="1"/>
  <c r="AQ122" i="1"/>
  <c r="AN122" i="1"/>
  <c r="AM122" i="1"/>
  <c r="AO122" i="1" s="1"/>
  <c r="AK122" i="1"/>
  <c r="AH122" i="1"/>
  <c r="AG122" i="1"/>
  <c r="AF122" i="1"/>
  <c r="AC122" i="1"/>
  <c r="AB122" i="1"/>
  <c r="Z122" i="1"/>
  <c r="V122" i="1"/>
  <c r="W122" i="1" s="1"/>
  <c r="U122" i="1"/>
  <c r="R122" i="1"/>
  <c r="Q122" i="1"/>
  <c r="O122" i="1"/>
  <c r="K122" i="1"/>
  <c r="J122" i="1"/>
  <c r="L122" i="1" s="1"/>
  <c r="G122" i="1"/>
  <c r="F122" i="1"/>
  <c r="D122" i="1"/>
  <c r="BC121" i="1"/>
  <c r="BD121" i="1" s="1"/>
  <c r="BB121" i="1"/>
  <c r="AY121" i="1"/>
  <c r="AX121" i="1"/>
  <c r="AZ121" i="1" s="1"/>
  <c r="AV121" i="1"/>
  <c r="AS121" i="1"/>
  <c r="AR121" i="1"/>
  <c r="AQ121" i="1"/>
  <c r="AN121" i="1"/>
  <c r="AM121" i="1"/>
  <c r="AK121" i="1"/>
  <c r="AG121" i="1"/>
  <c r="AH121" i="1" s="1"/>
  <c r="AF121" i="1"/>
  <c r="AC121" i="1"/>
  <c r="AB121" i="1"/>
  <c r="Z121" i="1"/>
  <c r="V121" i="1"/>
  <c r="U121" i="1"/>
  <c r="W121" i="1" s="1"/>
  <c r="R121" i="1"/>
  <c r="Q121" i="1"/>
  <c r="O121" i="1"/>
  <c r="K121" i="1"/>
  <c r="L121" i="1" s="1"/>
  <c r="J121" i="1"/>
  <c r="H121" i="1"/>
  <c r="G121" i="1"/>
  <c r="F121" i="1"/>
  <c r="D121" i="1"/>
  <c r="BC120" i="1"/>
  <c r="BB120" i="1"/>
  <c r="BD120" i="1" s="1"/>
  <c r="AY120" i="1"/>
  <c r="AX120" i="1"/>
  <c r="AV120" i="1"/>
  <c r="AR120" i="1"/>
  <c r="AS120" i="1" s="1"/>
  <c r="AQ120" i="1"/>
  <c r="AN120" i="1"/>
  <c r="AM120" i="1"/>
  <c r="AK120" i="1"/>
  <c r="AG120" i="1"/>
  <c r="AF120" i="1"/>
  <c r="AH120" i="1" s="1"/>
  <c r="AC120" i="1"/>
  <c r="AB120" i="1"/>
  <c r="Z120" i="1"/>
  <c r="V120" i="1"/>
  <c r="W120" i="1" s="1"/>
  <c r="U120" i="1"/>
  <c r="S120" i="1"/>
  <c r="R120" i="1"/>
  <c r="Q120" i="1"/>
  <c r="O120" i="1"/>
  <c r="K120" i="1"/>
  <c r="J120" i="1"/>
  <c r="L120" i="1" s="1"/>
  <c r="G120" i="1"/>
  <c r="F120" i="1"/>
  <c r="D120" i="1"/>
  <c r="BC119" i="1"/>
  <c r="BD119" i="1" s="1"/>
  <c r="BB119" i="1"/>
  <c r="AY119" i="1"/>
  <c r="AX119" i="1"/>
  <c r="AV119" i="1"/>
  <c r="AR119" i="1"/>
  <c r="AQ119" i="1"/>
  <c r="AS119" i="1" s="1"/>
  <c r="AN119" i="1"/>
  <c r="AM119" i="1"/>
  <c r="AK119" i="1"/>
  <c r="AG119" i="1"/>
  <c r="AH119" i="1" s="1"/>
  <c r="AF119" i="1"/>
  <c r="AC119" i="1"/>
  <c r="AB119" i="1"/>
  <c r="AD119" i="1" s="1"/>
  <c r="Z119" i="1"/>
  <c r="W119" i="1"/>
  <c r="V119" i="1"/>
  <c r="U119" i="1"/>
  <c r="R119" i="1"/>
  <c r="Q119" i="1"/>
  <c r="O119" i="1"/>
  <c r="K119" i="1"/>
  <c r="L119" i="1" s="1"/>
  <c r="J119" i="1"/>
  <c r="G119" i="1"/>
  <c r="F119" i="1"/>
  <c r="D119" i="1"/>
  <c r="BC118" i="1"/>
  <c r="BB118" i="1"/>
  <c r="BD118" i="1" s="1"/>
  <c r="AY118" i="1"/>
  <c r="AX118" i="1"/>
  <c r="AV118" i="1"/>
  <c r="AR118" i="1"/>
  <c r="AS118" i="1" s="1"/>
  <c r="AQ118" i="1"/>
  <c r="AN118" i="1"/>
  <c r="AM118" i="1"/>
  <c r="AO118" i="1" s="1"/>
  <c r="AK118" i="1"/>
  <c r="AH118" i="1"/>
  <c r="AG118" i="1"/>
  <c r="AF118" i="1"/>
  <c r="AC118" i="1"/>
  <c r="AB118" i="1"/>
  <c r="Z118" i="1"/>
  <c r="V118" i="1"/>
  <c r="W118" i="1" s="1"/>
  <c r="U118" i="1"/>
  <c r="R118" i="1"/>
  <c r="Q118" i="1"/>
  <c r="O118" i="1"/>
  <c r="K118" i="1"/>
  <c r="J118" i="1"/>
  <c r="L118" i="1" s="1"/>
  <c r="G118" i="1"/>
  <c r="F118" i="1"/>
  <c r="D118" i="1"/>
  <c r="BD116" i="1"/>
  <c r="AZ116" i="1"/>
  <c r="AV116" i="1"/>
  <c r="AS116" i="1"/>
  <c r="AO116" i="1"/>
  <c r="AK116" i="1"/>
  <c r="AH116" i="1"/>
  <c r="AD116" i="1"/>
  <c r="Z116" i="1"/>
  <c r="W116" i="1"/>
  <c r="S116" i="1"/>
  <c r="O116" i="1"/>
  <c r="L116" i="1"/>
  <c r="H116" i="1"/>
  <c r="D116" i="1"/>
  <c r="BB114" i="1"/>
  <c r="AX114" i="1"/>
  <c r="AV114" i="1"/>
  <c r="AQ114" i="1"/>
  <c r="AM114" i="1"/>
  <c r="AK114" i="1"/>
  <c r="Z114" i="1"/>
  <c r="O114" i="1"/>
  <c r="D114" i="1"/>
  <c r="BD105" i="1"/>
  <c r="AZ105" i="1"/>
  <c r="BD104" i="1"/>
  <c r="AZ104" i="1"/>
  <c r="BD103" i="1"/>
  <c r="AZ103" i="1"/>
  <c r="L103" i="1"/>
  <c r="H103" i="1"/>
  <c r="BD102" i="1"/>
  <c r="AZ102" i="1"/>
  <c r="AG102" i="1"/>
  <c r="AH102" i="1" s="1"/>
  <c r="AF102" i="1"/>
  <c r="AD102" i="1"/>
  <c r="AC102" i="1"/>
  <c r="AB102" i="1"/>
  <c r="Z102" i="1"/>
  <c r="W102" i="1"/>
  <c r="S102" i="1"/>
  <c r="K102" i="1"/>
  <c r="J102" i="1"/>
  <c r="G102" i="1"/>
  <c r="F102" i="1"/>
  <c r="D102" i="1"/>
  <c r="BD101" i="1"/>
  <c r="AZ101" i="1"/>
  <c r="AS101" i="1"/>
  <c r="AO101" i="1"/>
  <c r="AG101" i="1"/>
  <c r="AF101" i="1"/>
  <c r="AC101" i="1"/>
  <c r="AB101" i="1"/>
  <c r="AD101" i="1" s="1"/>
  <c r="Z101" i="1"/>
  <c r="W101" i="1"/>
  <c r="S101" i="1"/>
  <c r="L101" i="1"/>
  <c r="K101" i="1"/>
  <c r="J101" i="1"/>
  <c r="G101" i="1"/>
  <c r="F101" i="1"/>
  <c r="D101" i="1"/>
  <c r="BC100" i="1"/>
  <c r="BD100" i="1" s="1"/>
  <c r="BB100" i="1"/>
  <c r="AZ100" i="1"/>
  <c r="AY100" i="1"/>
  <c r="AX100" i="1"/>
  <c r="AV100" i="1"/>
  <c r="AS100" i="1"/>
  <c r="AR100" i="1"/>
  <c r="AQ100" i="1"/>
  <c r="AN100" i="1"/>
  <c r="AO100" i="1" s="1"/>
  <c r="AM100" i="1"/>
  <c r="AK100" i="1"/>
  <c r="AG100" i="1"/>
  <c r="AH100" i="1" s="1"/>
  <c r="AF100" i="1"/>
  <c r="AC100" i="1"/>
  <c r="AB100" i="1"/>
  <c r="AD100" i="1" s="1"/>
  <c r="Z100" i="1"/>
  <c r="W100" i="1"/>
  <c r="V100" i="1"/>
  <c r="U100" i="1"/>
  <c r="R100" i="1"/>
  <c r="S100" i="1" s="1"/>
  <c r="Q100" i="1"/>
  <c r="O100" i="1"/>
  <c r="K100" i="1"/>
  <c r="L100" i="1" s="1"/>
  <c r="J100" i="1"/>
  <c r="H100" i="1"/>
  <c r="G100" i="1"/>
  <c r="F100" i="1"/>
  <c r="D100" i="1"/>
  <c r="BD99" i="1"/>
  <c r="AZ99" i="1"/>
  <c r="BD98" i="1"/>
  <c r="AZ98" i="1"/>
  <c r="BD97" i="1"/>
  <c r="AZ97" i="1"/>
  <c r="W97" i="1"/>
  <c r="S97" i="1"/>
  <c r="BD96" i="1"/>
  <c r="AZ96" i="1"/>
  <c r="AG96" i="1"/>
  <c r="AF96" i="1"/>
  <c r="AC96" i="1"/>
  <c r="AD96" i="1" s="1"/>
  <c r="AB96" i="1"/>
  <c r="Z96" i="1"/>
  <c r="W96" i="1"/>
  <c r="S96" i="1"/>
  <c r="K96" i="1"/>
  <c r="J96" i="1"/>
  <c r="G96" i="1"/>
  <c r="F96" i="1"/>
  <c r="H96" i="1" s="1"/>
  <c r="D96" i="1"/>
  <c r="BC95" i="1"/>
  <c r="BB95" i="1"/>
  <c r="AY95" i="1"/>
  <c r="AZ95" i="1" s="1"/>
  <c r="AX95" i="1"/>
  <c r="AV95" i="1"/>
  <c r="AR95" i="1"/>
  <c r="AQ95" i="1"/>
  <c r="AN95" i="1"/>
  <c r="AO95" i="1" s="1"/>
  <c r="AM95" i="1"/>
  <c r="AK95" i="1"/>
  <c r="AG95" i="1"/>
  <c r="AH95" i="1" s="1"/>
  <c r="AF95" i="1"/>
  <c r="AC95" i="1"/>
  <c r="AD95" i="1" s="1"/>
  <c r="AB95" i="1"/>
  <c r="Z95" i="1"/>
  <c r="V95" i="1"/>
  <c r="U95" i="1"/>
  <c r="R95" i="1"/>
  <c r="Q95" i="1"/>
  <c r="S95" i="1" s="1"/>
  <c r="O95" i="1"/>
  <c r="K95" i="1"/>
  <c r="J95" i="1"/>
  <c r="G95" i="1"/>
  <c r="H95" i="1" s="1"/>
  <c r="F95" i="1"/>
  <c r="D95" i="1"/>
  <c r="BC94" i="1"/>
  <c r="BB94" i="1"/>
  <c r="AY94" i="1"/>
  <c r="AZ94" i="1" s="1"/>
  <c r="AX94" i="1"/>
  <c r="AV94" i="1"/>
  <c r="AR94" i="1"/>
  <c r="AS94" i="1" s="1"/>
  <c r="AQ94" i="1"/>
  <c r="AN94" i="1"/>
  <c r="AO94" i="1" s="1"/>
  <c r="AM94" i="1"/>
  <c r="AK94" i="1"/>
  <c r="AG94" i="1"/>
  <c r="AF94" i="1"/>
  <c r="AC94" i="1"/>
  <c r="AD94" i="1" s="1"/>
  <c r="AB94" i="1"/>
  <c r="Z94" i="1"/>
  <c r="V94" i="1"/>
  <c r="W94" i="1" s="1"/>
  <c r="U94" i="1"/>
  <c r="R94" i="1"/>
  <c r="S94" i="1" s="1"/>
  <c r="Q94" i="1"/>
  <c r="O94" i="1"/>
  <c r="K94" i="1"/>
  <c r="J94" i="1"/>
  <c r="G94" i="1"/>
  <c r="H94" i="1" s="1"/>
  <c r="F94" i="1"/>
  <c r="D94" i="1"/>
  <c r="BD93" i="1"/>
  <c r="AZ93" i="1"/>
  <c r="BD92" i="1"/>
  <c r="AZ92" i="1"/>
  <c r="BD91" i="1"/>
  <c r="AZ91" i="1"/>
  <c r="BD90" i="1"/>
  <c r="AZ90" i="1"/>
  <c r="BD89" i="1"/>
  <c r="AZ89" i="1"/>
  <c r="AG89" i="1"/>
  <c r="AF89" i="1"/>
  <c r="AH89" i="1" s="1"/>
  <c r="AC89" i="1"/>
  <c r="AB89" i="1"/>
  <c r="Z89" i="1"/>
  <c r="W89" i="1"/>
  <c r="S89" i="1"/>
  <c r="K89" i="1"/>
  <c r="L89" i="1" s="1"/>
  <c r="J89" i="1"/>
  <c r="H89" i="1"/>
  <c r="G89" i="1"/>
  <c r="F89" i="1"/>
  <c r="D89" i="1"/>
  <c r="BD88" i="1"/>
  <c r="BC88" i="1"/>
  <c r="BB88" i="1"/>
  <c r="AY88" i="1"/>
  <c r="AZ88" i="1" s="1"/>
  <c r="AX88" i="1"/>
  <c r="AV88" i="1"/>
  <c r="AR88" i="1"/>
  <c r="AS88" i="1" s="1"/>
  <c r="AQ88" i="1"/>
  <c r="AO88" i="1"/>
  <c r="AN88" i="1"/>
  <c r="AM88" i="1"/>
  <c r="AK88" i="1"/>
  <c r="AH88" i="1"/>
  <c r="AG88" i="1"/>
  <c r="AF88" i="1"/>
  <c r="AC88" i="1"/>
  <c r="AB88" i="1"/>
  <c r="Z88" i="1"/>
  <c r="V88" i="1"/>
  <c r="W88" i="1" s="1"/>
  <c r="U88" i="1"/>
  <c r="S88" i="1"/>
  <c r="R88" i="1"/>
  <c r="Q88" i="1"/>
  <c r="O88" i="1"/>
  <c r="K88" i="1"/>
  <c r="J88" i="1"/>
  <c r="L88" i="1" s="1"/>
  <c r="G88" i="1"/>
  <c r="F88" i="1"/>
  <c r="D88" i="1"/>
  <c r="AV87" i="1"/>
  <c r="AK87" i="1"/>
  <c r="Z87" i="1"/>
  <c r="O87" i="1"/>
  <c r="D87" i="1"/>
  <c r="BD86" i="1"/>
  <c r="AZ86" i="1"/>
  <c r="AV86" i="1"/>
  <c r="AS86" i="1"/>
  <c r="AO86" i="1"/>
  <c r="AK86" i="1"/>
  <c r="AH86" i="1"/>
  <c r="AD86" i="1"/>
  <c r="Z86" i="1"/>
  <c r="W86" i="1"/>
  <c r="S86" i="1"/>
  <c r="O86" i="1"/>
  <c r="L86" i="1"/>
  <c r="H86" i="1"/>
  <c r="D86" i="1"/>
  <c r="K80" i="1"/>
  <c r="L80" i="1" s="1"/>
  <c r="J80" i="1"/>
  <c r="H80" i="1"/>
  <c r="G80" i="1"/>
  <c r="F80" i="1"/>
  <c r="D80" i="1"/>
  <c r="K79" i="1"/>
  <c r="J79" i="1"/>
  <c r="L79" i="1" s="1"/>
  <c r="G79" i="1"/>
  <c r="F79" i="1"/>
  <c r="D79" i="1"/>
  <c r="K78" i="1"/>
  <c r="L78" i="1" s="1"/>
  <c r="J78" i="1"/>
  <c r="G78" i="1"/>
  <c r="F78" i="1"/>
  <c r="H78" i="1" s="1"/>
  <c r="D78" i="1"/>
  <c r="L77" i="1"/>
  <c r="K77" i="1"/>
  <c r="J77" i="1"/>
  <c r="G77" i="1"/>
  <c r="F77" i="1"/>
  <c r="D77" i="1"/>
  <c r="K76" i="1"/>
  <c r="L76" i="1" s="1"/>
  <c r="J76" i="1"/>
  <c r="H76" i="1"/>
  <c r="G76" i="1"/>
  <c r="F76" i="1"/>
  <c r="D76" i="1"/>
  <c r="K75" i="1"/>
  <c r="J75" i="1"/>
  <c r="L75" i="1" s="1"/>
  <c r="G75" i="1"/>
  <c r="F75" i="1"/>
  <c r="D75" i="1"/>
  <c r="K74" i="1"/>
  <c r="L74" i="1" s="1"/>
  <c r="J74" i="1"/>
  <c r="G74" i="1"/>
  <c r="F74" i="1"/>
  <c r="H74" i="1" s="1"/>
  <c r="D74" i="1"/>
  <c r="L73" i="1"/>
  <c r="K73" i="1"/>
  <c r="J73" i="1"/>
  <c r="G73" i="1"/>
  <c r="F73" i="1"/>
  <c r="D73" i="1"/>
  <c r="Z72" i="1"/>
  <c r="K72" i="1"/>
  <c r="J72" i="1"/>
  <c r="L72" i="1" s="1"/>
  <c r="G72" i="1"/>
  <c r="F72" i="1"/>
  <c r="D72" i="1"/>
  <c r="AG71" i="1"/>
  <c r="AH71" i="1" s="1"/>
  <c r="AF71" i="1"/>
  <c r="AC71" i="1"/>
  <c r="AB71" i="1"/>
  <c r="Z71" i="1"/>
  <c r="O71" i="1"/>
  <c r="D71" i="1"/>
  <c r="AG70" i="1"/>
  <c r="AH70" i="1" s="1"/>
  <c r="AF70" i="1"/>
  <c r="AC70" i="1"/>
  <c r="AD70" i="1" s="1"/>
  <c r="AB70" i="1"/>
  <c r="Z70" i="1"/>
  <c r="V70" i="1"/>
  <c r="U70" i="1"/>
  <c r="R70" i="1"/>
  <c r="S70" i="1" s="1"/>
  <c r="Q70" i="1"/>
  <c r="O70" i="1"/>
  <c r="K70" i="1"/>
  <c r="L70" i="1" s="1"/>
  <c r="J70" i="1"/>
  <c r="G70" i="1"/>
  <c r="H70" i="1" s="1"/>
  <c r="F70" i="1"/>
  <c r="D70" i="1"/>
  <c r="AG69" i="1"/>
  <c r="AF69" i="1"/>
  <c r="AC69" i="1"/>
  <c r="AD69" i="1" s="1"/>
  <c r="AB69" i="1"/>
  <c r="Z69" i="1"/>
  <c r="V69" i="1"/>
  <c r="W69" i="1" s="1"/>
  <c r="U69" i="1"/>
  <c r="R69" i="1"/>
  <c r="S69" i="1" s="1"/>
  <c r="Q69" i="1"/>
  <c r="O69" i="1"/>
  <c r="K69" i="1"/>
  <c r="J69" i="1"/>
  <c r="G69" i="1"/>
  <c r="H69" i="1" s="1"/>
  <c r="F69" i="1"/>
  <c r="D69" i="1"/>
  <c r="AG68" i="1"/>
  <c r="AH68" i="1" s="1"/>
  <c r="AF68" i="1"/>
  <c r="AC68" i="1"/>
  <c r="AD68" i="1" s="1"/>
  <c r="AB68" i="1"/>
  <c r="Z68" i="1"/>
  <c r="V68" i="1"/>
  <c r="U68" i="1"/>
  <c r="R68" i="1"/>
  <c r="S68" i="1" s="1"/>
  <c r="Q68" i="1"/>
  <c r="O68" i="1"/>
  <c r="K68" i="1"/>
  <c r="L68" i="1" s="1"/>
  <c r="J68" i="1"/>
  <c r="G68" i="1"/>
  <c r="H68" i="1" s="1"/>
  <c r="F68" i="1"/>
  <c r="D68" i="1"/>
  <c r="AG67" i="1"/>
  <c r="AF67" i="1"/>
  <c r="AC67" i="1"/>
  <c r="AD67" i="1" s="1"/>
  <c r="AB67" i="1"/>
  <c r="Z67" i="1"/>
  <c r="V67" i="1"/>
  <c r="W67" i="1" s="1"/>
  <c r="U67" i="1"/>
  <c r="R67" i="1"/>
  <c r="S67" i="1" s="1"/>
  <c r="Q67" i="1"/>
  <c r="O67" i="1"/>
  <c r="K67" i="1"/>
  <c r="J67" i="1"/>
  <c r="G67" i="1"/>
  <c r="H67" i="1" s="1"/>
  <c r="F67" i="1"/>
  <c r="D67" i="1"/>
  <c r="Z66" i="1"/>
  <c r="V66" i="1"/>
  <c r="W66" i="1" s="1"/>
  <c r="U66" i="1"/>
  <c r="R66" i="1"/>
  <c r="Q66" i="1"/>
  <c r="O66" i="1"/>
  <c r="K66" i="1"/>
  <c r="J66" i="1"/>
  <c r="G66" i="1"/>
  <c r="F66" i="1"/>
  <c r="D66" i="1"/>
  <c r="AG65" i="1"/>
  <c r="AH65" i="1" s="1"/>
  <c r="AF65" i="1"/>
  <c r="AC65" i="1"/>
  <c r="AB65" i="1"/>
  <c r="Z65" i="1"/>
  <c r="O65" i="1"/>
  <c r="D65" i="1"/>
  <c r="AG64" i="1"/>
  <c r="AH64" i="1" s="1"/>
  <c r="AF64" i="1"/>
  <c r="AC64" i="1"/>
  <c r="AD64" i="1" s="1"/>
  <c r="AB64" i="1"/>
  <c r="Z64" i="1"/>
  <c r="V64" i="1"/>
  <c r="U64" i="1"/>
  <c r="R64" i="1"/>
  <c r="S64" i="1" s="1"/>
  <c r="Q64" i="1"/>
  <c r="O64" i="1"/>
  <c r="K64" i="1"/>
  <c r="L64" i="1" s="1"/>
  <c r="J64" i="1"/>
  <c r="G64" i="1"/>
  <c r="H64" i="1" s="1"/>
  <c r="F64" i="1"/>
  <c r="D64" i="1"/>
  <c r="AG63" i="1"/>
  <c r="AF63" i="1"/>
  <c r="AC63" i="1"/>
  <c r="AD63" i="1" s="1"/>
  <c r="AB63" i="1"/>
  <c r="Z63" i="1"/>
  <c r="V63" i="1"/>
  <c r="W63" i="1" s="1"/>
  <c r="U63" i="1"/>
  <c r="R63" i="1"/>
  <c r="S63" i="1" s="1"/>
  <c r="Q63" i="1"/>
  <c r="O63" i="1"/>
  <c r="K63" i="1"/>
  <c r="J63" i="1"/>
  <c r="G63" i="1"/>
  <c r="H63" i="1" s="1"/>
  <c r="F63" i="1"/>
  <c r="D63" i="1"/>
  <c r="AG62" i="1"/>
  <c r="AH62" i="1" s="1"/>
  <c r="AF62" i="1"/>
  <c r="AC62" i="1"/>
  <c r="AD62" i="1" s="1"/>
  <c r="AB62" i="1"/>
  <c r="Z62" i="1"/>
  <c r="V62" i="1"/>
  <c r="U62" i="1"/>
  <c r="R62" i="1"/>
  <c r="S62" i="1" s="1"/>
  <c r="Q62" i="1"/>
  <c r="O62" i="1"/>
  <c r="K62" i="1"/>
  <c r="L62" i="1" s="1"/>
  <c r="J62" i="1"/>
  <c r="G62" i="1"/>
  <c r="H62" i="1" s="1"/>
  <c r="F62" i="1"/>
  <c r="D62" i="1"/>
  <c r="AG61" i="1"/>
  <c r="AF61" i="1"/>
  <c r="AC61" i="1"/>
  <c r="AD61" i="1" s="1"/>
  <c r="AB61" i="1"/>
  <c r="Z61" i="1"/>
  <c r="V61" i="1"/>
  <c r="W61" i="1" s="1"/>
  <c r="U61" i="1"/>
  <c r="R61" i="1"/>
  <c r="S61" i="1" s="1"/>
  <c r="Q61" i="1"/>
  <c r="O61" i="1"/>
  <c r="K61" i="1"/>
  <c r="J61" i="1"/>
  <c r="G61" i="1"/>
  <c r="H61" i="1" s="1"/>
  <c r="F61" i="1"/>
  <c r="D61" i="1"/>
  <c r="AG60" i="1"/>
  <c r="AH60" i="1" s="1"/>
  <c r="AF60" i="1"/>
  <c r="AC60" i="1"/>
  <c r="AD60" i="1" s="1"/>
  <c r="AB60" i="1"/>
  <c r="Z60" i="1"/>
  <c r="V60" i="1"/>
  <c r="U60" i="1"/>
  <c r="R60" i="1"/>
  <c r="R65" i="1" s="1"/>
  <c r="Q60" i="1"/>
  <c r="O60" i="1"/>
  <c r="K60" i="1"/>
  <c r="L60" i="1" s="1"/>
  <c r="J60" i="1"/>
  <c r="G60" i="1"/>
  <c r="H60" i="1" s="1"/>
  <c r="F60" i="1"/>
  <c r="D60" i="1"/>
  <c r="AG59" i="1"/>
  <c r="AF59" i="1"/>
  <c r="AC59" i="1"/>
  <c r="AB59" i="1"/>
  <c r="AD59" i="1" s="1"/>
  <c r="Z59" i="1"/>
  <c r="V59" i="1"/>
  <c r="U59" i="1"/>
  <c r="R59" i="1"/>
  <c r="S59" i="1" s="1"/>
  <c r="Q59" i="1"/>
  <c r="O59" i="1"/>
  <c r="K59" i="1"/>
  <c r="J59" i="1"/>
  <c r="G59" i="1"/>
  <c r="H59" i="1" s="1"/>
  <c r="F59" i="1"/>
  <c r="D59" i="1"/>
  <c r="AK58" i="1"/>
  <c r="AG58" i="1"/>
  <c r="AH58" i="1" s="1"/>
  <c r="AF58" i="1"/>
  <c r="AD58" i="1"/>
  <c r="AC58" i="1"/>
  <c r="AB58" i="1"/>
  <c r="Z58" i="1"/>
  <c r="V58" i="1"/>
  <c r="U58" i="1"/>
  <c r="W58" i="1" s="1"/>
  <c r="R58" i="1"/>
  <c r="Q58" i="1"/>
  <c r="O58" i="1"/>
  <c r="K58" i="1"/>
  <c r="L58" i="1" s="1"/>
  <c r="J58" i="1"/>
  <c r="G58" i="1"/>
  <c r="F58" i="1"/>
  <c r="D58" i="1"/>
  <c r="AV57" i="1"/>
  <c r="AR57" i="1"/>
  <c r="AQ57" i="1"/>
  <c r="AN57" i="1"/>
  <c r="AM57" i="1"/>
  <c r="AK57" i="1"/>
  <c r="AG57" i="1"/>
  <c r="AF57" i="1"/>
  <c r="AH57" i="1" s="1"/>
  <c r="AC57" i="1"/>
  <c r="AB57" i="1"/>
  <c r="Z57" i="1"/>
  <c r="V57" i="1"/>
  <c r="W57" i="1" s="1"/>
  <c r="U57" i="1"/>
  <c r="R57" i="1"/>
  <c r="Q57" i="1"/>
  <c r="S57" i="1" s="1"/>
  <c r="O57" i="1"/>
  <c r="L57" i="1"/>
  <c r="K57" i="1"/>
  <c r="J57" i="1"/>
  <c r="G57" i="1"/>
  <c r="F57" i="1"/>
  <c r="D57" i="1"/>
  <c r="BC56" i="1"/>
  <c r="BC57" i="1" s="1"/>
  <c r="BB56" i="1"/>
  <c r="AY56" i="1"/>
  <c r="AX56" i="1"/>
  <c r="AV56" i="1"/>
  <c r="AK56" i="1"/>
  <c r="AG56" i="1"/>
  <c r="AH56" i="1" s="1"/>
  <c r="AF56" i="1"/>
  <c r="AC56" i="1"/>
  <c r="AB56" i="1"/>
  <c r="Z56" i="1"/>
  <c r="V56" i="1"/>
  <c r="U56" i="1"/>
  <c r="W56" i="1" s="1"/>
  <c r="R56" i="1"/>
  <c r="S56" i="1" s="1"/>
  <c r="Q56" i="1"/>
  <c r="O56" i="1"/>
  <c r="K56" i="1"/>
  <c r="L56" i="1" s="1"/>
  <c r="J56" i="1"/>
  <c r="G56" i="1"/>
  <c r="F56" i="1"/>
  <c r="H56" i="1" s="1"/>
  <c r="D56" i="1"/>
  <c r="BB55" i="1"/>
  <c r="AV55" i="1"/>
  <c r="AS55" i="1"/>
  <c r="AR55" i="1"/>
  <c r="AQ55" i="1"/>
  <c r="AQ56" i="1" s="1"/>
  <c r="AN55" i="1"/>
  <c r="AO55" i="1" s="1"/>
  <c r="AM55" i="1"/>
  <c r="AM56" i="1" s="1"/>
  <c r="AK55" i="1"/>
  <c r="AG55" i="1"/>
  <c r="AH55" i="1" s="1"/>
  <c r="AF55" i="1"/>
  <c r="AC55" i="1"/>
  <c r="AD55" i="1" s="1"/>
  <c r="AB55" i="1"/>
  <c r="Z55" i="1"/>
  <c r="V55" i="1"/>
  <c r="U55" i="1"/>
  <c r="R55" i="1"/>
  <c r="Q55" i="1"/>
  <c r="S55" i="1" s="1"/>
  <c r="O55" i="1"/>
  <c r="K55" i="1"/>
  <c r="J55" i="1"/>
  <c r="G55" i="1"/>
  <c r="F55" i="1"/>
  <c r="H55" i="1" s="1"/>
  <c r="D55" i="1"/>
  <c r="BD54" i="1"/>
  <c r="BC54" i="1"/>
  <c r="BB54" i="1"/>
  <c r="AY54" i="1"/>
  <c r="AY55" i="1" s="1"/>
  <c r="AX54" i="1"/>
  <c r="AV54" i="1"/>
  <c r="AR54" i="1"/>
  <c r="AS54" i="1" s="1"/>
  <c r="AQ54" i="1"/>
  <c r="AN54" i="1"/>
  <c r="AO54" i="1" s="1"/>
  <c r="AM54" i="1"/>
  <c r="AK54" i="1"/>
  <c r="AG54" i="1"/>
  <c r="AF54" i="1"/>
  <c r="AC54" i="1"/>
  <c r="AB54" i="1"/>
  <c r="AD54" i="1" s="1"/>
  <c r="Z54" i="1"/>
  <c r="V54" i="1"/>
  <c r="U54" i="1"/>
  <c r="R54" i="1"/>
  <c r="Q54" i="1"/>
  <c r="S54" i="1" s="1"/>
  <c r="O54" i="1"/>
  <c r="L54" i="1"/>
  <c r="K54" i="1"/>
  <c r="J54" i="1"/>
  <c r="G54" i="1"/>
  <c r="H54" i="1" s="1"/>
  <c r="F54" i="1"/>
  <c r="D54" i="1"/>
  <c r="BC53" i="1"/>
  <c r="BD53" i="1" s="1"/>
  <c r="BB53" i="1"/>
  <c r="AY53" i="1"/>
  <c r="AZ53" i="1" s="1"/>
  <c r="AX53" i="1"/>
  <c r="AV53" i="1"/>
  <c r="AR53" i="1"/>
  <c r="AQ53" i="1"/>
  <c r="AN53" i="1"/>
  <c r="AM53" i="1"/>
  <c r="AO53" i="1" s="1"/>
  <c r="AK53" i="1"/>
  <c r="AG53" i="1"/>
  <c r="AF53" i="1"/>
  <c r="AC53" i="1"/>
  <c r="AB53" i="1"/>
  <c r="AD53" i="1" s="1"/>
  <c r="Z53" i="1"/>
  <c r="W53" i="1"/>
  <c r="V53" i="1"/>
  <c r="U53" i="1"/>
  <c r="R53" i="1"/>
  <c r="S53" i="1" s="1"/>
  <c r="Q53" i="1"/>
  <c r="O53" i="1"/>
  <c r="K53" i="1"/>
  <c r="L53" i="1" s="1"/>
  <c r="J53" i="1"/>
  <c r="G53" i="1"/>
  <c r="H53" i="1" s="1"/>
  <c r="F53" i="1"/>
  <c r="D53" i="1"/>
  <c r="BC52" i="1"/>
  <c r="BB52" i="1"/>
  <c r="AY52" i="1"/>
  <c r="AX52" i="1"/>
  <c r="AZ52" i="1" s="1"/>
  <c r="AV52" i="1"/>
  <c r="AR52" i="1"/>
  <c r="AQ52" i="1"/>
  <c r="AN52" i="1"/>
  <c r="AM52" i="1"/>
  <c r="AO52" i="1" s="1"/>
  <c r="AK52" i="1"/>
  <c r="AH52" i="1"/>
  <c r="AG52" i="1"/>
  <c r="AF52" i="1"/>
  <c r="AC52" i="1"/>
  <c r="AD52" i="1" s="1"/>
  <c r="AB52" i="1"/>
  <c r="Z52" i="1"/>
  <c r="V52" i="1"/>
  <c r="W52" i="1" s="1"/>
  <c r="U52" i="1"/>
  <c r="R52" i="1"/>
  <c r="S52" i="1" s="1"/>
  <c r="Q52" i="1"/>
  <c r="O52" i="1"/>
  <c r="K52" i="1"/>
  <c r="J52" i="1"/>
  <c r="G52" i="1"/>
  <c r="F52" i="1"/>
  <c r="H52" i="1" s="1"/>
  <c r="D52" i="1"/>
  <c r="BC51" i="1"/>
  <c r="BB51" i="1"/>
  <c r="AY51" i="1"/>
  <c r="AX51" i="1"/>
  <c r="AZ51" i="1" s="1"/>
  <c r="AV51" i="1"/>
  <c r="AS51" i="1"/>
  <c r="AR51" i="1"/>
  <c r="AQ51" i="1"/>
  <c r="AN51" i="1"/>
  <c r="AM51" i="1"/>
  <c r="AK51" i="1"/>
  <c r="AG51" i="1"/>
  <c r="AH51" i="1" s="1"/>
  <c r="AF51" i="1"/>
  <c r="AC51" i="1"/>
  <c r="AD51" i="1" s="1"/>
  <c r="AB51" i="1"/>
  <c r="Z51" i="1"/>
  <c r="V51" i="1"/>
  <c r="U51" i="1"/>
  <c r="R51" i="1"/>
  <c r="Q51" i="1"/>
  <c r="S51" i="1" s="1"/>
  <c r="O51" i="1"/>
  <c r="K51" i="1"/>
  <c r="J51" i="1"/>
  <c r="G51" i="1"/>
  <c r="F51" i="1"/>
  <c r="H51" i="1" s="1"/>
  <c r="D51" i="1"/>
  <c r="BD50" i="1"/>
  <c r="BC50" i="1"/>
  <c r="BC55" i="1" s="1"/>
  <c r="BB50" i="1"/>
  <c r="AY50" i="1"/>
  <c r="AX50" i="1"/>
  <c r="AV50" i="1"/>
  <c r="AR50" i="1"/>
  <c r="AS50" i="1" s="1"/>
  <c r="AQ50" i="1"/>
  <c r="AN50" i="1"/>
  <c r="AN56" i="1" s="1"/>
  <c r="AM50" i="1"/>
  <c r="AK50" i="1"/>
  <c r="AG50" i="1"/>
  <c r="AF50" i="1"/>
  <c r="AC50" i="1"/>
  <c r="AB50" i="1"/>
  <c r="AB72" i="1" s="1"/>
  <c r="Z50" i="1"/>
  <c r="V50" i="1"/>
  <c r="U50" i="1"/>
  <c r="S50" i="1"/>
  <c r="R50" i="1"/>
  <c r="Q50" i="1"/>
  <c r="O50" i="1"/>
  <c r="K50" i="1"/>
  <c r="J50" i="1"/>
  <c r="L50" i="1" s="1"/>
  <c r="G50" i="1"/>
  <c r="F50" i="1"/>
  <c r="F71" i="1" s="1"/>
  <c r="D50" i="1"/>
  <c r="AV49" i="1"/>
  <c r="AK49" i="1"/>
  <c r="Z49" i="1"/>
  <c r="O49" i="1"/>
  <c r="D49" i="1"/>
  <c r="BD48" i="1"/>
  <c r="AZ48" i="1"/>
  <c r="AS48" i="1"/>
  <c r="AO48" i="1"/>
  <c r="AH48" i="1"/>
  <c r="AD48" i="1"/>
  <c r="W48" i="1"/>
  <c r="S48" i="1"/>
  <c r="L48" i="1"/>
  <c r="H48" i="1"/>
  <c r="Z46" i="1"/>
  <c r="O46" i="1"/>
  <c r="D46" i="1"/>
  <c r="AG45" i="1"/>
  <c r="AF45" i="1"/>
  <c r="AD45" i="1"/>
  <c r="AC45" i="1"/>
  <c r="AB45" i="1"/>
  <c r="Z45" i="1"/>
  <c r="V45" i="1"/>
  <c r="U45" i="1"/>
  <c r="W45" i="1" s="1"/>
  <c r="R45" i="1"/>
  <c r="Q45" i="1"/>
  <c r="O45" i="1"/>
  <c r="K45" i="1"/>
  <c r="L45" i="1" s="1"/>
  <c r="J45" i="1"/>
  <c r="G45" i="1"/>
  <c r="H45" i="1" s="1"/>
  <c r="F45" i="1"/>
  <c r="D45" i="1"/>
  <c r="AG44" i="1"/>
  <c r="AF44" i="1"/>
  <c r="AC44" i="1"/>
  <c r="AB44" i="1"/>
  <c r="AD44" i="1" s="1"/>
  <c r="Z44" i="1"/>
  <c r="V44" i="1"/>
  <c r="U44" i="1"/>
  <c r="S44" i="1"/>
  <c r="R44" i="1"/>
  <c r="Q44" i="1"/>
  <c r="O44" i="1"/>
  <c r="K44" i="1"/>
  <c r="J44" i="1"/>
  <c r="L44" i="1" s="1"/>
  <c r="G44" i="1"/>
  <c r="F44" i="1"/>
  <c r="D44" i="1"/>
  <c r="AG43" i="1"/>
  <c r="AH43" i="1" s="1"/>
  <c r="AF43" i="1"/>
  <c r="AC43" i="1"/>
  <c r="AD43" i="1" s="1"/>
  <c r="AB43" i="1"/>
  <c r="Z43" i="1"/>
  <c r="V43" i="1"/>
  <c r="U43" i="1"/>
  <c r="R43" i="1"/>
  <c r="Q43" i="1"/>
  <c r="S43" i="1" s="1"/>
  <c r="O43" i="1"/>
  <c r="K43" i="1"/>
  <c r="J43" i="1"/>
  <c r="G43" i="1"/>
  <c r="F43" i="1"/>
  <c r="H43" i="1" s="1"/>
  <c r="D43" i="1"/>
  <c r="AH42" i="1"/>
  <c r="AG42" i="1"/>
  <c r="AF42" i="1"/>
  <c r="AC42" i="1"/>
  <c r="AB42" i="1"/>
  <c r="Z42" i="1"/>
  <c r="V42" i="1"/>
  <c r="W42" i="1" s="1"/>
  <c r="U42" i="1"/>
  <c r="R42" i="1"/>
  <c r="S42" i="1" s="1"/>
  <c r="Q42" i="1"/>
  <c r="O42" i="1"/>
  <c r="K42" i="1"/>
  <c r="J42" i="1"/>
  <c r="G42" i="1"/>
  <c r="F42" i="1"/>
  <c r="H42" i="1" s="1"/>
  <c r="D42" i="1"/>
  <c r="AG41" i="1"/>
  <c r="AF41" i="1"/>
  <c r="AC41" i="1"/>
  <c r="AC46" i="1" s="1"/>
  <c r="AB41" i="1"/>
  <c r="AD41" i="1" s="1"/>
  <c r="Z41" i="1"/>
  <c r="W41" i="1"/>
  <c r="V41" i="1"/>
  <c r="U41" i="1"/>
  <c r="R41" i="1"/>
  <c r="Q41" i="1"/>
  <c r="O41" i="1"/>
  <c r="K41" i="1"/>
  <c r="L41" i="1" s="1"/>
  <c r="J41" i="1"/>
  <c r="G41" i="1"/>
  <c r="F41" i="1"/>
  <c r="D41" i="1"/>
  <c r="Z40" i="1"/>
  <c r="O40" i="1"/>
  <c r="D40" i="1"/>
  <c r="AG39" i="1"/>
  <c r="AF39" i="1"/>
  <c r="AD39" i="1"/>
  <c r="AC39" i="1"/>
  <c r="AB39" i="1"/>
  <c r="Z39" i="1"/>
  <c r="V39" i="1"/>
  <c r="U39" i="1"/>
  <c r="W39" i="1" s="1"/>
  <c r="R39" i="1"/>
  <c r="Q39" i="1"/>
  <c r="O39" i="1"/>
  <c r="K39" i="1"/>
  <c r="L39" i="1" s="1"/>
  <c r="J39" i="1"/>
  <c r="G39" i="1"/>
  <c r="H39" i="1" s="1"/>
  <c r="F39" i="1"/>
  <c r="D39" i="1"/>
  <c r="AG38" i="1"/>
  <c r="AF38" i="1"/>
  <c r="AC38" i="1"/>
  <c r="AB38" i="1"/>
  <c r="AD38" i="1" s="1"/>
  <c r="Z38" i="1"/>
  <c r="V38" i="1"/>
  <c r="U38" i="1"/>
  <c r="S38" i="1"/>
  <c r="R38" i="1"/>
  <c r="Q38" i="1"/>
  <c r="O38" i="1"/>
  <c r="K38" i="1"/>
  <c r="J38" i="1"/>
  <c r="L38" i="1" s="1"/>
  <c r="G38" i="1"/>
  <c r="F38" i="1"/>
  <c r="D38" i="1"/>
  <c r="AG37" i="1"/>
  <c r="AH37" i="1" s="1"/>
  <c r="AF37" i="1"/>
  <c r="AC37" i="1"/>
  <c r="AD37" i="1" s="1"/>
  <c r="AB37" i="1"/>
  <c r="Z37" i="1"/>
  <c r="V37" i="1"/>
  <c r="U37" i="1"/>
  <c r="R37" i="1"/>
  <c r="Q37" i="1"/>
  <c r="S37" i="1" s="1"/>
  <c r="O37" i="1"/>
  <c r="K37" i="1"/>
  <c r="J37" i="1"/>
  <c r="G37" i="1"/>
  <c r="F37" i="1"/>
  <c r="H37" i="1" s="1"/>
  <c r="D37" i="1"/>
  <c r="AH36" i="1"/>
  <c r="AG36" i="1"/>
  <c r="AF36" i="1"/>
  <c r="AC36" i="1"/>
  <c r="AB36" i="1"/>
  <c r="Z36" i="1"/>
  <c r="V36" i="1"/>
  <c r="W36" i="1" s="1"/>
  <c r="U36" i="1"/>
  <c r="R36" i="1"/>
  <c r="S36" i="1" s="1"/>
  <c r="Q36" i="1"/>
  <c r="O36" i="1"/>
  <c r="K36" i="1"/>
  <c r="J36" i="1"/>
  <c r="G36" i="1"/>
  <c r="F36" i="1"/>
  <c r="H36" i="1" s="1"/>
  <c r="D36" i="1"/>
  <c r="AG35" i="1"/>
  <c r="AF35" i="1"/>
  <c r="AC35" i="1"/>
  <c r="AC40" i="1" s="1"/>
  <c r="AB35" i="1"/>
  <c r="AD35" i="1" s="1"/>
  <c r="Z35" i="1"/>
  <c r="V35" i="1"/>
  <c r="U35" i="1"/>
  <c r="W35" i="1" s="1"/>
  <c r="R35" i="1"/>
  <c r="Q35" i="1"/>
  <c r="O35" i="1"/>
  <c r="K35" i="1"/>
  <c r="J35" i="1"/>
  <c r="G35" i="1"/>
  <c r="F35" i="1"/>
  <c r="D35" i="1"/>
  <c r="AG34" i="1"/>
  <c r="AF34" i="1"/>
  <c r="AC34" i="1"/>
  <c r="AB34" i="1"/>
  <c r="AD34" i="1" s="1"/>
  <c r="Z34" i="1"/>
  <c r="V34" i="1"/>
  <c r="U34" i="1"/>
  <c r="S34" i="1"/>
  <c r="R34" i="1"/>
  <c r="Q34" i="1"/>
  <c r="O34" i="1"/>
  <c r="K34" i="1"/>
  <c r="J34" i="1"/>
  <c r="L34" i="1" s="1"/>
  <c r="G34" i="1"/>
  <c r="F34" i="1"/>
  <c r="D34" i="1"/>
  <c r="AG33" i="1"/>
  <c r="AH33" i="1" s="1"/>
  <c r="AF33" i="1"/>
  <c r="AC33" i="1"/>
  <c r="AB33" i="1"/>
  <c r="Z33" i="1"/>
  <c r="V33" i="1"/>
  <c r="U33" i="1"/>
  <c r="R33" i="1"/>
  <c r="Q33" i="1"/>
  <c r="S33" i="1" s="1"/>
  <c r="O33" i="1"/>
  <c r="K33" i="1"/>
  <c r="J33" i="1"/>
  <c r="G33" i="1"/>
  <c r="F33" i="1"/>
  <c r="H33" i="1" s="1"/>
  <c r="D33" i="1"/>
  <c r="AG32" i="1"/>
  <c r="AF32" i="1"/>
  <c r="AH32" i="1" s="1"/>
  <c r="AC32" i="1"/>
  <c r="AB32" i="1"/>
  <c r="Z32" i="1"/>
  <c r="V32" i="1"/>
  <c r="W32" i="1" s="1"/>
  <c r="U32" i="1"/>
  <c r="R32" i="1"/>
  <c r="Q32" i="1"/>
  <c r="O32" i="1"/>
  <c r="K32" i="1"/>
  <c r="J32" i="1"/>
  <c r="G32" i="1"/>
  <c r="F32" i="1"/>
  <c r="H32" i="1" s="1"/>
  <c r="D32" i="1"/>
  <c r="AG31" i="1"/>
  <c r="AF31" i="1"/>
  <c r="AC31" i="1"/>
  <c r="AB31" i="1"/>
  <c r="AD31" i="1" s="1"/>
  <c r="Z31" i="1"/>
  <c r="W31" i="1"/>
  <c r="V31" i="1"/>
  <c r="U31" i="1"/>
  <c r="R31" i="1"/>
  <c r="Q31" i="1"/>
  <c r="O31" i="1"/>
  <c r="K31" i="1"/>
  <c r="L31" i="1" s="1"/>
  <c r="J31" i="1"/>
  <c r="G31" i="1"/>
  <c r="F31" i="1"/>
  <c r="D31" i="1"/>
  <c r="AG30" i="1"/>
  <c r="AF30" i="1"/>
  <c r="AC30" i="1"/>
  <c r="AB30" i="1"/>
  <c r="Z30" i="1"/>
  <c r="V30" i="1"/>
  <c r="U30" i="1"/>
  <c r="R30" i="1"/>
  <c r="Q30" i="1"/>
  <c r="S30" i="1" s="1"/>
  <c r="O30" i="1"/>
  <c r="K30" i="1"/>
  <c r="J30" i="1"/>
  <c r="L30" i="1" s="1"/>
  <c r="G30" i="1"/>
  <c r="F30" i="1"/>
  <c r="D30" i="1"/>
  <c r="Z29" i="1"/>
  <c r="O29" i="1"/>
  <c r="D29" i="1"/>
  <c r="AH28" i="1"/>
  <c r="AD28" i="1"/>
  <c r="W28" i="1"/>
  <c r="S28" i="1"/>
  <c r="L28" i="1"/>
  <c r="H28" i="1"/>
  <c r="Z26" i="1"/>
  <c r="O26" i="1"/>
  <c r="D26" i="1"/>
  <c r="AH25" i="1"/>
  <c r="AG25" i="1"/>
  <c r="AF25" i="1"/>
  <c r="AC25" i="1"/>
  <c r="AB25" i="1"/>
  <c r="Z25" i="1"/>
  <c r="V25" i="1"/>
  <c r="U25" i="1"/>
  <c r="R25" i="1"/>
  <c r="Q25" i="1"/>
  <c r="O25" i="1"/>
  <c r="K25" i="1"/>
  <c r="J25" i="1"/>
  <c r="L25" i="1" s="1"/>
  <c r="G25" i="1"/>
  <c r="H25" i="1" s="1"/>
  <c r="F25" i="1"/>
  <c r="D25" i="1"/>
  <c r="AG24" i="1"/>
  <c r="AH24" i="1" s="1"/>
  <c r="AF24" i="1"/>
  <c r="AC24" i="1"/>
  <c r="AB24" i="1"/>
  <c r="AD24" i="1" s="1"/>
  <c r="Z24" i="1"/>
  <c r="W24" i="1"/>
  <c r="V24" i="1"/>
  <c r="U24" i="1"/>
  <c r="R24" i="1"/>
  <c r="Q24" i="1"/>
  <c r="O24" i="1"/>
  <c r="K24" i="1"/>
  <c r="J24" i="1"/>
  <c r="G24" i="1"/>
  <c r="F24" i="1"/>
  <c r="D24" i="1"/>
  <c r="AG23" i="1"/>
  <c r="AF23" i="1"/>
  <c r="AH23" i="1" s="1"/>
  <c r="AC23" i="1"/>
  <c r="AD23" i="1" s="1"/>
  <c r="AB23" i="1"/>
  <c r="Z23" i="1"/>
  <c r="V23" i="1"/>
  <c r="W23" i="1" s="1"/>
  <c r="U23" i="1"/>
  <c r="R23" i="1"/>
  <c r="Q23" i="1"/>
  <c r="S23" i="1" s="1"/>
  <c r="O23" i="1"/>
  <c r="L23" i="1"/>
  <c r="K23" i="1"/>
  <c r="J23" i="1"/>
  <c r="G23" i="1"/>
  <c r="F23" i="1"/>
  <c r="D23" i="1"/>
  <c r="AG22" i="1"/>
  <c r="AF22" i="1"/>
  <c r="AC22" i="1"/>
  <c r="AB22" i="1"/>
  <c r="Z22" i="1"/>
  <c r="V22" i="1"/>
  <c r="U22" i="1"/>
  <c r="W22" i="1" s="1"/>
  <c r="R22" i="1"/>
  <c r="S22" i="1" s="1"/>
  <c r="Q22" i="1"/>
  <c r="O22" i="1"/>
  <c r="K22" i="1"/>
  <c r="L22" i="1" s="1"/>
  <c r="J22" i="1"/>
  <c r="G22" i="1"/>
  <c r="F22" i="1"/>
  <c r="H22" i="1" s="1"/>
  <c r="D22" i="1"/>
  <c r="AH21" i="1"/>
  <c r="AG21" i="1"/>
  <c r="AF21" i="1"/>
  <c r="AC21" i="1"/>
  <c r="AB21" i="1"/>
  <c r="Z21" i="1"/>
  <c r="V21" i="1"/>
  <c r="U21" i="1"/>
  <c r="R21" i="1"/>
  <c r="Q21" i="1"/>
  <c r="O21" i="1"/>
  <c r="K21" i="1"/>
  <c r="J21" i="1"/>
  <c r="L21" i="1" s="1"/>
  <c r="G21" i="1"/>
  <c r="H21" i="1" s="1"/>
  <c r="F21" i="1"/>
  <c r="D21" i="1"/>
  <c r="Z20" i="1"/>
  <c r="O20" i="1"/>
  <c r="D20" i="1"/>
  <c r="AG19" i="1"/>
  <c r="AF19" i="1"/>
  <c r="AH19" i="1" s="1"/>
  <c r="AC19" i="1"/>
  <c r="AB19" i="1"/>
  <c r="Z19" i="1"/>
  <c r="V19" i="1"/>
  <c r="W19" i="1" s="1"/>
  <c r="U19" i="1"/>
  <c r="R19" i="1"/>
  <c r="Q19" i="1"/>
  <c r="O19" i="1"/>
  <c r="K19" i="1"/>
  <c r="J19" i="1"/>
  <c r="L19" i="1" s="1"/>
  <c r="G19" i="1"/>
  <c r="H19" i="1" s="1"/>
  <c r="F19" i="1"/>
  <c r="D19" i="1"/>
  <c r="AG18" i="1"/>
  <c r="AH18" i="1" s="1"/>
  <c r="AF18" i="1"/>
  <c r="AD18" i="1"/>
  <c r="AC18" i="1"/>
  <c r="AB18" i="1"/>
  <c r="Z18" i="1"/>
  <c r="V18" i="1"/>
  <c r="U18" i="1"/>
  <c r="W18" i="1" s="1"/>
  <c r="R18" i="1"/>
  <c r="Q18" i="1"/>
  <c r="O18" i="1"/>
  <c r="K18" i="1"/>
  <c r="L18" i="1" s="1"/>
  <c r="J18" i="1"/>
  <c r="G18" i="1"/>
  <c r="F18" i="1"/>
  <c r="D18" i="1"/>
  <c r="AK17" i="1"/>
  <c r="AG17" i="1"/>
  <c r="AH17" i="1" s="1"/>
  <c r="AF17" i="1"/>
  <c r="AC17" i="1"/>
  <c r="AB17" i="1"/>
  <c r="Z17" i="1"/>
  <c r="V17" i="1"/>
  <c r="U17" i="1"/>
  <c r="W17" i="1" s="1"/>
  <c r="R17" i="1"/>
  <c r="S17" i="1" s="1"/>
  <c r="Q17" i="1"/>
  <c r="O17" i="1"/>
  <c r="K17" i="1"/>
  <c r="L17" i="1" s="1"/>
  <c r="J17" i="1"/>
  <c r="G17" i="1"/>
  <c r="F17" i="1"/>
  <c r="H17" i="1" s="1"/>
  <c r="D17" i="1"/>
  <c r="BB16" i="1"/>
  <c r="AV16" i="1"/>
  <c r="AR16" i="1"/>
  <c r="AS16" i="1" s="1"/>
  <c r="AQ16" i="1"/>
  <c r="AN16" i="1"/>
  <c r="AM16" i="1"/>
  <c r="AM17" i="1" s="1"/>
  <c r="AK16" i="1"/>
  <c r="AG16" i="1"/>
  <c r="AF16" i="1"/>
  <c r="AH16" i="1" s="1"/>
  <c r="AC16" i="1"/>
  <c r="AB16" i="1"/>
  <c r="Z16" i="1"/>
  <c r="V16" i="1"/>
  <c r="W16" i="1" s="1"/>
  <c r="U16" i="1"/>
  <c r="R16" i="1"/>
  <c r="Q16" i="1"/>
  <c r="S16" i="1" s="1"/>
  <c r="O16" i="1"/>
  <c r="K16" i="1"/>
  <c r="J16" i="1"/>
  <c r="L16" i="1" s="1"/>
  <c r="G16" i="1"/>
  <c r="F16" i="1"/>
  <c r="D16" i="1"/>
  <c r="BC15" i="1"/>
  <c r="BB15" i="1"/>
  <c r="AY15" i="1"/>
  <c r="AX15" i="1"/>
  <c r="AV15" i="1"/>
  <c r="AK15" i="1"/>
  <c r="AG15" i="1"/>
  <c r="AF15" i="1"/>
  <c r="AH15" i="1" s="1"/>
  <c r="AC15" i="1"/>
  <c r="AC20" i="1" s="1"/>
  <c r="AB15" i="1"/>
  <c r="AB20" i="1" s="1"/>
  <c r="Z15" i="1"/>
  <c r="V15" i="1"/>
  <c r="V20" i="1" s="1"/>
  <c r="U15" i="1"/>
  <c r="R15" i="1"/>
  <c r="S15" i="1" s="1"/>
  <c r="Q15" i="1"/>
  <c r="O15" i="1"/>
  <c r="K15" i="1"/>
  <c r="J15" i="1"/>
  <c r="J20" i="1" s="1"/>
  <c r="G15" i="1"/>
  <c r="F15" i="1"/>
  <c r="H15" i="1" s="1"/>
  <c r="D15" i="1"/>
  <c r="AV14" i="1"/>
  <c r="AR14" i="1"/>
  <c r="AQ14" i="1"/>
  <c r="AN14" i="1"/>
  <c r="AO14" i="1" s="1"/>
  <c r="AM14" i="1"/>
  <c r="AK14" i="1"/>
  <c r="AG14" i="1"/>
  <c r="AH14" i="1" s="1"/>
  <c r="AF14" i="1"/>
  <c r="AC14" i="1"/>
  <c r="AB14" i="1"/>
  <c r="AD14" i="1" s="1"/>
  <c r="Z14" i="1"/>
  <c r="W14" i="1"/>
  <c r="V14" i="1"/>
  <c r="U14" i="1"/>
  <c r="R14" i="1"/>
  <c r="Q14" i="1"/>
  <c r="O14" i="1"/>
  <c r="K14" i="1"/>
  <c r="L14" i="1" s="1"/>
  <c r="J14" i="1"/>
  <c r="G14" i="1"/>
  <c r="H14" i="1" s="1"/>
  <c r="F14" i="1"/>
  <c r="D14" i="1"/>
  <c r="BC13" i="1"/>
  <c r="BB13" i="1"/>
  <c r="BB14" i="1" s="1"/>
  <c r="AY13" i="1"/>
  <c r="AX13" i="1"/>
  <c r="AX14" i="1" s="1"/>
  <c r="AV13" i="1"/>
  <c r="AR13" i="1"/>
  <c r="AQ13" i="1"/>
  <c r="AN13" i="1"/>
  <c r="AM13" i="1"/>
  <c r="AO13" i="1" s="1"/>
  <c r="AK13" i="1"/>
  <c r="AH13" i="1"/>
  <c r="AG13" i="1"/>
  <c r="AF13" i="1"/>
  <c r="AC13" i="1"/>
  <c r="AB13" i="1"/>
  <c r="Z13" i="1"/>
  <c r="V13" i="1"/>
  <c r="W13" i="1" s="1"/>
  <c r="U13" i="1"/>
  <c r="R13" i="1"/>
  <c r="S13" i="1" s="1"/>
  <c r="Q13" i="1"/>
  <c r="O13" i="1"/>
  <c r="K13" i="1"/>
  <c r="J13" i="1"/>
  <c r="G13" i="1"/>
  <c r="F13" i="1"/>
  <c r="D13" i="1"/>
  <c r="BC12" i="1"/>
  <c r="BD12" i="1" s="1"/>
  <c r="BB12" i="1"/>
  <c r="AZ12" i="1"/>
  <c r="AY12" i="1"/>
  <c r="AX12" i="1"/>
  <c r="AV12" i="1"/>
  <c r="AR12" i="1"/>
  <c r="AQ12" i="1"/>
  <c r="AS12" i="1" s="1"/>
  <c r="AN12" i="1"/>
  <c r="AM12" i="1"/>
  <c r="AK12" i="1"/>
  <c r="AG12" i="1"/>
  <c r="AH12" i="1" s="1"/>
  <c r="AF12" i="1"/>
  <c r="AC12" i="1"/>
  <c r="AD12" i="1" s="1"/>
  <c r="AB12" i="1"/>
  <c r="Z12" i="1"/>
  <c r="V12" i="1"/>
  <c r="U12" i="1"/>
  <c r="R12" i="1"/>
  <c r="Q12" i="1"/>
  <c r="O12" i="1"/>
  <c r="K12" i="1"/>
  <c r="L12" i="1" s="1"/>
  <c r="J12" i="1"/>
  <c r="G12" i="1"/>
  <c r="F12" i="1"/>
  <c r="H12" i="1" s="1"/>
  <c r="D12" i="1"/>
  <c r="BC11" i="1"/>
  <c r="BB11" i="1"/>
  <c r="BD11" i="1" s="1"/>
  <c r="AY11" i="1"/>
  <c r="AX11" i="1"/>
  <c r="AV11" i="1"/>
  <c r="AR11" i="1"/>
  <c r="AS11" i="1" s="1"/>
  <c r="AQ11" i="1"/>
  <c r="AN11" i="1"/>
  <c r="AO11" i="1" s="1"/>
  <c r="AM11" i="1"/>
  <c r="AK11" i="1"/>
  <c r="AG11" i="1"/>
  <c r="AF11" i="1"/>
  <c r="AC11" i="1"/>
  <c r="AB11" i="1"/>
  <c r="Z11" i="1"/>
  <c r="V11" i="1"/>
  <c r="W11" i="1" s="1"/>
  <c r="U11" i="1"/>
  <c r="R11" i="1"/>
  <c r="Q11" i="1"/>
  <c r="S11" i="1" s="1"/>
  <c r="O11" i="1"/>
  <c r="L11" i="1"/>
  <c r="K11" i="1"/>
  <c r="J11" i="1"/>
  <c r="G11" i="1"/>
  <c r="F11" i="1"/>
  <c r="D11" i="1"/>
  <c r="BC10" i="1"/>
  <c r="BD10" i="1" s="1"/>
  <c r="BB10" i="1"/>
  <c r="AY10" i="1"/>
  <c r="AY14" i="1" s="1"/>
  <c r="AX10" i="1"/>
  <c r="AV10" i="1"/>
  <c r="AR10" i="1"/>
  <c r="AR15" i="1" s="1"/>
  <c r="AQ10" i="1"/>
  <c r="AN10" i="1"/>
  <c r="AM10" i="1"/>
  <c r="AK10" i="1"/>
  <c r="AG10" i="1"/>
  <c r="AG26" i="1" s="1"/>
  <c r="AF10" i="1"/>
  <c r="AC10" i="1"/>
  <c r="AB10" i="1"/>
  <c r="AD10" i="1" s="1"/>
  <c r="Z10" i="1"/>
  <c r="V10" i="1"/>
  <c r="U10" i="1"/>
  <c r="W10" i="1" s="1"/>
  <c r="R10" i="1"/>
  <c r="Q10" i="1"/>
  <c r="Q26" i="1" s="1"/>
  <c r="O10" i="1"/>
  <c r="K10" i="1"/>
  <c r="L10" i="1" s="1"/>
  <c r="J10" i="1"/>
  <c r="G10" i="1"/>
  <c r="G26" i="1" s="1"/>
  <c r="F10" i="1"/>
  <c r="F26" i="1" s="1"/>
  <c r="D10" i="1"/>
  <c r="AV9" i="1"/>
  <c r="AK9" i="1"/>
  <c r="Z9" i="1"/>
  <c r="O9" i="1"/>
  <c r="D9" i="1"/>
  <c r="BD8" i="1"/>
  <c r="AZ8" i="1"/>
  <c r="AV8" i="1"/>
  <c r="AS8" i="1"/>
  <c r="AO8" i="1"/>
  <c r="AK8" i="1"/>
  <c r="AH8" i="1"/>
  <c r="AD8" i="1"/>
  <c r="Z8" i="1"/>
  <c r="W8" i="1"/>
  <c r="S8" i="1"/>
  <c r="O8" i="1"/>
  <c r="L8" i="1"/>
  <c r="K8" i="1"/>
  <c r="J8" i="1"/>
  <c r="H8" i="1"/>
  <c r="G8" i="1"/>
  <c r="F8" i="1"/>
  <c r="D8" i="1"/>
  <c r="U6" i="1"/>
  <c r="J6" i="1"/>
  <c r="J114" i="1" s="1"/>
  <c r="J128" i="1" s="1"/>
  <c r="J143" i="1" s="1"/>
  <c r="J154" i="1" s="1"/>
  <c r="F6" i="1"/>
  <c r="F114" i="1" s="1"/>
  <c r="F128" i="1" s="1"/>
  <c r="F143" i="1" s="1"/>
  <c r="F154" i="1" s="1"/>
  <c r="AV3" i="1"/>
  <c r="AK3" i="1"/>
  <c r="Z3" i="1"/>
  <c r="O3" i="1"/>
  <c r="D3" i="1"/>
  <c r="AO16" i="1" l="1"/>
  <c r="V46" i="1"/>
  <c r="V40" i="1"/>
  <c r="AR58" i="1"/>
  <c r="J71" i="1"/>
  <c r="AD11" i="1"/>
  <c r="W12" i="1"/>
  <c r="AO12" i="1"/>
  <c r="AN17" i="1"/>
  <c r="W33" i="1"/>
  <c r="H34" i="1"/>
  <c r="W34" i="1"/>
  <c r="F40" i="1"/>
  <c r="AH38" i="1"/>
  <c r="S39" i="1"/>
  <c r="AH39" i="1"/>
  <c r="F46" i="1"/>
  <c r="AH44" i="1"/>
  <c r="S45" i="1"/>
  <c r="AH45" i="1"/>
  <c r="H50" i="1"/>
  <c r="W50" i="1"/>
  <c r="AD56" i="1"/>
  <c r="BB57" i="1"/>
  <c r="AD57" i="1"/>
  <c r="S58" i="1"/>
  <c r="L59" i="1"/>
  <c r="AD65" i="1"/>
  <c r="L69" i="1"/>
  <c r="W70" i="1"/>
  <c r="H72" i="1"/>
  <c r="AD89" i="1"/>
  <c r="AS95" i="1"/>
  <c r="AH96" i="1"/>
  <c r="S118" i="1"/>
  <c r="AO119" i="1"/>
  <c r="AZ120" i="1"/>
  <c r="AD121" i="1"/>
  <c r="AZ122" i="1"/>
  <c r="H124" i="1"/>
  <c r="AO124" i="1"/>
  <c r="H136" i="1"/>
  <c r="S148" i="1"/>
  <c r="H150" i="1"/>
  <c r="H159" i="1"/>
  <c r="H162" i="1"/>
  <c r="W171" i="1"/>
  <c r="W185" i="1"/>
  <c r="AN15" i="1"/>
  <c r="AH11" i="1"/>
  <c r="AZ11" i="1"/>
  <c r="H18" i="1"/>
  <c r="S19" i="1"/>
  <c r="L32" i="1"/>
  <c r="AD32" i="1"/>
  <c r="L33" i="1"/>
  <c r="J40" i="1"/>
  <c r="W37" i="1"/>
  <c r="H38" i="1"/>
  <c r="W38" i="1"/>
  <c r="J46" i="1"/>
  <c r="W43" i="1"/>
  <c r="H44" i="1"/>
  <c r="W44" i="1"/>
  <c r="L52" i="1"/>
  <c r="BD52" i="1"/>
  <c r="AS53" i="1"/>
  <c r="AH54" i="1"/>
  <c r="AX55" i="1"/>
  <c r="W55" i="1"/>
  <c r="H58" i="1"/>
  <c r="AH59" i="1"/>
  <c r="L61" i="1"/>
  <c r="W62" i="1"/>
  <c r="AH63" i="1"/>
  <c r="S66" i="1"/>
  <c r="AD71" i="1"/>
  <c r="H75" i="1"/>
  <c r="H79" i="1"/>
  <c r="H88" i="1"/>
  <c r="L94" i="1"/>
  <c r="BD94" i="1"/>
  <c r="L96" i="1"/>
  <c r="AZ118" i="1"/>
  <c r="H120" i="1"/>
  <c r="AO120" i="1"/>
  <c r="H122" i="1"/>
  <c r="S123" i="1"/>
  <c r="AZ123" i="1"/>
  <c r="AD125" i="1"/>
  <c r="H132" i="1"/>
  <c r="H138" i="1"/>
  <c r="H148" i="1"/>
  <c r="S151" i="1"/>
  <c r="H160" i="1"/>
  <c r="S161" i="1"/>
  <c r="W173" i="1"/>
  <c r="W184" i="1"/>
  <c r="BC16" i="1"/>
  <c r="AB26" i="1"/>
  <c r="H11" i="1"/>
  <c r="H13" i="1"/>
  <c r="BC14" i="1"/>
  <c r="S14" i="1"/>
  <c r="Q20" i="1"/>
  <c r="AG20" i="1"/>
  <c r="AD17" i="1"/>
  <c r="AH30" i="1"/>
  <c r="S31" i="1"/>
  <c r="AH31" i="1"/>
  <c r="L36" i="1"/>
  <c r="AD36" i="1"/>
  <c r="L37" i="1"/>
  <c r="L42" i="1"/>
  <c r="AD42" i="1"/>
  <c r="L43" i="1"/>
  <c r="AC66" i="1"/>
  <c r="W51" i="1"/>
  <c r="AO51" i="1"/>
  <c r="BD51" i="1"/>
  <c r="AS52" i="1"/>
  <c r="AH53" i="1"/>
  <c r="W54" i="1"/>
  <c r="AZ54" i="1"/>
  <c r="L55" i="1"/>
  <c r="H57" i="1"/>
  <c r="AO57" i="1"/>
  <c r="W59" i="1"/>
  <c r="F65" i="1"/>
  <c r="S60" i="1"/>
  <c r="L67" i="1"/>
  <c r="W68" i="1"/>
  <c r="AH69" i="1"/>
  <c r="W95" i="1"/>
  <c r="BD95" i="1"/>
  <c r="H101" i="1"/>
  <c r="H118" i="1"/>
  <c r="S119" i="1"/>
  <c r="AZ119" i="1"/>
  <c r="S121" i="1"/>
  <c r="AD122" i="1"/>
  <c r="H123" i="1"/>
  <c r="AD124" i="1"/>
  <c r="H134" i="1"/>
  <c r="H137" i="1"/>
  <c r="S149" i="1"/>
  <c r="H158" i="1"/>
  <c r="S159" i="1"/>
  <c r="H163" i="1"/>
  <c r="W172" i="1"/>
  <c r="Q40" i="1"/>
  <c r="Q46" i="1"/>
  <c r="AQ15" i="1"/>
  <c r="AF72" i="1"/>
  <c r="AQ6" i="1"/>
  <c r="R26" i="1"/>
  <c r="S12" i="1"/>
  <c r="L13" i="1"/>
  <c r="AD13" i="1"/>
  <c r="AS13" i="1"/>
  <c r="H16" i="1"/>
  <c r="S21" i="1"/>
  <c r="AD22" i="1"/>
  <c r="H24" i="1"/>
  <c r="S25" i="1"/>
  <c r="H30" i="1"/>
  <c r="AF40" i="1"/>
  <c r="S41" i="1"/>
  <c r="R71" i="1"/>
  <c r="AH50" i="1"/>
  <c r="AY57" i="1"/>
  <c r="L51" i="1"/>
  <c r="AR56" i="1"/>
  <c r="AX57" i="1"/>
  <c r="AQ58" i="1"/>
  <c r="J65" i="1"/>
  <c r="W60" i="1"/>
  <c r="AH61" i="1"/>
  <c r="L63" i="1"/>
  <c r="W64" i="1"/>
  <c r="H73" i="1"/>
  <c r="H77" i="1"/>
  <c r="AD88" i="1"/>
  <c r="AH94" i="1"/>
  <c r="L95" i="1"/>
  <c r="AH101" i="1"/>
  <c r="AD118" i="1"/>
  <c r="H119" i="1"/>
  <c r="AD120" i="1"/>
  <c r="AO121" i="1"/>
  <c r="S122" i="1"/>
  <c r="AO123" i="1"/>
  <c r="AZ124" i="1"/>
  <c r="H133" i="1"/>
  <c r="S147" i="1"/>
  <c r="S150" i="1"/>
  <c r="H152" i="1"/>
  <c r="H161" i="1"/>
  <c r="W175" i="1"/>
  <c r="W183" i="1"/>
  <c r="AF6" i="1"/>
  <c r="AF114" i="1" s="1"/>
  <c r="Q6" i="1"/>
  <c r="AM6" i="1"/>
  <c r="AH10" i="1"/>
  <c r="AO10" i="1"/>
  <c r="AZ13" i="1"/>
  <c r="AM15" i="1"/>
  <c r="AS14" i="1"/>
  <c r="W15" i="1"/>
  <c r="AD15" i="1"/>
  <c r="S18" i="1"/>
  <c r="AD19" i="1"/>
  <c r="J26" i="1"/>
  <c r="H31" i="1"/>
  <c r="S32" i="1"/>
  <c r="AD33" i="1"/>
  <c r="L35" i="1"/>
  <c r="K40" i="1"/>
  <c r="AG40" i="1"/>
  <c r="AG46" i="1"/>
  <c r="U143" i="1"/>
  <c r="U154" i="1" s="1"/>
  <c r="U167" i="1" s="1"/>
  <c r="U178" i="1" s="1"/>
  <c r="U114" i="1"/>
  <c r="AF20" i="1"/>
  <c r="AX16" i="1"/>
  <c r="G20" i="1"/>
  <c r="R20" i="1"/>
  <c r="AB6" i="1"/>
  <c r="AB114" i="1" s="1"/>
  <c r="AX6" i="1"/>
  <c r="S10" i="1"/>
  <c r="BD13" i="1"/>
  <c r="F20" i="1"/>
  <c r="K20" i="1"/>
  <c r="L15" i="1"/>
  <c r="U20" i="1"/>
  <c r="AY16" i="1"/>
  <c r="BD15" i="1"/>
  <c r="AD16" i="1"/>
  <c r="AQ17" i="1"/>
  <c r="K26" i="1"/>
  <c r="U26" i="1"/>
  <c r="AC26" i="1"/>
  <c r="AD21" i="1"/>
  <c r="H23" i="1"/>
  <c r="S24" i="1"/>
  <c r="AD25" i="1"/>
  <c r="AB46" i="1"/>
  <c r="AB40" i="1"/>
  <c r="AD30" i="1"/>
  <c r="G40" i="1"/>
  <c r="G46" i="1"/>
  <c r="BB6" i="1"/>
  <c r="H10" i="1"/>
  <c r="AS10" i="1"/>
  <c r="AZ10" i="1"/>
  <c r="AZ15" i="1"/>
  <c r="AR17" i="1"/>
  <c r="V26" i="1"/>
  <c r="W21" i="1"/>
  <c r="AF26" i="1"/>
  <c r="AH22" i="1"/>
  <c r="L24" i="1"/>
  <c r="W25" i="1"/>
  <c r="U46" i="1"/>
  <c r="U40" i="1"/>
  <c r="W30" i="1"/>
  <c r="AH34" i="1"/>
  <c r="S35" i="1"/>
  <c r="R40" i="1"/>
  <c r="AF46" i="1"/>
  <c r="H35" i="1"/>
  <c r="H41" i="1"/>
  <c r="AO50" i="1"/>
  <c r="BD56" i="1"/>
  <c r="AS57" i="1"/>
  <c r="AM58" i="1"/>
  <c r="U65" i="1"/>
  <c r="AF66" i="1"/>
  <c r="K71" i="1"/>
  <c r="AG72" i="1"/>
  <c r="AH67" i="1"/>
  <c r="V71" i="1"/>
  <c r="AH35" i="1"/>
  <c r="AH41" i="1"/>
  <c r="R46" i="1"/>
  <c r="AD50" i="1"/>
  <c r="AZ56" i="1"/>
  <c r="AN58" i="1"/>
  <c r="Q65" i="1"/>
  <c r="AB66" i="1"/>
  <c r="V65" i="1"/>
  <c r="L66" i="1"/>
  <c r="AC72" i="1"/>
  <c r="K46" i="1"/>
  <c r="K65" i="1"/>
  <c r="G71" i="1"/>
  <c r="H66" i="1"/>
  <c r="U71" i="1"/>
  <c r="AG66" i="1"/>
  <c r="AZ50" i="1"/>
  <c r="G65" i="1"/>
  <c r="Q71" i="1"/>
  <c r="Q143" i="1" l="1"/>
  <c r="Q154" i="1" s="1"/>
  <c r="Q167" i="1" s="1"/>
  <c r="Q178" i="1" s="1"/>
  <c r="Q114" i="1"/>
</calcChain>
</file>

<file path=xl/sharedStrings.xml><?xml version="1.0" encoding="utf-8"?>
<sst xmlns="http://schemas.openxmlformats.org/spreadsheetml/2006/main" count="6" uniqueCount="5">
  <si>
    <t>idioma</t>
  </si>
  <si>
    <t>English</t>
  </si>
  <si>
    <t>ESP</t>
  </si>
  <si>
    <t>Español</t>
  </si>
  <si>
    <t>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</si>
</sst>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;\(#,##0.0\)"/>
    <numFmt numFmtId="166" formatCode="0.0;\ \(0.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4"/>
    </xf>
    <xf numFmtId="0" fontId="2" fillId="5" borderId="0" xfId="0" applyFont="1" applyFill="1"/>
    <xf numFmtId="0" fontId="9" fillId="2" borderId="0" xfId="0" applyFont="1" applyFill="1"/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17/6.%20Junio/NOTA%20IR/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ABEZADOS"/>
      <sheetName val="GRUPO"/>
      <sheetName val="SANTILLANA"/>
      <sheetName val="RADIO"/>
      <sheetName val="NOTICIAS"/>
      <sheetName val="MEDIA CAPITAL"/>
      <sheetName val="TRANSFORMACIÓN"/>
      <sheetName val="To Publish"/>
      <sheetName val="AUDIOVISUAL"/>
    </sheetNames>
    <sheetDataSet>
      <sheetData sheetId="0"/>
      <sheetData sheetId="1">
        <row r="6">
          <cell r="K6" t="str">
            <v>JANUARY - JUNE</v>
          </cell>
          <cell r="O6" t="str">
            <v>APRIL - JUNE</v>
          </cell>
        </row>
        <row r="8">
          <cell r="K8">
            <v>2017</v>
          </cell>
          <cell r="L8">
            <v>2016</v>
          </cell>
          <cell r="O8">
            <v>2017</v>
          </cell>
          <cell r="P8">
            <v>2016</v>
          </cell>
        </row>
        <row r="10">
          <cell r="K10">
            <v>665.03866731932919</v>
          </cell>
          <cell r="L10">
            <v>634.21128316419527</v>
          </cell>
          <cell r="O10">
            <v>297.83022350243658</v>
          </cell>
          <cell r="P10">
            <v>305.14645051163245</v>
          </cell>
        </row>
        <row r="11">
          <cell r="K11">
            <v>244.9094167789172</v>
          </cell>
          <cell r="L11">
            <v>250.42243954133096</v>
          </cell>
          <cell r="O11">
            <v>151.67111356979268</v>
          </cell>
          <cell r="P11">
            <v>152.9600949794347</v>
          </cell>
        </row>
        <row r="12">
          <cell r="K12">
            <v>420.1292505404121</v>
          </cell>
          <cell r="L12">
            <v>383.78884362286431</v>
          </cell>
          <cell r="O12">
            <v>146.15910993264396</v>
          </cell>
          <cell r="P12">
            <v>152.18635553219775</v>
          </cell>
        </row>
        <row r="13">
          <cell r="K13">
            <v>78.599503259999992</v>
          </cell>
          <cell r="L13">
            <v>84.223316159999996</v>
          </cell>
          <cell r="O13">
            <v>43.704104999999991</v>
          </cell>
          <cell r="P13">
            <v>45.741188370000003</v>
          </cell>
        </row>
        <row r="14">
          <cell r="K14">
            <v>341.5297472804121</v>
          </cell>
          <cell r="L14">
            <v>299.56552746286428</v>
          </cell>
          <cell r="O14">
            <v>102.45500493264399</v>
          </cell>
          <cell r="P14">
            <v>106.44516716219775</v>
          </cell>
        </row>
        <row r="15">
          <cell r="K15">
            <v>135.69015134453704</v>
          </cell>
          <cell r="L15">
            <v>97.017115667108172</v>
          </cell>
          <cell r="O15">
            <v>43.211100859592634</v>
          </cell>
          <cell r="P15">
            <v>37.34881100916796</v>
          </cell>
        </row>
        <row r="16">
          <cell r="K16">
            <v>15.661488456162465</v>
          </cell>
          <cell r="L16">
            <v>2.892460559007799</v>
          </cell>
          <cell r="O16">
            <v>29.101882289999892</v>
          </cell>
          <cell r="P16">
            <v>20.7855501421664</v>
          </cell>
        </row>
        <row r="17">
          <cell r="K17">
            <v>120.02866288837458</v>
          </cell>
          <cell r="L17">
            <v>94.12465510810037</v>
          </cell>
          <cell r="O17">
            <v>14.109218569592741</v>
          </cell>
          <cell r="P17">
            <v>16.563260867001546</v>
          </cell>
        </row>
        <row r="18">
          <cell r="K18">
            <v>16.648528820557797</v>
          </cell>
          <cell r="L18">
            <v>15.327484989312605</v>
          </cell>
          <cell r="O18">
            <v>11.651482520108976</v>
          </cell>
          <cell r="P18">
            <v>10.097240093367507</v>
          </cell>
        </row>
        <row r="19">
          <cell r="K19">
            <v>103.38013406781678</v>
          </cell>
          <cell r="L19">
            <v>78.797170118787761</v>
          </cell>
          <cell r="O19">
            <v>2.4577360494837706</v>
          </cell>
          <cell r="P19">
            <v>6.4660207736340425</v>
          </cell>
        </row>
        <row r="21">
          <cell r="K21">
            <v>97.792932074652768</v>
          </cell>
          <cell r="L21">
            <v>55.008959649424213</v>
          </cell>
          <cell r="O21">
            <v>25.212474729246551</v>
          </cell>
          <cell r="P21">
            <v>11.530660196286256</v>
          </cell>
        </row>
        <row r="22">
          <cell r="K22">
            <v>6.7899873501747354</v>
          </cell>
          <cell r="L22">
            <v>-10.331715524719643</v>
          </cell>
          <cell r="O22">
            <v>24.460212899999952</v>
          </cell>
          <cell r="P22">
            <v>13.635691058438825</v>
          </cell>
        </row>
        <row r="23">
          <cell r="K23">
            <v>91.002944724478027</v>
          </cell>
          <cell r="L23">
            <v>65.340675174143854</v>
          </cell>
          <cell r="O23">
            <v>0.75226182924657792</v>
          </cell>
          <cell r="P23">
            <v>-2.1050308621525744</v>
          </cell>
        </row>
        <row r="24">
          <cell r="K24">
            <v>13.4423188005578</v>
          </cell>
          <cell r="L24">
            <v>11.583275779312599</v>
          </cell>
          <cell r="O24">
            <v>9.9811784701089792</v>
          </cell>
          <cell r="P24">
            <v>8.1152867333675029</v>
          </cell>
        </row>
        <row r="25">
          <cell r="K25">
            <v>77.560625923920227</v>
          </cell>
          <cell r="L25">
            <v>53.757399394831253</v>
          </cell>
          <cell r="O25">
            <v>-9.2289166408623942</v>
          </cell>
          <cell r="P25">
            <v>-10.220317595520079</v>
          </cell>
        </row>
        <row r="30">
          <cell r="K30">
            <v>639.70754368687392</v>
          </cell>
          <cell r="L30">
            <v>634.21128316419527</v>
          </cell>
          <cell r="O30">
            <v>296.45707557409293</v>
          </cell>
          <cell r="P30">
            <v>305.14645051163245</v>
          </cell>
        </row>
        <row r="31">
          <cell r="K31">
            <v>244.9094167789172</v>
          </cell>
          <cell r="L31">
            <v>250.42243954133096</v>
          </cell>
          <cell r="O31">
            <v>151.67111356979268</v>
          </cell>
          <cell r="P31">
            <v>152.9600949794347</v>
          </cell>
        </row>
        <row r="32">
          <cell r="K32">
            <v>394.79812690795677</v>
          </cell>
          <cell r="L32">
            <v>383.78884362286431</v>
          </cell>
          <cell r="O32">
            <v>144.78596200430025</v>
          </cell>
          <cell r="P32">
            <v>152.18635553219775</v>
          </cell>
        </row>
        <row r="33">
          <cell r="K33">
            <v>78.599503259999992</v>
          </cell>
          <cell r="L33">
            <v>84.223316159999996</v>
          </cell>
          <cell r="O33">
            <v>43.704104999999991</v>
          </cell>
          <cell r="P33">
            <v>45.741188370000003</v>
          </cell>
        </row>
        <row r="34">
          <cell r="K34">
            <v>316.19862364795677</v>
          </cell>
          <cell r="L34">
            <v>299.56552746286428</v>
          </cell>
          <cell r="O34">
            <v>101.08185700430028</v>
          </cell>
          <cell r="P34">
            <v>106.44516716219775</v>
          </cell>
        </row>
        <row r="35">
          <cell r="K35">
            <v>124.87186670490678</v>
          </cell>
          <cell r="L35">
            <v>97.017115667108172</v>
          </cell>
          <cell r="O35">
            <v>44.687160163182057</v>
          </cell>
          <cell r="P35">
            <v>37.34881100916796</v>
          </cell>
        </row>
        <row r="36">
          <cell r="K36">
            <v>15.661488456162465</v>
          </cell>
          <cell r="L36">
            <v>2.892460559007799</v>
          </cell>
          <cell r="O36">
            <v>29.101882289999892</v>
          </cell>
          <cell r="P36">
            <v>20.7855501421664</v>
          </cell>
        </row>
        <row r="37">
          <cell r="K37">
            <v>109.21037824874431</v>
          </cell>
          <cell r="L37">
            <v>94.12465510810037</v>
          </cell>
          <cell r="O37">
            <v>15.58527787318215</v>
          </cell>
          <cell r="P37">
            <v>16.563260867001546</v>
          </cell>
        </row>
        <row r="38">
          <cell r="K38">
            <v>16.648528820557797</v>
          </cell>
          <cell r="L38">
            <v>15.327484989312605</v>
          </cell>
          <cell r="O38">
            <v>11.651482520108976</v>
          </cell>
          <cell r="P38">
            <v>10.097240093367507</v>
          </cell>
        </row>
        <row r="39">
          <cell r="K39">
            <v>92.561849428186505</v>
          </cell>
          <cell r="L39">
            <v>78.797170118787761</v>
          </cell>
          <cell r="O39">
            <v>3.9337953530731795</v>
          </cell>
          <cell r="P39">
            <v>6.4660207736340425</v>
          </cell>
        </row>
        <row r="41">
          <cell r="K41">
            <v>88.836534324449019</v>
          </cell>
          <cell r="L41">
            <v>55.008959649424213</v>
          </cell>
          <cell r="O41">
            <v>27.036717182058212</v>
          </cell>
          <cell r="P41">
            <v>11.530660196286256</v>
          </cell>
        </row>
        <row r="42">
          <cell r="K42">
            <v>6.7899873501747354</v>
          </cell>
          <cell r="L42">
            <v>-10.331715524719643</v>
          </cell>
          <cell r="O42">
            <v>24.460212899999952</v>
          </cell>
          <cell r="P42">
            <v>13.635691058438825</v>
          </cell>
        </row>
        <row r="43">
          <cell r="K43">
            <v>82.046546974274278</v>
          </cell>
          <cell r="L43">
            <v>65.340675174143854</v>
          </cell>
          <cell r="O43">
            <v>2.576504282058238</v>
          </cell>
          <cell r="P43">
            <v>-2.1050308621525744</v>
          </cell>
        </row>
        <row r="44">
          <cell r="K44">
            <v>13.4423188005578</v>
          </cell>
          <cell r="L44">
            <v>11.583275779312599</v>
          </cell>
          <cell r="O44">
            <v>9.9811784701089792</v>
          </cell>
          <cell r="P44">
            <v>8.1152867333675029</v>
          </cell>
        </row>
        <row r="45">
          <cell r="K45">
            <v>68.604228173716479</v>
          </cell>
          <cell r="L45">
            <v>53.757399394831253</v>
          </cell>
          <cell r="O45">
            <v>-7.4046741880507341</v>
          </cell>
          <cell r="P45">
            <v>-10.220317595520079</v>
          </cell>
        </row>
        <row r="50">
          <cell r="K50">
            <v>655.02436052328699</v>
          </cell>
          <cell r="L50">
            <v>624.45385419180298</v>
          </cell>
          <cell r="O50">
            <v>292.503714107988</v>
          </cell>
          <cell r="P50">
            <v>299.90701077681797</v>
          </cell>
        </row>
        <row r="51">
          <cell r="K51">
            <v>244.9094167789172</v>
          </cell>
          <cell r="L51">
            <v>250.42243954133096</v>
          </cell>
          <cell r="O51">
            <v>151.67111356979268</v>
          </cell>
          <cell r="P51">
            <v>152.9600949794347</v>
          </cell>
        </row>
        <row r="52">
          <cell r="K52">
            <v>410.11494374436978</v>
          </cell>
          <cell r="L52">
            <v>374.03141465047207</v>
          </cell>
          <cell r="O52">
            <v>140.83260053819532</v>
          </cell>
          <cell r="P52">
            <v>146.94691579738333</v>
          </cell>
        </row>
        <row r="53">
          <cell r="K53">
            <v>78.599503259999992</v>
          </cell>
          <cell r="L53">
            <v>84.223316159999996</v>
          </cell>
          <cell r="O53">
            <v>43.704104999999991</v>
          </cell>
          <cell r="P53">
            <v>45.741188370000003</v>
          </cell>
        </row>
        <row r="54">
          <cell r="K54">
            <v>331.51544048436978</v>
          </cell>
          <cell r="L54">
            <v>289.80809849047205</v>
          </cell>
          <cell r="O54">
            <v>97.128495538195324</v>
          </cell>
          <cell r="P54">
            <v>101.20572742738332</v>
          </cell>
        </row>
        <row r="55">
          <cell r="K55">
            <v>536.47501402934995</v>
          </cell>
          <cell r="L55">
            <v>537.9789146285375</v>
          </cell>
          <cell r="O55">
            <v>256.78527546819555</v>
          </cell>
          <cell r="P55">
            <v>268.4369825147171</v>
          </cell>
        </row>
        <row r="56">
          <cell r="K56">
            <v>238.97785637891795</v>
          </cell>
          <cell r="L56">
            <v>250.00940726232318</v>
          </cell>
          <cell r="O56">
            <v>126.43785326979285</v>
          </cell>
          <cell r="P56">
            <v>132.98703429726831</v>
          </cell>
        </row>
        <row r="57">
          <cell r="K57">
            <v>297.49715765043203</v>
          </cell>
          <cell r="L57">
            <v>287.96950736621437</v>
          </cell>
          <cell r="O57">
            <v>130.34742219840274</v>
          </cell>
          <cell r="P57">
            <v>135.44994821744882</v>
          </cell>
        </row>
        <row r="58">
          <cell r="K58">
            <v>62.718119159442196</v>
          </cell>
          <cell r="L58">
            <v>69.306876520687396</v>
          </cell>
          <cell r="O58">
            <v>32.30211055989102</v>
          </cell>
          <cell r="P58">
            <v>35.661877026632503</v>
          </cell>
        </row>
        <row r="59">
          <cell r="K59">
            <v>234.77903849098982</v>
          </cell>
          <cell r="L59">
            <v>218.66263084552693</v>
          </cell>
          <cell r="O59">
            <v>98.045311638511691</v>
          </cell>
          <cell r="P59">
            <v>99.788071190816325</v>
          </cell>
        </row>
        <row r="60">
          <cell r="K60">
            <v>118.54934649393701</v>
          </cell>
          <cell r="L60">
            <v>86.474939563265508</v>
          </cell>
          <cell r="O60">
            <v>35.718438639792396</v>
          </cell>
          <cell r="P60">
            <v>31.470028262100911</v>
          </cell>
        </row>
        <row r="61">
          <cell r="K61">
            <v>5.9315603999992597</v>
          </cell>
          <cell r="L61">
            <v>0.41303227900779166</v>
          </cell>
          <cell r="O61">
            <v>25.23326029999982</v>
          </cell>
          <cell r="P61">
            <v>19.973060682166395</v>
          </cell>
        </row>
        <row r="62">
          <cell r="K62">
            <v>112.61778609393774</v>
          </cell>
          <cell r="L62">
            <v>86.061907284257714</v>
          </cell>
          <cell r="O62">
            <v>10.485178339792569</v>
          </cell>
          <cell r="P62">
            <v>11.496967579934505</v>
          </cell>
        </row>
        <row r="63">
          <cell r="K63">
            <v>15.881384100557797</v>
          </cell>
          <cell r="L63">
            <v>14.916439639312605</v>
          </cell>
          <cell r="O63">
            <v>11.401994440108977</v>
          </cell>
          <cell r="P63">
            <v>10.079311343367507</v>
          </cell>
        </row>
        <row r="64">
          <cell r="K64">
            <v>96.736401993379943</v>
          </cell>
          <cell r="L64">
            <v>71.145467644945114</v>
          </cell>
          <cell r="O64">
            <v>-0.91681610031639593</v>
          </cell>
          <cell r="P64">
            <v>1.417656236566998</v>
          </cell>
        </row>
        <row r="66">
          <cell r="K66">
            <v>79.86789199897882</v>
          </cell>
          <cell r="L66">
            <v>44.943881743738388</v>
          </cell>
          <cell r="O66">
            <v>17.930958058254497</v>
          </cell>
          <cell r="P66">
            <v>5.8989363932251919</v>
          </cell>
        </row>
        <row r="67">
          <cell r="K67">
            <v>-4.1566002286838337</v>
          </cell>
          <cell r="L67">
            <v>-12.811143804719643</v>
          </cell>
          <cell r="O67">
            <v>20.591590909999908</v>
          </cell>
          <cell r="P67">
            <v>12.823201598438827</v>
          </cell>
        </row>
        <row r="68">
          <cell r="K68">
            <v>84.024492227662662</v>
          </cell>
          <cell r="L68">
            <v>57.755025548458029</v>
          </cell>
          <cell r="O68">
            <v>-2.6606328517454045</v>
          </cell>
          <cell r="P68">
            <v>-6.9242652052136364</v>
          </cell>
        </row>
        <row r="69">
          <cell r="K69">
            <v>12.675174080557799</v>
          </cell>
          <cell r="L69">
            <v>11.172230429312599</v>
          </cell>
          <cell r="O69">
            <v>9.7316903901089784</v>
          </cell>
          <cell r="P69">
            <v>8.0973579833675018</v>
          </cell>
        </row>
        <row r="70">
          <cell r="K70">
            <v>71.349318147104853</v>
          </cell>
          <cell r="L70">
            <v>46.582795119145423</v>
          </cell>
          <cell r="O70">
            <v>-12.392323241854399</v>
          </cell>
          <cell r="P70">
            <v>-15.021623188581145</v>
          </cell>
        </row>
        <row r="72">
          <cell r="K72">
            <v>-26.285350286502101</v>
          </cell>
          <cell r="L72">
            <v>-25.992959107227499</v>
          </cell>
          <cell r="O72">
            <v>-8.9409216238066023</v>
          </cell>
          <cell r="P72">
            <v>-18.517245828272269</v>
          </cell>
        </row>
        <row r="73">
          <cell r="K73">
            <v>-26.941771149725302</v>
          </cell>
          <cell r="L73">
            <v>-31.347104710562199</v>
          </cell>
          <cell r="O73">
            <v>-12.546428506694902</v>
          </cell>
          <cell r="P73">
            <v>-14.547294265246698</v>
          </cell>
        </row>
        <row r="74">
          <cell r="K74">
            <v>0.65642086322320026</v>
          </cell>
          <cell r="L74">
            <v>5.3541456033347004</v>
          </cell>
          <cell r="O74">
            <v>3.6055068828882995</v>
          </cell>
          <cell r="P74">
            <v>-3.9699515630255711</v>
          </cell>
        </row>
        <row r="75">
          <cell r="K75">
            <v>0.55638216376572303</v>
          </cell>
          <cell r="L75">
            <v>1.95336109594814</v>
          </cell>
          <cell r="O75">
            <v>0.28750463374097202</v>
          </cell>
          <cell r="P75">
            <v>1.2957750703299489</v>
          </cell>
        </row>
        <row r="76">
          <cell r="K76">
            <v>54.138923876242444</v>
          </cell>
          <cell r="L76">
            <v>20.904283732459028</v>
          </cell>
          <cell r="O76">
            <v>9.2775410681888673</v>
          </cell>
          <cell r="P76">
            <v>-11.322534364717129</v>
          </cell>
        </row>
        <row r="77">
          <cell r="K77">
            <v>25.068128427510509</v>
          </cell>
          <cell r="L77">
            <v>17.752195792951849</v>
          </cell>
          <cell r="O77">
            <v>8.6895555973894218</v>
          </cell>
          <cell r="P77">
            <v>4.0637098858517895</v>
          </cell>
        </row>
        <row r="78">
          <cell r="K78">
            <v>-0.98498400000000008</v>
          </cell>
          <cell r="L78">
            <v>-0.28732756999999998</v>
          </cell>
          <cell r="O78">
            <v>0</v>
          </cell>
          <cell r="P78">
            <v>-0.34288195999999999</v>
          </cell>
        </row>
        <row r="79">
          <cell r="K79">
            <v>-14.1863517447741</v>
          </cell>
          <cell r="L79">
            <v>-13.349145868998001</v>
          </cell>
          <cell r="O79">
            <v>-8.6073003069221095</v>
          </cell>
          <cell r="P79">
            <v>-7.7057310404963806</v>
          </cell>
        </row>
        <row r="80">
          <cell r="K80">
            <v>13.899459702642259</v>
          </cell>
          <cell r="L80">
            <v>-10.484156013763052</v>
          </cell>
          <cell r="O80">
            <v>-8.0193148361219873</v>
          </cell>
          <cell r="P80">
            <v>-23.434627765336273</v>
          </cell>
        </row>
        <row r="90">
          <cell r="K90">
            <v>10.014306796042305</v>
          </cell>
          <cell r="L90">
            <v>9.7574289723922352</v>
          </cell>
          <cell r="O90">
            <v>5.3265093944486379</v>
          </cell>
          <cell r="P90">
            <v>5.2394397348144288</v>
          </cell>
        </row>
        <row r="91">
          <cell r="K91">
            <v>10.014306796042305</v>
          </cell>
          <cell r="L91">
            <v>9.7574289723922352</v>
          </cell>
          <cell r="O91">
            <v>5.3265093944486379</v>
          </cell>
          <cell r="P91">
            <v>5.2394397348144288</v>
          </cell>
        </row>
        <row r="97">
          <cell r="K97">
            <v>-7.1264980545577208</v>
          </cell>
          <cell r="L97">
            <v>-0.78474713145042863</v>
          </cell>
          <cell r="O97">
            <v>-2.1661528253515829</v>
          </cell>
          <cell r="P97">
            <v>-0.6393430122526147</v>
          </cell>
        </row>
        <row r="98">
          <cell r="K98">
            <v>-13.24571388736714</v>
          </cell>
          <cell r="L98">
            <v>-6.9713224417284598</v>
          </cell>
          <cell r="O98">
            <v>-5.1880631471681902</v>
          </cell>
          <cell r="P98">
            <v>-3.8447206594115997</v>
          </cell>
        </row>
        <row r="99">
          <cell r="K99">
            <v>6.1192158328094193</v>
          </cell>
          <cell r="L99">
            <v>6.1865753102780312</v>
          </cell>
          <cell r="O99">
            <v>3.0219103218166072</v>
          </cell>
          <cell r="P99">
            <v>3.205377647158985</v>
          </cell>
        </row>
        <row r="104">
          <cell r="K104">
            <v>-0.78423522507391463</v>
          </cell>
          <cell r="L104">
            <v>0.47709819815682941</v>
          </cell>
          <cell r="O104">
            <v>0.21114554880818681</v>
          </cell>
          <cell r="P104">
            <v>0.24705894400597028</v>
          </cell>
        </row>
        <row r="105">
          <cell r="K105">
            <v>0.43242429762148538</v>
          </cell>
          <cell r="L105">
            <v>0.47709819815682941</v>
          </cell>
          <cell r="O105">
            <v>0.21114554880818681</v>
          </cell>
          <cell r="P105">
            <v>0.24705894400597028</v>
          </cell>
        </row>
        <row r="106">
          <cell r="K106">
            <v>-1.2166595226954</v>
          </cell>
          <cell r="L106">
            <v>0</v>
          </cell>
          <cell r="O106">
            <v>0</v>
          </cell>
          <cell r="P106">
            <v>0</v>
          </cell>
        </row>
        <row r="120">
          <cell r="K120">
            <v>665.03866731932919</v>
          </cell>
          <cell r="L120">
            <v>634.21128316419527</v>
          </cell>
          <cell r="O120">
            <v>297.83022350243658</v>
          </cell>
          <cell r="P120">
            <v>305.14645051163245</v>
          </cell>
        </row>
        <row r="121">
          <cell r="K121">
            <v>328.02148342967899</v>
          </cell>
          <cell r="L121">
            <v>279.56067710785499</v>
          </cell>
          <cell r="O121">
            <v>112.42070918099799</v>
          </cell>
          <cell r="P121">
            <v>111.23738252869299</v>
          </cell>
        </row>
        <row r="122">
          <cell r="K122">
            <v>146.78221148804931</v>
          </cell>
          <cell r="L122">
            <v>147.55747393425122</v>
          </cell>
          <cell r="O122">
            <v>81.109747264492839</v>
          </cell>
          <cell r="P122">
            <v>83.15586510116681</v>
          </cell>
        </row>
        <row r="123">
          <cell r="K123">
            <v>109.053915504267</v>
          </cell>
          <cell r="L123">
            <v>122.031914953297</v>
          </cell>
          <cell r="O123">
            <v>58.659025464881594</v>
          </cell>
          <cell r="P123">
            <v>64.795114196780901</v>
          </cell>
        </row>
        <row r="126">
          <cell r="K126">
            <v>79.033360180000003</v>
          </cell>
          <cell r="L126">
            <v>85.266263039999998</v>
          </cell>
          <cell r="O126">
            <v>43.957160970000004</v>
          </cell>
          <cell r="P126">
            <v>46.224375240000001</v>
          </cell>
        </row>
        <row r="127">
          <cell r="K127">
            <v>2.1476967173338863</v>
          </cell>
          <cell r="L127">
            <v>-0.20504587120794326</v>
          </cell>
          <cell r="O127">
            <v>1.6835806220641558</v>
          </cell>
          <cell r="P127">
            <v>-0.26628655500825005</v>
          </cell>
        </row>
        <row r="133">
          <cell r="K133">
            <v>135.69015134453704</v>
          </cell>
          <cell r="L133">
            <v>97.017115667108172</v>
          </cell>
          <cell r="O133">
            <v>43.211100859592634</v>
          </cell>
          <cell r="P133">
            <v>37.34881100916796</v>
          </cell>
        </row>
        <row r="134">
          <cell r="K134">
            <v>94.203475473929714</v>
          </cell>
          <cell r="L134">
            <v>62.810437481172734</v>
          </cell>
          <cell r="O134">
            <v>11.200432742548159</v>
          </cell>
          <cell r="P134">
            <v>9.941912374071336</v>
          </cell>
        </row>
        <row r="135">
          <cell r="K135">
            <v>25.90879667940569</v>
          </cell>
          <cell r="L135">
            <v>20.533552339945825</v>
          </cell>
          <cell r="O135">
            <v>18.640052505959716</v>
          </cell>
          <cell r="P135">
            <v>15.431484919576464</v>
          </cell>
        </row>
        <row r="136">
          <cell r="K136">
            <v>5.9595375868221296</v>
          </cell>
          <cell r="L136">
            <v>7.3774874138440749</v>
          </cell>
          <cell r="O136">
            <v>5.1058867729091792</v>
          </cell>
          <cell r="P136">
            <v>5.991520566099461</v>
          </cell>
        </row>
        <row r="139">
          <cell r="K139">
            <v>18.2596460305578</v>
          </cell>
          <cell r="L139">
            <v>17.669995829312601</v>
          </cell>
          <cell r="O139">
            <v>12.63415013010899</v>
          </cell>
          <cell r="P139">
            <v>11.51397284245855</v>
          </cell>
        </row>
        <row r="140">
          <cell r="K140">
            <v>-8.6413044261782908</v>
          </cell>
          <cell r="L140">
            <v>-11.374357397167064</v>
          </cell>
          <cell r="O140">
            <v>-4.3694212919334099</v>
          </cell>
          <cell r="P140">
            <v>-5.5300796930378526</v>
          </cell>
        </row>
        <row r="150">
          <cell r="K150">
            <v>118.54934649393701</v>
          </cell>
          <cell r="L150">
            <v>86.474939563265508</v>
          </cell>
          <cell r="O150">
            <v>35.718438639792396</v>
          </cell>
          <cell r="P150">
            <v>31.470028262100911</v>
          </cell>
        </row>
        <row r="151">
          <cell r="K151">
            <v>3.8950909632328861</v>
          </cell>
          <cell r="L151">
            <v>3.570853662114204</v>
          </cell>
          <cell r="O151">
            <v>2.3045990726320307</v>
          </cell>
          <cell r="P151">
            <v>2.0340620876554443</v>
          </cell>
        </row>
        <row r="152">
          <cell r="K152">
            <v>13.24571388736714</v>
          </cell>
          <cell r="L152">
            <v>6.9713224417284598</v>
          </cell>
          <cell r="O152">
            <v>5.1880631471681902</v>
          </cell>
          <cell r="P152">
            <v>3.8447206594115997</v>
          </cell>
        </row>
        <row r="153">
          <cell r="K153">
            <v>135.69015134453704</v>
          </cell>
          <cell r="L153">
            <v>97.017115667108172</v>
          </cell>
          <cell r="O153">
            <v>43.211100859592634</v>
          </cell>
          <cell r="P153">
            <v>37.34881100916796</v>
          </cell>
        </row>
        <row r="154">
          <cell r="K154">
            <v>34.120776436118099</v>
          </cell>
          <cell r="L154">
            <v>36.669377626077761</v>
          </cell>
          <cell r="O154">
            <v>13.661757581277282</v>
          </cell>
          <cell r="P154">
            <v>16.937437528218116</v>
          </cell>
        </row>
        <row r="155">
          <cell r="K155">
            <v>2.9598457315447426</v>
          </cell>
          <cell r="L155">
            <v>4.4913377010732018</v>
          </cell>
          <cell r="O155">
            <v>3.4798499746045146</v>
          </cell>
          <cell r="P155">
            <v>8.0690615920567499</v>
          </cell>
        </row>
        <row r="156">
          <cell r="K156">
            <v>0.81659710222143289</v>
          </cell>
          <cell r="L156">
            <v>0.84744069053299587</v>
          </cell>
          <cell r="O156">
            <v>0.85701857446428542</v>
          </cell>
          <cell r="P156">
            <v>0.81165169260683934</v>
          </cell>
        </row>
        <row r="157">
          <cell r="K157">
            <v>97.792932074652768</v>
          </cell>
          <cell r="L157">
            <v>55.008959649424213</v>
          </cell>
          <cell r="O157">
            <v>25.212474729246551</v>
          </cell>
          <cell r="P157">
            <v>11.530660196286256</v>
          </cell>
        </row>
        <row r="164">
          <cell r="K164">
            <v>-12.758358966178333</v>
          </cell>
          <cell r="L164">
            <v>-12.007809208308739</v>
          </cell>
          <cell r="O164">
            <v>-7.6062276919334471</v>
          </cell>
          <cell r="P164">
            <v>-5.7906956853507037</v>
          </cell>
        </row>
        <row r="165">
          <cell r="K165">
            <v>4.1170545400000425</v>
          </cell>
          <cell r="L165">
            <v>0.63345181114167559</v>
          </cell>
          <cell r="O165">
            <v>3.2368064000000372</v>
          </cell>
          <cell r="P165">
            <v>0.26061599231285104</v>
          </cell>
        </row>
        <row r="166">
          <cell r="K166">
            <v>-8.6413044261782908</v>
          </cell>
          <cell r="L166">
            <v>-11.374357397167064</v>
          </cell>
          <cell r="O166">
            <v>-4.3694212919334099</v>
          </cell>
          <cell r="P166">
            <v>-5.5300796930378526</v>
          </cell>
        </row>
        <row r="167">
          <cell r="K167">
            <v>0.54396054589813492</v>
          </cell>
          <cell r="L167">
            <v>2.6823831415681241</v>
          </cell>
          <cell r="O167">
            <v>0.25101602737498618</v>
          </cell>
          <cell r="P167">
            <v>1.0937896182337343</v>
          </cell>
        </row>
        <row r="168">
          <cell r="K168">
            <v>6.5871354733637422E-2</v>
          </cell>
          <cell r="L168">
            <v>6.5120529473237695E-2</v>
          </cell>
          <cell r="O168">
            <v>5.9117120855621541E-2</v>
          </cell>
          <cell r="P168">
            <v>5.9683486488947841E-2</v>
          </cell>
        </row>
        <row r="169">
          <cell r="K169">
            <v>-4.1577852272212112E-14</v>
          </cell>
          <cell r="L169">
            <v>-4.2692238633179613E-13</v>
          </cell>
          <cell r="O169">
            <v>-8.9653978685433344E-14</v>
          </cell>
          <cell r="P169">
            <v>-2.177216740228971E-13</v>
          </cell>
        </row>
        <row r="170">
          <cell r="K170">
            <v>-9.2511363268100215</v>
          </cell>
          <cell r="L170">
            <v>-14.121861068207998</v>
          </cell>
          <cell r="O170">
            <v>-4.679554440163928</v>
          </cell>
          <cell r="P170">
            <v>-6.6835527977603171</v>
          </cell>
        </row>
      </sheetData>
      <sheetData sheetId="2">
        <row r="10">
          <cell r="K10">
            <v>328.02148342967899</v>
          </cell>
          <cell r="L10">
            <v>279.56067710785499</v>
          </cell>
          <cell r="O10">
            <v>112.42070918099799</v>
          </cell>
          <cell r="P10">
            <v>111.23738252869299</v>
          </cell>
        </row>
        <row r="11">
          <cell r="K11">
            <v>46.542836386892418</v>
          </cell>
          <cell r="L11">
            <v>40.085763811959538</v>
          </cell>
          <cell r="O11">
            <v>42.85473820050953</v>
          </cell>
          <cell r="P11">
            <v>38.50679724503189</v>
          </cell>
        </row>
        <row r="12">
          <cell r="K12">
            <v>281.47864704278658</v>
          </cell>
          <cell r="L12">
            <v>239.47491329589545</v>
          </cell>
          <cell r="O12">
            <v>69.565970980488459</v>
          </cell>
          <cell r="P12">
            <v>72.7305852836611</v>
          </cell>
        </row>
        <row r="13">
          <cell r="K13">
            <v>6.8078E-2</v>
          </cell>
          <cell r="L13">
            <v>6.8129999999999996E-2</v>
          </cell>
          <cell r="O13">
            <v>2.1530000000000001E-2</v>
          </cell>
          <cell r="P13">
            <v>3.5861999999999998E-2</v>
          </cell>
        </row>
        <row r="14">
          <cell r="K14">
            <v>281.41056904278656</v>
          </cell>
          <cell r="L14">
            <v>239.40678329589545</v>
          </cell>
          <cell r="O14">
            <v>69.544440980488446</v>
          </cell>
          <cell r="P14">
            <v>72.694723283661091</v>
          </cell>
        </row>
        <row r="15">
          <cell r="K15">
            <v>94.203475473929714</v>
          </cell>
          <cell r="L15">
            <v>62.810437481172734</v>
          </cell>
          <cell r="O15">
            <v>11.200432742548159</v>
          </cell>
          <cell r="P15">
            <v>9.941912374071336</v>
          </cell>
        </row>
        <row r="16">
          <cell r="K16">
            <v>2.3653616399990653</v>
          </cell>
          <cell r="L16">
            <v>-5.5340849207011118</v>
          </cell>
          <cell r="O16">
            <v>17.509033509998929</v>
          </cell>
          <cell r="P16">
            <v>10.793829693366774</v>
          </cell>
        </row>
        <row r="17">
          <cell r="K17">
            <v>91.838113833930649</v>
          </cell>
          <cell r="L17">
            <v>68.344522401873846</v>
          </cell>
          <cell r="O17">
            <v>-6.3086007674507698</v>
          </cell>
          <cell r="P17">
            <v>-0.85191731929543835</v>
          </cell>
        </row>
        <row r="18">
          <cell r="K18">
            <v>-1.522232</v>
          </cell>
          <cell r="L18">
            <v>-2.2066210000000002</v>
          </cell>
          <cell r="O18">
            <v>-0.89333200000000001</v>
          </cell>
          <cell r="P18">
            <v>-1.3391630000000001</v>
          </cell>
        </row>
        <row r="19">
          <cell r="K19">
            <v>93.360345833930651</v>
          </cell>
          <cell r="L19">
            <v>70.551143401873844</v>
          </cell>
          <cell r="O19">
            <v>-5.4152687674507689</v>
          </cell>
          <cell r="P19">
            <v>0.48724568070456087</v>
          </cell>
        </row>
        <row r="21">
          <cell r="K21">
            <v>70.789459627326522</v>
          </cell>
          <cell r="L21">
            <v>37.414899560129832</v>
          </cell>
          <cell r="O21">
            <v>7.1009712754275256E-2</v>
          </cell>
          <cell r="P21">
            <v>-7.6294220011128715</v>
          </cell>
        </row>
        <row r="22">
          <cell r="K22">
            <v>0.9232231099989292</v>
          </cell>
          <cell r="L22">
            <v>-7.7437007207012769</v>
          </cell>
          <cell r="O22">
            <v>16.791630709998913</v>
          </cell>
          <cell r="P22">
            <v>8.9152737733666072</v>
          </cell>
        </row>
        <row r="23">
          <cell r="K23">
            <v>69.866236517327593</v>
          </cell>
          <cell r="L23">
            <v>45.158600280831109</v>
          </cell>
          <cell r="O23">
            <v>-16.720620997244637</v>
          </cell>
          <cell r="P23">
            <v>-16.544695774479479</v>
          </cell>
        </row>
        <row r="24">
          <cell r="K24">
            <v>-1.5269649999999999</v>
          </cell>
          <cell r="L24">
            <v>-2.1968350000000001</v>
          </cell>
          <cell r="O24">
            <v>-0.89585599999999987</v>
          </cell>
          <cell r="P24">
            <v>-1.345316</v>
          </cell>
        </row>
        <row r="25">
          <cell r="K25">
            <v>71.393201517327597</v>
          </cell>
          <cell r="L25">
            <v>47.355435280831109</v>
          </cell>
          <cell r="O25">
            <v>-15.824764997244628</v>
          </cell>
          <cell r="P25">
            <v>-15.199379774479482</v>
          </cell>
        </row>
        <row r="30">
          <cell r="K30">
            <v>305.17362495028601</v>
          </cell>
          <cell r="L30">
            <v>279.56067710785499</v>
          </cell>
          <cell r="O30">
            <v>111.68058599617365</v>
          </cell>
          <cell r="P30">
            <v>111.23738252869299</v>
          </cell>
        </row>
        <row r="31">
          <cell r="K31">
            <v>46.542836386892418</v>
          </cell>
          <cell r="L31">
            <v>40.085763811959538</v>
          </cell>
          <cell r="O31">
            <v>42.85473820050953</v>
          </cell>
          <cell r="P31">
            <v>38.50679724503189</v>
          </cell>
        </row>
        <row r="32">
          <cell r="K32">
            <v>258.63078856339359</v>
          </cell>
          <cell r="L32">
            <v>239.47491329589545</v>
          </cell>
          <cell r="O32">
            <v>68.825847795664117</v>
          </cell>
          <cell r="P32">
            <v>72.7305852836611</v>
          </cell>
        </row>
        <row r="33">
          <cell r="K33">
            <v>6.8078E-2</v>
          </cell>
          <cell r="L33">
            <v>6.8129999999999996E-2</v>
          </cell>
          <cell r="O33">
            <v>2.1530000000000001E-2</v>
          </cell>
          <cell r="P33">
            <v>3.5861999999999998E-2</v>
          </cell>
        </row>
        <row r="34">
          <cell r="K34">
            <v>258.56271056339358</v>
          </cell>
          <cell r="L34">
            <v>239.40678329589545</v>
          </cell>
          <cell r="O34">
            <v>68.804317795664105</v>
          </cell>
          <cell r="P34">
            <v>72.694723283661091</v>
          </cell>
        </row>
        <row r="35">
          <cell r="K35">
            <v>83.472559084810058</v>
          </cell>
          <cell r="L35">
            <v>62.810437481172734</v>
          </cell>
          <cell r="O35">
            <v>12.767570525447837</v>
          </cell>
          <cell r="P35">
            <v>9.941912374071336</v>
          </cell>
        </row>
        <row r="36">
          <cell r="K36">
            <v>2.3653616399990653</v>
          </cell>
          <cell r="L36">
            <v>-5.5340849207011118</v>
          </cell>
          <cell r="O36">
            <v>17.509033509998929</v>
          </cell>
          <cell r="P36">
            <v>10.793829693366774</v>
          </cell>
        </row>
        <row r="37">
          <cell r="K37">
            <v>81.107197444810993</v>
          </cell>
          <cell r="L37">
            <v>68.344522401873846</v>
          </cell>
          <cell r="O37">
            <v>-4.7414629845510916</v>
          </cell>
          <cell r="P37">
            <v>-0.85191731929543835</v>
          </cell>
        </row>
        <row r="38">
          <cell r="K38">
            <v>-1.522232</v>
          </cell>
          <cell r="L38">
            <v>-2.2066210000000002</v>
          </cell>
          <cell r="O38">
            <v>-0.89333200000000001</v>
          </cell>
          <cell r="P38">
            <v>-1.3391630000000001</v>
          </cell>
        </row>
        <row r="39">
          <cell r="K39">
            <v>82.629429444810995</v>
          </cell>
          <cell r="L39">
            <v>70.551143401873844</v>
          </cell>
          <cell r="O39">
            <v>-3.8481309845510907</v>
          </cell>
          <cell r="P39">
            <v>0.48724568070456087</v>
          </cell>
        </row>
        <row r="41">
          <cell r="K41">
            <v>61.754153153121592</v>
          </cell>
          <cell r="L41">
            <v>37.414899560129832</v>
          </cell>
          <cell r="O41">
            <v>1.9603914170867824</v>
          </cell>
          <cell r="P41">
            <v>-7.6294220011128715</v>
          </cell>
        </row>
        <row r="42">
          <cell r="K42">
            <v>0.9232231099989292</v>
          </cell>
          <cell r="L42">
            <v>-7.7437007207012769</v>
          </cell>
          <cell r="O42">
            <v>16.791630709998913</v>
          </cell>
          <cell r="P42">
            <v>8.9152737733666072</v>
          </cell>
        </row>
        <row r="43">
          <cell r="K43">
            <v>60.830930043122663</v>
          </cell>
          <cell r="L43">
            <v>45.158600280831109</v>
          </cell>
          <cell r="O43">
            <v>-14.83123929291213</v>
          </cell>
          <cell r="P43">
            <v>-16.544695774479479</v>
          </cell>
        </row>
        <row r="44">
          <cell r="K44">
            <v>-1.5269649999999999</v>
          </cell>
          <cell r="L44">
            <v>-2.1968350000000001</v>
          </cell>
          <cell r="O44">
            <v>-0.89585599999999987</v>
          </cell>
          <cell r="P44">
            <v>-1.345316</v>
          </cell>
        </row>
        <row r="45">
          <cell r="K45">
            <v>62.35789504312266</v>
          </cell>
          <cell r="L45">
            <v>47.355435280831109</v>
          </cell>
          <cell r="O45">
            <v>-13.935383292912128</v>
          </cell>
          <cell r="P45">
            <v>-15.199379774479482</v>
          </cell>
        </row>
        <row r="50">
          <cell r="K50">
            <v>328.02148342967899</v>
          </cell>
          <cell r="L50">
            <v>279.56067710785499</v>
          </cell>
          <cell r="O50">
            <v>112.42070918099799</v>
          </cell>
          <cell r="P50">
            <v>111.23738252869299</v>
          </cell>
        </row>
        <row r="51">
          <cell r="K51">
            <v>46.542836386892418</v>
          </cell>
          <cell r="L51">
            <v>40.085763811959538</v>
          </cell>
          <cell r="O51">
            <v>42.85473820050953</v>
          </cell>
          <cell r="P51">
            <v>38.50679724503189</v>
          </cell>
        </row>
        <row r="52">
          <cell r="K52">
            <v>281.47864704278658</v>
          </cell>
          <cell r="L52">
            <v>239.47491329589545</v>
          </cell>
          <cell r="O52">
            <v>69.565970980488459</v>
          </cell>
          <cell r="P52">
            <v>72.7305852836611</v>
          </cell>
        </row>
        <row r="53">
          <cell r="K53">
            <v>6.8078E-2</v>
          </cell>
          <cell r="L53">
            <v>6.8129999999999996E-2</v>
          </cell>
          <cell r="O53">
            <v>2.1530000000000001E-2</v>
          </cell>
          <cell r="P53">
            <v>3.5861999999999998E-2</v>
          </cell>
        </row>
        <row r="54">
          <cell r="K54">
            <v>281.41056904278656</v>
          </cell>
          <cell r="L54">
            <v>239.40678329589545</v>
          </cell>
          <cell r="O54">
            <v>69.544440980488446</v>
          </cell>
          <cell r="P54">
            <v>72.694723283661091</v>
          </cell>
        </row>
        <row r="55">
          <cell r="K55">
            <v>236.12452510680978</v>
          </cell>
          <cell r="L55">
            <v>218.82962798055368</v>
          </cell>
          <cell r="O55">
            <v>102.10972163970479</v>
          </cell>
          <cell r="P55">
            <v>102.73928561800059</v>
          </cell>
        </row>
        <row r="56">
          <cell r="K56">
            <v>44.941125826893355</v>
          </cell>
          <cell r="L56">
            <v>45.754856022660661</v>
          </cell>
          <cell r="O56">
            <v>25.356941830510607</v>
          </cell>
          <cell r="P56">
            <v>27.799308931665131</v>
          </cell>
        </row>
        <row r="57">
          <cell r="K57">
            <v>191.18339927991644</v>
          </cell>
          <cell r="L57">
            <v>173.07477195789301</v>
          </cell>
          <cell r="O57">
            <v>76.752779809194195</v>
          </cell>
          <cell r="P57">
            <v>74.939976686335442</v>
          </cell>
        </row>
        <row r="58">
          <cell r="K58">
            <v>1.5907600000000002</v>
          </cell>
          <cell r="L58">
            <v>2.2747510000000002</v>
          </cell>
          <cell r="O58">
            <v>0.91531200000000013</v>
          </cell>
          <cell r="P58">
            <v>1.3750250000000004</v>
          </cell>
        </row>
        <row r="59">
          <cell r="K59">
            <v>189.5926392799164</v>
          </cell>
          <cell r="L59">
            <v>170.80002095789303</v>
          </cell>
          <cell r="O59">
            <v>75.837467809194152</v>
          </cell>
          <cell r="P59">
            <v>73.564951686335448</v>
          </cell>
        </row>
        <row r="60">
          <cell r="K60">
            <v>91.89695832286921</v>
          </cell>
          <cell r="L60">
            <v>60.731049127301304</v>
          </cell>
          <cell r="O60">
            <v>10.310987541293201</v>
          </cell>
          <cell r="P60">
            <v>8.4980969106924036</v>
          </cell>
        </row>
        <row r="61">
          <cell r="K61">
            <v>1.6017105599990629</v>
          </cell>
          <cell r="L61">
            <v>-5.6690922107011232</v>
          </cell>
          <cell r="O61">
            <v>17.497796369998923</v>
          </cell>
          <cell r="P61">
            <v>10.70748831336676</v>
          </cell>
        </row>
        <row r="62">
          <cell r="K62">
            <v>90.295247762870147</v>
          </cell>
          <cell r="L62">
            <v>66.400141338002427</v>
          </cell>
          <cell r="O62">
            <v>-7.1868088287057219</v>
          </cell>
          <cell r="P62">
            <v>-2.2093914026743562</v>
          </cell>
        </row>
        <row r="63">
          <cell r="K63">
            <v>-1.5226820000000001</v>
          </cell>
          <cell r="L63">
            <v>-2.2066210000000002</v>
          </cell>
          <cell r="O63">
            <v>-0.89378200000000008</v>
          </cell>
          <cell r="P63">
            <v>-1.3391630000000001</v>
          </cell>
        </row>
        <row r="64">
          <cell r="K64">
            <v>91.817929762870151</v>
          </cell>
          <cell r="L64">
            <v>68.606762338002426</v>
          </cell>
          <cell r="O64">
            <v>-6.2930268287057203</v>
          </cell>
          <cell r="P64">
            <v>-0.87022840267435697</v>
          </cell>
        </row>
        <row r="66">
          <cell r="K66">
            <v>68.482942476266004</v>
          </cell>
          <cell r="L66">
            <v>35.335511206258403</v>
          </cell>
          <cell r="O66">
            <v>-0.81843548850069681</v>
          </cell>
          <cell r="P66">
            <v>-9.0732374644917968</v>
          </cell>
        </row>
        <row r="67">
          <cell r="K67">
            <v>0.15957202999891251</v>
          </cell>
          <cell r="L67">
            <v>-7.8787080107012812</v>
          </cell>
          <cell r="O67">
            <v>16.780393569998878</v>
          </cell>
          <cell r="P67">
            <v>8.828932393366614</v>
          </cell>
        </row>
        <row r="68">
          <cell r="K68">
            <v>68.323370446267091</v>
          </cell>
          <cell r="L68">
            <v>43.214219216959684</v>
          </cell>
          <cell r="O68">
            <v>-17.598829058499575</v>
          </cell>
          <cell r="P68">
            <v>-17.902169857858411</v>
          </cell>
        </row>
        <row r="69">
          <cell r="K69">
            <v>-1.527415</v>
          </cell>
          <cell r="L69">
            <v>-2.1968350000000001</v>
          </cell>
          <cell r="O69">
            <v>-0.89630599999999994</v>
          </cell>
          <cell r="P69">
            <v>-1.345316</v>
          </cell>
        </row>
        <row r="70">
          <cell r="K70">
            <v>69.850785446267096</v>
          </cell>
          <cell r="L70">
            <v>45.411054216959684</v>
          </cell>
          <cell r="O70">
            <v>-16.702523058499565</v>
          </cell>
          <cell r="P70">
            <v>-16.556853857858414</v>
          </cell>
        </row>
        <row r="79">
          <cell r="K79">
            <v>0</v>
          </cell>
          <cell r="L79">
            <v>0</v>
          </cell>
          <cell r="O79">
            <v>0</v>
          </cell>
          <cell r="P79">
            <v>0</v>
          </cell>
        </row>
        <row r="85">
          <cell r="K85">
            <v>-2.3065171510605103</v>
          </cell>
          <cell r="L85">
            <v>-2.0793883538714297</v>
          </cell>
          <cell r="O85">
            <v>-0.8894452012549503</v>
          </cell>
          <cell r="P85">
            <v>-1.4438154633789317</v>
          </cell>
        </row>
        <row r="86">
          <cell r="K86">
            <v>-2.3065171510605103</v>
          </cell>
          <cell r="L86">
            <v>-2.0793883538714297</v>
          </cell>
          <cell r="O86">
            <v>-0.8894452012549503</v>
          </cell>
          <cell r="P86">
            <v>-1.4438154633789317</v>
          </cell>
        </row>
        <row r="91">
          <cell r="K91">
            <v>0</v>
          </cell>
          <cell r="L91">
            <v>0</v>
          </cell>
        </row>
        <row r="106">
          <cell r="K106">
            <v>328.02148342967899</v>
          </cell>
          <cell r="L106">
            <v>279.56067710785499</v>
          </cell>
          <cell r="O106">
            <v>112.42070918099799</v>
          </cell>
          <cell r="P106">
            <v>111.23738252869299</v>
          </cell>
        </row>
        <row r="107">
          <cell r="K107">
            <v>299.08387313731959</v>
          </cell>
          <cell r="L107">
            <v>249.44822769745682</v>
          </cell>
          <cell r="O107">
            <v>101.69814817836649</v>
          </cell>
          <cell r="P107">
            <v>96.908892363295905</v>
          </cell>
        </row>
        <row r="108">
          <cell r="K108">
            <v>196.79168579911502</v>
          </cell>
          <cell r="L108">
            <v>161.48396414029202</v>
          </cell>
          <cell r="O108">
            <v>13.743173669564243</v>
          </cell>
          <cell r="P108">
            <v>19.041572264379454</v>
          </cell>
        </row>
        <row r="109">
          <cell r="K109">
            <v>102.29175205253637</v>
          </cell>
          <cell r="L109">
            <v>87.957416337984085</v>
          </cell>
          <cell r="O109">
            <v>87.94604712428891</v>
          </cell>
          <cell r="P109">
            <v>77.864900452928481</v>
          </cell>
        </row>
        <row r="110">
          <cell r="K110">
            <v>28.937610292359409</v>
          </cell>
          <cell r="L110">
            <v>30.112449410398174</v>
          </cell>
          <cell r="O110">
            <v>10.722561002631494</v>
          </cell>
          <cell r="P110">
            <v>14.328490165397074</v>
          </cell>
        </row>
        <row r="117">
          <cell r="K117">
            <v>305.17362495028601</v>
          </cell>
          <cell r="L117">
            <v>279.56067710785499</v>
          </cell>
          <cell r="O117">
            <v>111.68058599617365</v>
          </cell>
          <cell r="P117">
            <v>111.23738252869299</v>
          </cell>
        </row>
        <row r="118">
          <cell r="K118">
            <v>278.80731925474464</v>
          </cell>
          <cell r="L118">
            <v>249.44822769745682</v>
          </cell>
          <cell r="O118">
            <v>101.26764551822944</v>
          </cell>
          <cell r="P118">
            <v>96.908892363295905</v>
          </cell>
        </row>
        <row r="119">
          <cell r="K119">
            <v>177.35352132097327</v>
          </cell>
          <cell r="L119">
            <v>161.48396414029202</v>
          </cell>
          <cell r="O119">
            <v>13.860650652482832</v>
          </cell>
          <cell r="P119">
            <v>19.041572264379454</v>
          </cell>
        </row>
        <row r="120">
          <cell r="K120">
            <v>101.45336264810314</v>
          </cell>
          <cell r="L120">
            <v>87.957416337984085</v>
          </cell>
          <cell r="O120">
            <v>87.398067481233227</v>
          </cell>
          <cell r="P120">
            <v>77.864900452928481</v>
          </cell>
        </row>
        <row r="121">
          <cell r="K121">
            <v>26.366305695541374</v>
          </cell>
          <cell r="L121">
            <v>30.112449410398174</v>
          </cell>
          <cell r="O121">
            <v>10.412940477944206</v>
          </cell>
          <cell r="P121">
            <v>14.328490165397074</v>
          </cell>
        </row>
        <row r="130">
          <cell r="K130">
            <v>94.203475473929714</v>
          </cell>
          <cell r="L130">
            <v>62.810437481172734</v>
          </cell>
          <cell r="O130">
            <v>11.200432742548159</v>
          </cell>
          <cell r="P130">
            <v>9.941912374071336</v>
          </cell>
        </row>
        <row r="131">
          <cell r="K131">
            <v>85.272219685387228</v>
          </cell>
          <cell r="L131">
            <v>53.011271970381095</v>
          </cell>
          <cell r="O131">
            <v>9.1577428948971402</v>
          </cell>
          <cell r="P131">
            <v>5.5846428696607688</v>
          </cell>
        </row>
        <row r="132">
          <cell r="K132">
            <v>76.162318034379183</v>
          </cell>
          <cell r="L132">
            <v>55.761918242653977</v>
          </cell>
          <cell r="O132">
            <v>-24.421180318995681</v>
          </cell>
          <cell r="P132">
            <v>-17.301920272794646</v>
          </cell>
        </row>
        <row r="133">
          <cell r="K133">
            <v>9.1519580283149438</v>
          </cell>
          <cell r="L133">
            <v>-2.7333305011323503</v>
          </cell>
          <cell r="O133">
            <v>33.62097959119972</v>
          </cell>
          <cell r="P133">
            <v>22.9780410112105</v>
          </cell>
        </row>
        <row r="134">
          <cell r="K134">
            <v>8.9312557885424848</v>
          </cell>
          <cell r="L134">
            <v>9.7991655107916369</v>
          </cell>
          <cell r="O134">
            <v>2.0426898476510136</v>
          </cell>
          <cell r="P134">
            <v>4.3572695044105636</v>
          </cell>
        </row>
        <row r="141">
          <cell r="K141">
            <v>83.472559084810058</v>
          </cell>
          <cell r="L141">
            <v>62.810437481172734</v>
          </cell>
          <cell r="O141">
            <v>12.767570525447837</v>
          </cell>
          <cell r="P141">
            <v>9.941912374071336</v>
          </cell>
        </row>
        <row r="142">
          <cell r="K142">
            <v>75.536337708159508</v>
          </cell>
          <cell r="L142">
            <v>53.011271970381095</v>
          </cell>
          <cell r="O142">
            <v>10.635700349242839</v>
          </cell>
          <cell r="P142">
            <v>5.5846428696607688</v>
          </cell>
        </row>
        <row r="143">
          <cell r="K143">
            <v>67.231155983679798</v>
          </cell>
          <cell r="L143">
            <v>55.761918242653977</v>
          </cell>
          <cell r="O143">
            <v>-22.748077693349188</v>
          </cell>
          <cell r="P143">
            <v>-17.301920272794646</v>
          </cell>
        </row>
        <row r="144">
          <cell r="K144">
            <v>8.3051817244797093</v>
          </cell>
          <cell r="L144">
            <v>-2.7333305011323503</v>
          </cell>
          <cell r="O144">
            <v>33.383778042592027</v>
          </cell>
          <cell r="P144">
            <v>22.9780410112105</v>
          </cell>
        </row>
        <row r="145">
          <cell r="K145">
            <v>7.9362213766505487</v>
          </cell>
          <cell r="L145">
            <v>9.7991655107916369</v>
          </cell>
          <cell r="O145">
            <v>2.1318701762050036</v>
          </cell>
          <cell r="P145">
            <v>4.3572695044105636</v>
          </cell>
        </row>
        <row r="156">
          <cell r="K156">
            <v>91.89695832286921</v>
          </cell>
          <cell r="L156">
            <v>60.731049127301304</v>
          </cell>
          <cell r="O156">
            <v>10.310987541293201</v>
          </cell>
          <cell r="P156">
            <v>8.4980969106924036</v>
          </cell>
        </row>
        <row r="157">
          <cell r="K157">
            <v>2.3065171510605103</v>
          </cell>
          <cell r="L157">
            <v>2.0793883538714297</v>
          </cell>
          <cell r="O157">
            <v>0.8894452012549503</v>
          </cell>
          <cell r="P157">
            <v>1.4438154633789317</v>
          </cell>
        </row>
        <row r="158">
          <cell r="K158">
            <v>94.203475473929714</v>
          </cell>
          <cell r="L158">
            <v>62.810437481172734</v>
          </cell>
          <cell r="O158">
            <v>11.200432742548159</v>
          </cell>
          <cell r="P158">
            <v>9.941912374071336</v>
          </cell>
        </row>
        <row r="159">
          <cell r="K159">
            <v>21.711919272264698</v>
          </cell>
          <cell r="L159">
            <v>22.294536465912</v>
          </cell>
          <cell r="O159">
            <v>7.462127479723998</v>
          </cell>
          <cell r="P159">
            <v>9.8528274458889999</v>
          </cell>
        </row>
        <row r="160">
          <cell r="K160">
            <v>0.7746345073176969</v>
          </cell>
          <cell r="L160">
            <v>2.1565330045975402</v>
          </cell>
          <cell r="O160">
            <v>2.7488363508061768</v>
          </cell>
          <cell r="P160">
            <v>6.8658243666882104</v>
          </cell>
        </row>
        <row r="161">
          <cell r="K161">
            <v>0.92746206702079725</v>
          </cell>
          <cell r="L161">
            <v>0.94446845053336181</v>
          </cell>
          <cell r="O161">
            <v>0.91845919926370889</v>
          </cell>
          <cell r="P161">
            <v>0.8526825626069976</v>
          </cell>
        </row>
        <row r="162">
          <cell r="K162">
            <v>70.789459627326522</v>
          </cell>
          <cell r="L162">
            <v>37.414899560129832</v>
          </cell>
          <cell r="O162">
            <v>7.1009712754275256E-2</v>
          </cell>
          <cell r="P162">
            <v>-7.6294220011128715</v>
          </cell>
        </row>
      </sheetData>
      <sheetData sheetId="3">
        <row r="10">
          <cell r="K10">
            <v>146.78221148804931</v>
          </cell>
          <cell r="L10">
            <v>147.55747393425122</v>
          </cell>
          <cell r="O10">
            <v>81.109747264492839</v>
          </cell>
          <cell r="P10">
            <v>83.15586510116681</v>
          </cell>
        </row>
        <row r="11">
          <cell r="K11">
            <v>91.782332190000005</v>
          </cell>
          <cell r="L11">
            <v>89.961729489999996</v>
          </cell>
          <cell r="O11">
            <v>50.107936080000002</v>
          </cell>
          <cell r="P11">
            <v>49.899223230000004</v>
          </cell>
        </row>
        <row r="12">
          <cell r="K12">
            <v>54.724177992985204</v>
          </cell>
          <cell r="L12">
            <v>54.09720919542243</v>
          </cell>
          <cell r="O12">
            <v>30.056729304218237</v>
          </cell>
          <cell r="P12">
            <v>29.765719138717525</v>
          </cell>
        </row>
        <row r="13">
          <cell r="K13">
            <v>4.7258752815393503</v>
          </cell>
          <cell r="L13">
            <v>8.0880366722796797</v>
          </cell>
          <cell r="O13">
            <v>3.3775274148689602</v>
          </cell>
          <cell r="P13">
            <v>5.87998771143869</v>
          </cell>
        </row>
        <row r="14">
          <cell r="K14">
            <v>-4.4501739764752468</v>
          </cell>
          <cell r="L14">
            <v>-4.5895014234508853</v>
          </cell>
          <cell r="O14">
            <v>-2.4324455345943603</v>
          </cell>
          <cell r="P14">
            <v>-2.3890649789894089</v>
          </cell>
        </row>
        <row r="15">
          <cell r="K15">
            <v>25.90879667940569</v>
          </cell>
          <cell r="L15">
            <v>20.533552339945825</v>
          </cell>
          <cell r="O15">
            <v>18.640052505959716</v>
          </cell>
          <cell r="P15">
            <v>15.431484919576464</v>
          </cell>
        </row>
        <row r="16">
          <cell r="K16">
            <v>14.293106669999903</v>
          </cell>
          <cell r="L16">
            <v>10.599271490000001</v>
          </cell>
          <cell r="O16">
            <v>9.8145030499998622</v>
          </cell>
          <cell r="P16">
            <v>8.530332389999991</v>
          </cell>
        </row>
        <row r="17">
          <cell r="K17">
            <v>12.321353001068795</v>
          </cell>
          <cell r="L17">
            <v>10.641162126883563</v>
          </cell>
          <cell r="O17">
            <v>8.9595930265657096</v>
          </cell>
          <cell r="P17">
            <v>7.054880431843662</v>
          </cell>
        </row>
        <row r="18">
          <cell r="K18">
            <v>-0.70566299166302993</v>
          </cell>
          <cell r="L18">
            <v>-0.70524545693798102</v>
          </cell>
          <cell r="O18">
            <v>-0.134043570605892</v>
          </cell>
          <cell r="P18">
            <v>-0.15310878226749103</v>
          </cell>
        </row>
        <row r="19">
          <cell r="K19">
            <v>2.19824158875781E-14</v>
          </cell>
          <cell r="L19">
            <v>-1.635819999758481E-3</v>
          </cell>
          <cell r="O19">
            <v>3.5527136788005009E-14</v>
          </cell>
          <cell r="P19">
            <v>-6.1911999969876952E-4</v>
          </cell>
        </row>
        <row r="21">
          <cell r="K21">
            <v>20.57642637111492</v>
          </cell>
          <cell r="L21">
            <v>14.731290830282875</v>
          </cell>
          <cell r="O21">
            <v>16.298074787918861</v>
          </cell>
          <cell r="P21">
            <v>12.020018284527472</v>
          </cell>
        </row>
        <row r="22">
          <cell r="K22">
            <v>11.501285419999899</v>
          </cell>
          <cell r="L22">
            <v>7.4240472400000002</v>
          </cell>
          <cell r="O22">
            <v>8.6980054899998294</v>
          </cell>
          <cell r="P22">
            <v>6.95545900999997</v>
          </cell>
        </row>
        <row r="23">
          <cell r="K23">
            <v>10.166608398019134</v>
          </cell>
          <cell r="L23">
            <v>8.9493205452206634</v>
          </cell>
          <cell r="O23">
            <v>7.8113015745807548</v>
          </cell>
          <cell r="P23">
            <v>6.1385257947947318</v>
          </cell>
        </row>
        <row r="24">
          <cell r="K24">
            <v>-1.0914674469041601</v>
          </cell>
          <cell r="L24">
            <v>-1.6404411349379799</v>
          </cell>
          <cell r="O24">
            <v>-0.2112322766618131</v>
          </cell>
          <cell r="P24">
            <v>-1.073347400267491</v>
          </cell>
        </row>
        <row r="25">
          <cell r="K25">
            <v>4.6629367034256575E-14</v>
          </cell>
          <cell r="L25">
            <v>-1.6358199998087741E-3</v>
          </cell>
          <cell r="O25">
            <v>8.992806499463768E-14</v>
          </cell>
          <cell r="P25">
            <v>-6.1911999973873755E-4</v>
          </cell>
        </row>
        <row r="30">
          <cell r="K30">
            <v>144.59052022415582</v>
          </cell>
          <cell r="L30">
            <v>147.55747393425122</v>
          </cell>
          <cell r="O30">
            <v>80.564095111342198</v>
          </cell>
          <cell r="P30">
            <v>83.15586510116681</v>
          </cell>
        </row>
        <row r="31">
          <cell r="K31">
            <v>91.782332190000005</v>
          </cell>
          <cell r="L31">
            <v>89.961729489999996</v>
          </cell>
          <cell r="O31">
            <v>50.107936080000002</v>
          </cell>
          <cell r="P31">
            <v>49.899223230000004</v>
          </cell>
        </row>
        <row r="32">
          <cell r="K32">
            <v>52.615874108126008</v>
          </cell>
          <cell r="L32">
            <v>54.09720919542243</v>
          </cell>
          <cell r="O32">
            <v>29.536717377568589</v>
          </cell>
          <cell r="P32">
            <v>29.765719138717525</v>
          </cell>
        </row>
        <row r="33">
          <cell r="K33">
            <v>4.6213255884959006</v>
          </cell>
          <cell r="L33">
            <v>8.0880366722796797</v>
          </cell>
          <cell r="O33">
            <v>3.3425437614047815</v>
          </cell>
          <cell r="P33">
            <v>5.87998771143869</v>
          </cell>
        </row>
        <row r="34">
          <cell r="K34">
            <v>-4.4290116624660891</v>
          </cell>
          <cell r="L34">
            <v>-4.5895014234508853</v>
          </cell>
          <cell r="O34">
            <v>-2.4231021076311747</v>
          </cell>
          <cell r="P34">
            <v>-2.3890649789894089</v>
          </cell>
        </row>
        <row r="35">
          <cell r="K35">
            <v>25.706501445412147</v>
          </cell>
          <cell r="L35">
            <v>20.533552339945825</v>
          </cell>
          <cell r="O35">
            <v>18.513458807914638</v>
          </cell>
          <cell r="P35">
            <v>15.431484919576464</v>
          </cell>
        </row>
        <row r="36">
          <cell r="K36">
            <v>14.293106669999903</v>
          </cell>
          <cell r="L36">
            <v>10.599271490000001</v>
          </cell>
          <cell r="O36">
            <v>9.8145030499998622</v>
          </cell>
          <cell r="P36">
            <v>8.530332389999991</v>
          </cell>
        </row>
        <row r="37">
          <cell r="K37">
            <v>12.077946766581082</v>
          </cell>
          <cell r="L37">
            <v>10.641162126883563</v>
          </cell>
          <cell r="O37">
            <v>8.824066686049699</v>
          </cell>
          <cell r="P37">
            <v>7.054880431843662</v>
          </cell>
        </row>
        <row r="38">
          <cell r="K38">
            <v>-0.66455199116904784</v>
          </cell>
          <cell r="L38">
            <v>-0.70524545693798102</v>
          </cell>
          <cell r="O38">
            <v>-0.12511092813522584</v>
          </cell>
          <cell r="P38">
            <v>-0.15310878226749103</v>
          </cell>
        </row>
        <row r="39">
          <cell r="K39">
            <v>2.1072033007385471E-13</v>
          </cell>
          <cell r="L39">
            <v>-1.635819999758481E-3</v>
          </cell>
          <cell r="O39">
            <v>3.0420110874729289E-13</v>
          </cell>
          <cell r="P39">
            <v>-6.1911999969876952E-4</v>
          </cell>
        </row>
        <row r="41">
          <cell r="K41">
            <v>20.536773866987069</v>
          </cell>
          <cell r="L41">
            <v>14.731290830282875</v>
          </cell>
          <cell r="O41">
            <v>16.196698058330394</v>
          </cell>
          <cell r="P41">
            <v>12.020018284527472</v>
          </cell>
        </row>
        <row r="42">
          <cell r="K42">
            <v>11.501285419999899</v>
          </cell>
          <cell r="L42">
            <v>7.4240472400000002</v>
          </cell>
          <cell r="O42">
            <v>8.6980054899998294</v>
          </cell>
          <cell r="P42">
            <v>6.95545900999997</v>
          </cell>
        </row>
        <row r="43">
          <cell r="K43">
            <v>10.056610569005693</v>
          </cell>
          <cell r="L43">
            <v>8.9493205452206634</v>
          </cell>
          <cell r="O43">
            <v>7.7009553726546898</v>
          </cell>
          <cell r="P43">
            <v>6.1385257947947318</v>
          </cell>
        </row>
        <row r="44">
          <cell r="K44">
            <v>-1.0211221220187072</v>
          </cell>
          <cell r="L44">
            <v>-1.6404411349379799</v>
          </cell>
          <cell r="O44">
            <v>-0.20226280432443833</v>
          </cell>
          <cell r="P44">
            <v>-1.073347400267491</v>
          </cell>
        </row>
        <row r="45">
          <cell r="K45">
            <v>1.8385293287792592E-13</v>
          </cell>
          <cell r="L45">
            <v>-1.6358199998087741E-3</v>
          </cell>
          <cell r="O45">
            <v>3.1397107136399427E-13</v>
          </cell>
          <cell r="P45">
            <v>-6.1911999973873755E-4</v>
          </cell>
        </row>
        <row r="50">
          <cell r="K50">
            <v>136.76790469200699</v>
          </cell>
          <cell r="L50">
            <v>137.80004496185902</v>
          </cell>
          <cell r="O50">
            <v>75.783237870044189</v>
          </cell>
          <cell r="P50">
            <v>77.916425366352414</v>
          </cell>
        </row>
        <row r="51">
          <cell r="K51">
            <v>123.747505310508</v>
          </cell>
          <cell r="L51">
            <v>121.92586849358101</v>
          </cell>
          <cell r="O51">
            <v>68.232948094633002</v>
          </cell>
          <cell r="P51">
            <v>67.408895907598705</v>
          </cell>
        </row>
        <row r="52">
          <cell r="K52">
            <v>83.150894660000006</v>
          </cell>
          <cell r="L52">
            <v>81.033129689999896</v>
          </cell>
          <cell r="O52">
            <v>45.847423720000009</v>
          </cell>
          <cell r="P52">
            <v>45.507703979999896</v>
          </cell>
        </row>
        <row r="53">
          <cell r="K53">
            <v>40.618967074867804</v>
          </cell>
          <cell r="L53">
            <v>40.910461093580999</v>
          </cell>
          <cell r="O53">
            <v>22.405761054632602</v>
          </cell>
          <cell r="P53">
            <v>21.923028947598699</v>
          </cell>
        </row>
        <row r="54">
          <cell r="K54">
            <v>-2.2356424359806226E-2</v>
          </cell>
          <cell r="L54">
            <v>-1.7722289999888119E-2</v>
          </cell>
          <cell r="O54">
            <v>-2.0236679999609208E-2</v>
          </cell>
          <cell r="P54">
            <v>-2.1837019999889407E-2</v>
          </cell>
        </row>
        <row r="55">
          <cell r="K55">
            <v>13.02039938149899</v>
          </cell>
          <cell r="L55">
            <v>15.874176468278009</v>
          </cell>
          <cell r="O55">
            <v>7.5502897754111942</v>
          </cell>
          <cell r="P55">
            <v>10.507529458753709</v>
          </cell>
        </row>
        <row r="56">
          <cell r="K56">
            <v>118.4406511321408</v>
          </cell>
          <cell r="L56">
            <v>124.42424306805071</v>
          </cell>
          <cell r="O56">
            <v>60.34492364262973</v>
          </cell>
          <cell r="P56">
            <v>67.23367748110573</v>
          </cell>
        </row>
        <row r="57">
          <cell r="K57">
            <v>79.722614610000107</v>
          </cell>
          <cell r="L57">
            <v>80.811746720000002</v>
          </cell>
          <cell r="O57">
            <v>40.998377220000151</v>
          </cell>
          <cell r="P57">
            <v>42.430839990000017</v>
          </cell>
        </row>
        <row r="58">
          <cell r="K58">
            <v>37.639896705413584</v>
          </cell>
          <cell r="L58">
            <v>39.301019042284153</v>
          </cell>
          <cell r="O58">
            <v>18.267420971749125</v>
          </cell>
          <cell r="P58">
            <v>21.140126076389212</v>
          </cell>
        </row>
        <row r="59">
          <cell r="K59">
            <v>5.52831379320238</v>
          </cell>
          <cell r="L59">
            <v>8.8993429092176619</v>
          </cell>
          <cell r="O59">
            <v>3.5115709854748518</v>
          </cell>
          <cell r="P59">
            <v>6.0511572737061821</v>
          </cell>
        </row>
        <row r="60">
          <cell r="K60">
            <v>-4.4501739764752708</v>
          </cell>
          <cell r="L60">
            <v>-4.5878656034511032</v>
          </cell>
          <cell r="O60">
            <v>-2.4324455345943976</v>
          </cell>
          <cell r="P60">
            <v>-2.388445858989674</v>
          </cell>
        </row>
        <row r="61">
          <cell r="K61">
            <v>18.3272535598662</v>
          </cell>
          <cell r="L61">
            <v>13.375801893808301</v>
          </cell>
          <cell r="O61">
            <v>15.43831422741447</v>
          </cell>
          <cell r="P61">
            <v>10.68274788524668</v>
          </cell>
        </row>
        <row r="62">
          <cell r="K62">
            <v>12.0597175799999</v>
          </cell>
          <cell r="L62">
            <v>9.1499827700000012</v>
          </cell>
          <cell r="O62">
            <v>9.1095588599998596</v>
          </cell>
          <cell r="P62">
            <v>7.4683832399999908</v>
          </cell>
        </row>
        <row r="63">
          <cell r="K63">
            <v>7.0699744915293108</v>
          </cell>
          <cell r="L63">
            <v>5.0387611807460395</v>
          </cell>
          <cell r="O63">
            <v>6.4627989380204687</v>
          </cell>
          <cell r="P63">
            <v>3.3861533275138793</v>
          </cell>
        </row>
        <row r="64">
          <cell r="K64">
            <v>-0.80243851166303004</v>
          </cell>
          <cell r="L64">
            <v>-0.81130623693798098</v>
          </cell>
          <cell r="O64">
            <v>-0.134043570605892</v>
          </cell>
          <cell r="P64">
            <v>-0.17116956226749092</v>
          </cell>
        </row>
        <row r="65">
          <cell r="K65">
            <v>1.9872992140790302E-14</v>
          </cell>
          <cell r="L65">
            <v>-1.635819999758481E-3</v>
          </cell>
          <cell r="O65">
            <v>3.4527936065842368E-14</v>
          </cell>
          <cell r="P65">
            <v>-6.1911999969832543E-4</v>
          </cell>
        </row>
        <row r="67">
          <cell r="K67">
            <v>12.210648026501524</v>
          </cell>
          <cell r="L67">
            <v>8.0506385823021809</v>
          </cell>
          <cell r="O67">
            <v>13.30748205818181</v>
          </cell>
          <cell r="P67">
            <v>7.5183401942036605</v>
          </cell>
        </row>
        <row r="68">
          <cell r="K68">
            <v>9.2678963299998998</v>
          </cell>
          <cell r="L68">
            <v>5.9747585199999991</v>
          </cell>
          <cell r="O68">
            <v>7.9930612999998303</v>
          </cell>
          <cell r="P68">
            <v>5.8935098599999689</v>
          </cell>
        </row>
        <row r="69">
          <cell r="K69">
            <v>4.1309946634057342</v>
          </cell>
          <cell r="L69">
            <v>3.8240177972399696</v>
          </cell>
          <cell r="O69">
            <v>5.5256530348437005</v>
          </cell>
          <cell r="P69">
            <v>2.7168576344709194</v>
          </cell>
        </row>
        <row r="70">
          <cell r="K70">
            <v>-1.1882429669041601</v>
          </cell>
          <cell r="L70">
            <v>-1.7465019149379801</v>
          </cell>
          <cell r="O70">
            <v>-0.2112322766618131</v>
          </cell>
          <cell r="P70">
            <v>-1.0914081802674911</v>
          </cell>
        </row>
        <row r="71">
          <cell r="K71">
            <v>4.9737991503207013E-14</v>
          </cell>
          <cell r="L71">
            <v>-1.6358199998076639E-3</v>
          </cell>
          <cell r="O71">
            <v>9.2592600253738055E-14</v>
          </cell>
          <cell r="P71">
            <v>-6.1911999973762732E-4</v>
          </cell>
        </row>
        <row r="80">
          <cell r="K80">
            <v>10.014306796042305</v>
          </cell>
          <cell r="L80">
            <v>9.7574289723922352</v>
          </cell>
          <cell r="O80">
            <v>5.3265093944486379</v>
          </cell>
          <cell r="P80">
            <v>5.2394397348144288</v>
          </cell>
        </row>
        <row r="81">
          <cell r="K81">
            <v>10.014306796042305</v>
          </cell>
          <cell r="L81">
            <v>9.7574289723922352</v>
          </cell>
          <cell r="O81">
            <v>5.3265093944486379</v>
          </cell>
          <cell r="P81">
            <v>5.2394397348144288</v>
          </cell>
        </row>
        <row r="86">
          <cell r="K86">
            <v>2.43276367650282</v>
          </cell>
          <cell r="L86">
            <v>2.5996785262547109</v>
          </cell>
          <cell r="O86">
            <v>2.1247711159033971</v>
          </cell>
          <cell r="P86">
            <v>0.49070270048464559</v>
          </cell>
        </row>
        <row r="87">
          <cell r="K87">
            <v>-3.6864521563065993</v>
          </cell>
          <cell r="L87">
            <v>-3.5868967840233204</v>
          </cell>
          <cell r="O87">
            <v>-0.89713920591321017</v>
          </cell>
          <cell r="P87">
            <v>-2.7146749466743394</v>
          </cell>
        </row>
        <row r="88">
          <cell r="K88">
            <v>6.1192158328094193</v>
          </cell>
          <cell r="L88">
            <v>6.1865753102780312</v>
          </cell>
          <cell r="O88">
            <v>3.0219103218166072</v>
          </cell>
          <cell r="P88">
            <v>3.205377647158985</v>
          </cell>
        </row>
        <row r="92">
          <cell r="K92">
            <v>-0.78423522639083454</v>
          </cell>
          <cell r="L92">
            <v>0.47709819815682941</v>
          </cell>
          <cell r="O92">
            <v>0.21114554880818681</v>
          </cell>
          <cell r="P92">
            <v>0.24705894400597028</v>
          </cell>
        </row>
        <row r="93">
          <cell r="K93">
            <v>0.43242429762148538</v>
          </cell>
          <cell r="L93">
            <v>0.47709819815682941</v>
          </cell>
          <cell r="O93">
            <v>0.21114554880818681</v>
          </cell>
          <cell r="P93">
            <v>0.24705894400597028</v>
          </cell>
        </row>
        <row r="94">
          <cell r="K94">
            <v>-1.2166595240123199</v>
          </cell>
          <cell r="O94">
            <v>0</v>
          </cell>
          <cell r="P94">
            <v>0</v>
          </cell>
        </row>
        <row r="107">
          <cell r="K107">
            <v>18.3272535598662</v>
          </cell>
          <cell r="L107">
            <v>13.375801893808301</v>
          </cell>
          <cell r="O107">
            <v>15.43831422741447</v>
          </cell>
          <cell r="P107">
            <v>10.68274788524668</v>
          </cell>
        </row>
        <row r="108">
          <cell r="K108">
            <v>3.8950909632328861</v>
          </cell>
          <cell r="L108">
            <v>3.570853662114204</v>
          </cell>
          <cell r="O108">
            <v>2.3045990726320307</v>
          </cell>
          <cell r="P108">
            <v>2.0340620876554443</v>
          </cell>
        </row>
        <row r="109">
          <cell r="K109">
            <v>3.6864521563065993</v>
          </cell>
          <cell r="L109">
            <v>3.5868967840233204</v>
          </cell>
          <cell r="O109">
            <v>0.89713920591321017</v>
          </cell>
          <cell r="P109">
            <v>2.7146749466743394</v>
          </cell>
        </row>
        <row r="110">
          <cell r="K110">
            <v>25.90879667940569</v>
          </cell>
          <cell r="L110">
            <v>20.533552339945825</v>
          </cell>
          <cell r="O110">
            <v>18.640052505959716</v>
          </cell>
          <cell r="P110">
            <v>15.431484919576464</v>
          </cell>
        </row>
        <row r="111">
          <cell r="K111">
            <v>4.2609006476655944</v>
          </cell>
          <cell r="L111">
            <v>3.9330728059117273</v>
          </cell>
          <cell r="O111">
            <v>2.0877494062758228</v>
          </cell>
          <cell r="P111">
            <v>1.9950362693513399</v>
          </cell>
        </row>
        <row r="112">
          <cell r="K112">
            <v>1.1834634406252125</v>
          </cell>
          <cell r="L112">
            <v>1.9670204837511616</v>
          </cell>
          <cell r="O112">
            <v>0.31679775176505143</v>
          </cell>
          <cell r="P112">
            <v>1.4582652556975855</v>
          </cell>
        </row>
        <row r="113">
          <cell r="K113">
            <v>-0.11199378000003701</v>
          </cell>
          <cell r="L113">
            <v>-9.7831779999939084E-2</v>
          </cell>
          <cell r="O113">
            <v>-6.256944000001996E-2</v>
          </cell>
          <cell r="P113">
            <v>-4.18348899999339E-2</v>
          </cell>
        </row>
        <row r="114">
          <cell r="K114">
            <v>20.57642637111492</v>
          </cell>
          <cell r="L114">
            <v>14.731290830282875</v>
          </cell>
          <cell r="O114">
            <v>16.298074787918861</v>
          </cell>
          <cell r="P114">
            <v>12.020018284527472</v>
          </cell>
        </row>
      </sheetData>
      <sheetData sheetId="4">
        <row r="10">
          <cell r="K10">
            <v>109.053915504267</v>
          </cell>
          <cell r="L10">
            <v>122.031914953297</v>
          </cell>
          <cell r="O10">
            <v>58.659025464881594</v>
          </cell>
          <cell r="P10">
            <v>64.795114196780901</v>
          </cell>
        </row>
        <row r="11">
          <cell r="K11">
            <v>51.082768643365803</v>
          </cell>
          <cell r="L11">
            <v>56.5921167985382</v>
          </cell>
          <cell r="O11">
            <v>28.563877455307406</v>
          </cell>
          <cell r="P11">
            <v>32.793120381647</v>
          </cell>
        </row>
        <row r="12">
          <cell r="K12">
            <v>40.211427379887297</v>
          </cell>
          <cell r="L12">
            <v>46.799668626592194</v>
          </cell>
          <cell r="O12">
            <v>20.113624483991998</v>
          </cell>
          <cell r="P12">
            <v>23.430355886594896</v>
          </cell>
        </row>
        <row r="13">
          <cell r="K13">
            <v>17.759719481013896</v>
          </cell>
          <cell r="L13">
            <v>18.640129528166611</v>
          </cell>
          <cell r="O13">
            <v>9.9815235255821904</v>
          </cell>
          <cell r="P13">
            <v>8.5716379285390047</v>
          </cell>
        </row>
        <row r="14">
          <cell r="K14">
            <v>5.9595375868221296</v>
          </cell>
          <cell r="L14">
            <v>7.3774874138440749</v>
          </cell>
          <cell r="O14">
            <v>5.1058867729091792</v>
          </cell>
          <cell r="P14">
            <v>5.991520566099461</v>
          </cell>
        </row>
        <row r="16">
          <cell r="K16">
            <v>1.3519734724635524</v>
          </cell>
          <cell r="L16">
            <v>3.5353937879069051</v>
          </cell>
          <cell r="O16">
            <v>2.9302019586283423</v>
          </cell>
          <cell r="P16">
            <v>4.5188262981734235</v>
          </cell>
        </row>
        <row r="22">
          <cell r="K22">
            <v>109.053915504267</v>
          </cell>
          <cell r="L22">
            <v>122.031914953297</v>
          </cell>
          <cell r="O22">
            <v>58.659025464881594</v>
          </cell>
          <cell r="P22">
            <v>64.795114196780901</v>
          </cell>
        </row>
        <row r="23">
          <cell r="K23">
            <v>51.082768643365803</v>
          </cell>
          <cell r="L23">
            <v>56.5921167985382</v>
          </cell>
          <cell r="O23">
            <v>28.563877455307406</v>
          </cell>
          <cell r="P23">
            <v>32.793120381647</v>
          </cell>
        </row>
        <row r="24">
          <cell r="K24">
            <v>40.211427379887297</v>
          </cell>
          <cell r="L24">
            <v>46.799668626592194</v>
          </cell>
          <cell r="O24">
            <v>20.113624483991998</v>
          </cell>
          <cell r="P24">
            <v>23.430355886594896</v>
          </cell>
        </row>
        <row r="25">
          <cell r="K25">
            <v>17.759719481013896</v>
          </cell>
          <cell r="L25">
            <v>18.640129528166611</v>
          </cell>
          <cell r="O25">
            <v>9.9815235255821904</v>
          </cell>
          <cell r="P25">
            <v>8.5716379285390047</v>
          </cell>
        </row>
        <row r="26">
          <cell r="K26">
            <v>105.39700126744486</v>
          </cell>
          <cell r="L26">
            <v>114.90855864214497</v>
          </cell>
          <cell r="O26">
            <v>53.468772951972412</v>
          </cell>
          <cell r="P26">
            <v>58.207805927726923</v>
          </cell>
        </row>
        <row r="27">
          <cell r="K27">
            <v>3.6569142368221299</v>
          </cell>
          <cell r="L27">
            <v>7.1233563111520395</v>
          </cell>
          <cell r="O27">
            <v>5.1902525129091801</v>
          </cell>
          <cell r="P27">
            <v>6.5873082690539775</v>
          </cell>
        </row>
        <row r="29">
          <cell r="K29">
            <v>-0.95064987753644747</v>
          </cell>
          <cell r="L29">
            <v>3.2812626852148701</v>
          </cell>
          <cell r="O29">
            <v>3.0145676986283427</v>
          </cell>
          <cell r="P29">
            <v>5.11461400112794</v>
          </cell>
        </row>
        <row r="38">
          <cell r="K38">
            <v>0</v>
          </cell>
          <cell r="L38">
            <v>0</v>
          </cell>
          <cell r="O38">
            <v>0</v>
          </cell>
          <cell r="P38">
            <v>0</v>
          </cell>
        </row>
        <row r="44">
          <cell r="K44">
            <v>-2.3026233499999997</v>
          </cell>
          <cell r="L44">
            <v>-0.25413110269203498</v>
          </cell>
          <cell r="O44">
            <v>8.4365740000000411E-2</v>
          </cell>
          <cell r="P44">
            <v>0.595787702954517</v>
          </cell>
        </row>
        <row r="45">
          <cell r="K45">
            <v>-2.3026233499999997</v>
          </cell>
          <cell r="L45">
            <v>-0.25413110269203498</v>
          </cell>
          <cell r="O45">
            <v>8.4365740000000411E-2</v>
          </cell>
          <cell r="P45">
            <v>0.595787702954517</v>
          </cell>
        </row>
        <row r="50">
          <cell r="K50">
            <v>0</v>
          </cell>
          <cell r="L50">
            <v>0</v>
          </cell>
          <cell r="O50">
            <v>0</v>
          </cell>
          <cell r="P50">
            <v>0</v>
          </cell>
        </row>
        <row r="65">
          <cell r="K65">
            <v>3.6569142368221299</v>
          </cell>
          <cell r="L65">
            <v>7.1233563111520395</v>
          </cell>
          <cell r="O65">
            <v>5.1902525129091801</v>
          </cell>
          <cell r="P65">
            <v>6.5873082690539775</v>
          </cell>
        </row>
        <row r="66">
          <cell r="K66">
            <v>2.3026233499999997</v>
          </cell>
          <cell r="L66">
            <v>0.25413110269203498</v>
          </cell>
          <cell r="O66">
            <v>-8.4365740000000411E-2</v>
          </cell>
          <cell r="P66">
            <v>-0.595787702954517</v>
          </cell>
        </row>
        <row r="67">
          <cell r="K67">
            <v>5.9595375868221296</v>
          </cell>
          <cell r="L67">
            <v>7.3774874138440749</v>
          </cell>
          <cell r="O67">
            <v>5.1058867729091792</v>
          </cell>
          <cell r="P67">
            <v>5.991520566099461</v>
          </cell>
        </row>
        <row r="68">
          <cell r="K68">
            <v>3.7660468102896698</v>
          </cell>
          <cell r="L68">
            <v>3.61837479268591</v>
          </cell>
          <cell r="O68">
            <v>1.8883073979024698</v>
          </cell>
          <cell r="P68">
            <v>1.8369973547440399</v>
          </cell>
        </row>
        <row r="69">
          <cell r="K69">
            <v>0.84038848886819595</v>
          </cell>
          <cell r="L69">
            <v>0.22371883325126199</v>
          </cell>
          <cell r="O69">
            <v>0.28624860117766493</v>
          </cell>
          <cell r="P69">
            <v>-0.36430308681799406</v>
          </cell>
        </row>
        <row r="70">
          <cell r="K70">
            <v>1.1288152007119523E-3</v>
          </cell>
          <cell r="L70">
            <v>-2.1371793224034263E-15</v>
          </cell>
          <cell r="O70">
            <v>1.1288152007030705E-3</v>
          </cell>
          <cell r="P70">
            <v>-7.9103390504542404E-15</v>
          </cell>
        </row>
        <row r="71">
          <cell r="K71">
            <v>1.3519734724635524</v>
          </cell>
          <cell r="L71">
            <v>3.5353937879069051</v>
          </cell>
          <cell r="O71">
            <v>2.9302019586283423</v>
          </cell>
          <cell r="P71">
            <v>4.5188262981734235</v>
          </cell>
        </row>
      </sheetData>
      <sheetData sheetId="5">
        <row r="10">
          <cell r="K10">
            <v>79.033360180000003</v>
          </cell>
          <cell r="L10">
            <v>85.266263039999998</v>
          </cell>
          <cell r="O10">
            <v>43.957160970000004</v>
          </cell>
          <cell r="P10">
            <v>46.224375240000001</v>
          </cell>
        </row>
        <row r="11">
          <cell r="K11">
            <v>57.101493320000003</v>
          </cell>
          <cell r="L11">
            <v>60.071345690000001</v>
          </cell>
          <cell r="O11">
            <v>33.852709950000005</v>
          </cell>
          <cell r="P11">
            <v>34.297457810000004</v>
          </cell>
        </row>
        <row r="12">
          <cell r="K12">
            <v>21.93186686</v>
          </cell>
          <cell r="L12">
            <v>25.194917349999997</v>
          </cell>
          <cell r="O12">
            <v>10.104451020000003</v>
          </cell>
          <cell r="P12">
            <v>11.926917429999996</v>
          </cell>
        </row>
        <row r="13">
          <cell r="K13">
            <v>18.2596460305578</v>
          </cell>
          <cell r="L13">
            <v>17.669995829312601</v>
          </cell>
          <cell r="O13">
            <v>12.63415013010899</v>
          </cell>
          <cell r="P13">
            <v>11.51397284245855</v>
          </cell>
        </row>
        <row r="15">
          <cell r="K15">
            <v>14.326208930557799</v>
          </cell>
          <cell r="L15">
            <v>13.449236539312601</v>
          </cell>
          <cell r="O15">
            <v>10.59274271010899</v>
          </cell>
          <cell r="P15">
            <v>9.3047904124585514</v>
          </cell>
        </row>
        <row r="21">
          <cell r="K21">
            <v>79.033360180000003</v>
          </cell>
          <cell r="L21">
            <v>85.266263039999998</v>
          </cell>
          <cell r="O21">
            <v>43.957160970000004</v>
          </cell>
          <cell r="P21">
            <v>46.224375240000001</v>
          </cell>
        </row>
        <row r="22">
          <cell r="K22">
            <v>57.101493320000003</v>
          </cell>
          <cell r="L22">
            <v>57.101493320000003</v>
          </cell>
          <cell r="O22">
            <v>33.852709950000005</v>
          </cell>
          <cell r="P22">
            <v>33.852709950000005</v>
          </cell>
        </row>
        <row r="23">
          <cell r="K23">
            <v>21.93186686</v>
          </cell>
          <cell r="L23">
            <v>28.164769719999995</v>
          </cell>
          <cell r="O23">
            <v>10.104451020000003</v>
          </cell>
          <cell r="P23">
            <v>12.371665289999999</v>
          </cell>
        </row>
        <row r="24">
          <cell r="K24">
            <v>61.606780839442202</v>
          </cell>
          <cell r="L24">
            <v>68.013721600687404</v>
          </cell>
          <cell r="O24">
            <v>31.572048919891014</v>
          </cell>
          <cell r="P24">
            <v>34.731804357541456</v>
          </cell>
        </row>
        <row r="25">
          <cell r="K25">
            <v>17.426579340557801</v>
          </cell>
          <cell r="L25">
            <v>17.252541439312601</v>
          </cell>
          <cell r="O25">
            <v>12.38511205010899</v>
          </cell>
          <cell r="P25">
            <v>11.492570882458551</v>
          </cell>
        </row>
        <row r="27">
          <cell r="K27">
            <v>13.4931422405578</v>
          </cell>
          <cell r="L27">
            <v>13.031782149312599</v>
          </cell>
          <cell r="O27">
            <v>10.34370463010899</v>
          </cell>
          <cell r="P27">
            <v>9.2833884524585493</v>
          </cell>
        </row>
        <row r="36">
          <cell r="K36">
            <v>0</v>
          </cell>
          <cell r="L36">
            <v>0</v>
          </cell>
          <cell r="O36">
            <v>0</v>
          </cell>
          <cell r="P36">
            <v>0</v>
          </cell>
        </row>
        <row r="42">
          <cell r="K42">
            <v>-0.833066689999999</v>
          </cell>
          <cell r="L42">
            <v>-0.41745438999999962</v>
          </cell>
          <cell r="O42">
            <v>-0.24903807999999916</v>
          </cell>
          <cell r="P42">
            <v>-2.1401959999999498E-2</v>
          </cell>
        </row>
        <row r="43">
          <cell r="K43">
            <v>-0.833066689999999</v>
          </cell>
          <cell r="L43">
            <v>-0.41745438999999962</v>
          </cell>
          <cell r="O43">
            <v>-0.24903807999999916</v>
          </cell>
          <cell r="P43">
            <v>-2.1401959999999498E-2</v>
          </cell>
        </row>
        <row r="48">
          <cell r="K48">
            <v>0</v>
          </cell>
          <cell r="L48">
            <v>0</v>
          </cell>
          <cell r="O48">
            <v>0</v>
          </cell>
          <cell r="P48">
            <v>0</v>
          </cell>
        </row>
        <row r="63">
          <cell r="K63">
            <v>17.426579340557801</v>
          </cell>
          <cell r="L63">
            <v>17.252541439312601</v>
          </cell>
          <cell r="O63">
            <v>12.38511205010899</v>
          </cell>
          <cell r="P63">
            <v>11.492570882458551</v>
          </cell>
        </row>
        <row r="64">
          <cell r="K64">
            <v>0.833066689999999</v>
          </cell>
          <cell r="L64">
            <v>0.41745438999999962</v>
          </cell>
          <cell r="O64">
            <v>0.24903807999999916</v>
          </cell>
          <cell r="P64">
            <v>2.1401959999999498E-2</v>
          </cell>
        </row>
        <row r="65">
          <cell r="K65">
            <v>18.2596460305578</v>
          </cell>
          <cell r="L65">
            <v>17.669995829312601</v>
          </cell>
          <cell r="O65">
            <v>12.63415013010899</v>
          </cell>
          <cell r="P65">
            <v>11.51397284245855</v>
          </cell>
        </row>
        <row r="66">
          <cell r="K66">
            <v>3.83794916</v>
          </cell>
          <cell r="L66">
            <v>4.1410104199999997</v>
          </cell>
          <cell r="O66">
            <v>1.9725572699999998</v>
          </cell>
          <cell r="P66">
            <v>2.1587868399999994</v>
          </cell>
        </row>
        <row r="67">
          <cell r="K67">
            <v>9.5487939999999993E-2</v>
          </cell>
          <cell r="L67">
            <v>7.8944849999999997E-2</v>
          </cell>
          <cell r="O67">
            <v>6.8850149999999999E-2</v>
          </cell>
          <cell r="P67">
            <v>4.9591569999999995E-2</v>
          </cell>
        </row>
        <row r="68">
          <cell r="K68">
            <v>8.3266726846886741E-16</v>
          </cell>
          <cell r="L68">
            <v>8.0402000000041884E-4</v>
          </cell>
          <cell r="O68">
            <v>1.169203622808368E-15</v>
          </cell>
          <cell r="P68">
            <v>8.0402000000060619E-4</v>
          </cell>
        </row>
        <row r="69">
          <cell r="K69">
            <v>14.326208930557799</v>
          </cell>
          <cell r="L69">
            <v>13.449236539312601</v>
          </cell>
          <cell r="O69">
            <v>10.59274271010899</v>
          </cell>
          <cell r="P69">
            <v>9.3047904124585514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0076"/>
    <pageSetUpPr fitToPage="1"/>
  </sheetPr>
  <dimension ref="A2:BD187"/>
  <sheetViews>
    <sheetView tabSelected="1" zoomScale="90" zoomScaleNormal="90" workbookViewId="0">
      <pane xSplit="3" ySplit="6" topLeftCell="D193" activePane="bottomRight" state="frozen"/>
      <selection pane="topRight" activeCell="D1" sqref="D1"/>
      <selection pane="bottomLeft" activeCell="A7" sqref="A7"/>
      <selection pane="bottomRight" activeCell="D17" sqref="D17"/>
    </sheetView>
  </sheetViews>
  <sheetFormatPr baseColWidth="10" defaultRowHeight="12.75"/>
  <cols>
    <col min="1" max="1" width="6.5703125" style="1" bestFit="1" customWidth="1"/>
    <col min="2" max="3" width="11.42578125" style="1"/>
    <col min="4" max="4" width="48.7109375" style="1" customWidth="1"/>
    <col min="5" max="5" width="1" style="1" customWidth="1"/>
    <col min="6" max="8" width="11.42578125" style="1" customWidth="1"/>
    <col min="9" max="9" width="7.140625" style="1" customWidth="1"/>
    <col min="10" max="12" width="11.42578125" style="1" customWidth="1"/>
    <col min="13" max="14" width="11.42578125" style="1"/>
    <col min="15" max="15" width="48.7109375" style="1" customWidth="1"/>
    <col min="16" max="16" width="0.85546875" style="1" customWidth="1"/>
    <col min="17" max="19" width="11.42578125" style="1"/>
    <col min="20" max="20" width="7.140625" style="1" customWidth="1"/>
    <col min="21" max="25" width="11.42578125" style="1"/>
    <col min="26" max="26" width="48.7109375" style="1" customWidth="1"/>
    <col min="27" max="27" width="0.85546875" style="1" customWidth="1"/>
    <col min="28" max="30" width="11.42578125" style="1"/>
    <col min="31" max="31" width="7.140625" style="1" customWidth="1"/>
    <col min="32" max="36" width="11.42578125" style="1"/>
    <col min="37" max="37" width="48.7109375" style="1" customWidth="1"/>
    <col min="38" max="38" width="0.85546875" style="1" customWidth="1"/>
    <col min="39" max="41" width="11.42578125" style="1"/>
    <col min="42" max="42" width="7.140625" style="1" customWidth="1"/>
    <col min="43" max="47" width="11.42578125" style="1"/>
    <col min="48" max="48" width="48.7109375" style="1" customWidth="1"/>
    <col min="49" max="49" width="0.85546875" style="1" customWidth="1"/>
    <col min="50" max="52" width="11.42578125" style="1"/>
    <col min="53" max="53" width="7.140625" style="1" customWidth="1"/>
    <col min="54" max="16384" width="11.42578125" style="1"/>
  </cols>
  <sheetData>
    <row r="2" spans="1:56" ht="13.5" thickBot="1"/>
    <row r="3" spans="1:56" ht="16.5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J3" s="4"/>
      <c r="K3" s="5"/>
      <c r="L3" s="4"/>
      <c r="O3" s="3" t="str">
        <f>+IF($B$3="esp","EDUCACIÓN","EDUCATION")</f>
        <v>EDUCATION</v>
      </c>
      <c r="P3" s="4"/>
      <c r="Q3" s="4"/>
      <c r="R3" s="5"/>
      <c r="S3" s="4"/>
      <c r="U3" s="4"/>
      <c r="V3" s="5"/>
      <c r="W3" s="4"/>
      <c r="Z3" s="3" t="str">
        <f>+IF($B$3="esp","RADIO","RADIO")</f>
        <v>RADIO</v>
      </c>
      <c r="AA3" s="4"/>
      <c r="AB3" s="4"/>
      <c r="AC3" s="5"/>
      <c r="AD3" s="4"/>
      <c r="AF3" s="4"/>
      <c r="AG3" s="5"/>
      <c r="AH3" s="4"/>
      <c r="AK3" s="3" t="str">
        <f>+IF($B$3="esp","PRENSA","PRESS")</f>
        <v>PRESS</v>
      </c>
      <c r="AL3" s="4"/>
      <c r="AM3" s="4"/>
      <c r="AN3" s="5"/>
      <c r="AO3" s="4"/>
      <c r="AQ3" s="4"/>
      <c r="AR3" s="5"/>
      <c r="AS3" s="4"/>
      <c r="AV3" s="3" t="str">
        <f>+IF($B$3="esp","MEDIA CAPITAL","MEDIA CAPITAL")</f>
        <v>MEDIA CAPITAL</v>
      </c>
      <c r="AW3" s="4"/>
      <c r="AX3" s="4"/>
      <c r="AY3" s="5"/>
      <c r="AZ3" s="4"/>
      <c r="BB3" s="4"/>
      <c r="BC3" s="5"/>
      <c r="BD3" s="4"/>
    </row>
    <row r="4" spans="1:56">
      <c r="A4" s="1" t="s">
        <v>2</v>
      </c>
      <c r="B4" s="6" t="s">
        <v>3</v>
      </c>
    </row>
    <row r="5" spans="1:56">
      <c r="A5" s="1" t="s">
        <v>4</v>
      </c>
      <c r="B5" s="1" t="s">
        <v>1</v>
      </c>
    </row>
    <row r="6" spans="1:56">
      <c r="F6" s="7" t="str">
        <f>+[1]GRUPO!K6</f>
        <v>JANUARY - JUNE</v>
      </c>
      <c r="G6" s="8"/>
      <c r="H6" s="8"/>
      <c r="J6" s="7" t="str">
        <f>+[1]GRUPO!O6</f>
        <v>APRIL - JUNE</v>
      </c>
      <c r="K6" s="8"/>
      <c r="L6" s="8"/>
      <c r="Q6" s="7" t="str">
        <f>+$F$6</f>
        <v>JANUARY - JUNE</v>
      </c>
      <c r="R6" s="8"/>
      <c r="S6" s="8"/>
      <c r="U6" s="7" t="str">
        <f>+$J$6</f>
        <v>APRIL - JUNE</v>
      </c>
      <c r="V6" s="8"/>
      <c r="W6" s="8"/>
      <c r="AB6" s="7" t="str">
        <f>+$F$6</f>
        <v>JANUARY - JUNE</v>
      </c>
      <c r="AC6" s="8"/>
      <c r="AD6" s="8"/>
      <c r="AF6" s="7" t="str">
        <f>+$J$6</f>
        <v>APRIL - JUNE</v>
      </c>
      <c r="AG6" s="8"/>
      <c r="AH6" s="8"/>
      <c r="AM6" s="7" t="str">
        <f>+$F$6</f>
        <v>JANUARY - JUNE</v>
      </c>
      <c r="AN6" s="8"/>
      <c r="AO6" s="8"/>
      <c r="AQ6" s="7" t="str">
        <f>+$J$6</f>
        <v>APRIL - JUNE</v>
      </c>
      <c r="AR6" s="8"/>
      <c r="AS6" s="8"/>
      <c r="AX6" s="7" t="str">
        <f>+$F$6</f>
        <v>JANUARY - JUNE</v>
      </c>
      <c r="AY6" s="8"/>
      <c r="AZ6" s="8"/>
      <c r="BB6" s="7" t="str">
        <f>+$J$6</f>
        <v>APRIL - JUNE</v>
      </c>
      <c r="BC6" s="8"/>
      <c r="BD6" s="8"/>
    </row>
    <row r="8" spans="1:56">
      <c r="D8" s="9" t="str">
        <f>+IF($B$3="esp","Millones de €","€ Millions")</f>
        <v>€ Millions</v>
      </c>
      <c r="F8" s="10">
        <f>+[1]GRUPO!K8</f>
        <v>2017</v>
      </c>
      <c r="G8" s="10">
        <f>+[1]GRUPO!L8</f>
        <v>2016</v>
      </c>
      <c r="H8" s="10" t="str">
        <f>+IF($B$3="esp","Var.%","% Chg.")</f>
        <v>% Chg.</v>
      </c>
      <c r="J8" s="10">
        <f>+[1]GRUPO!O8</f>
        <v>2017</v>
      </c>
      <c r="K8" s="10">
        <f>+[1]GRUPO!P8</f>
        <v>2016</v>
      </c>
      <c r="L8" s="10" t="str">
        <f>+IF($B$3="esp","Var.%","% Chg.")</f>
        <v>% Chg.</v>
      </c>
      <c r="O8" s="9" t="str">
        <f>+IF($B$3="esp","Millones de €","€ Millions")</f>
        <v>€ Millions</v>
      </c>
      <c r="Q8" s="10">
        <v>2017</v>
      </c>
      <c r="R8" s="10">
        <v>2016</v>
      </c>
      <c r="S8" s="10" t="str">
        <f>+IF($B$3="esp","Var.%","% Chg.")</f>
        <v>% Chg.</v>
      </c>
      <c r="U8" s="10">
        <v>2017</v>
      </c>
      <c r="V8" s="10">
        <v>2016</v>
      </c>
      <c r="W8" s="10" t="str">
        <f>+IF($B$3="esp","Var.%","% Chg.")</f>
        <v>% Chg.</v>
      </c>
      <c r="Z8" s="9" t="str">
        <f>+IF($B$3="esp","Millones de €","€ Millions")</f>
        <v>€ Millions</v>
      </c>
      <c r="AB8" s="10">
        <v>2017</v>
      </c>
      <c r="AC8" s="10">
        <v>2016</v>
      </c>
      <c r="AD8" s="10" t="str">
        <f>+IF($B$3="esp","Var.%","% Chg.")</f>
        <v>% Chg.</v>
      </c>
      <c r="AF8" s="10">
        <v>2017</v>
      </c>
      <c r="AG8" s="10">
        <v>2016</v>
      </c>
      <c r="AH8" s="10" t="str">
        <f>+IF($B$3="esp","Var.%","% Chg.")</f>
        <v>% Chg.</v>
      </c>
      <c r="AK8" s="9" t="str">
        <f>+IF($B$3="esp","Millones de €","€ Millions")</f>
        <v>€ Millions</v>
      </c>
      <c r="AM8" s="10">
        <v>2017</v>
      </c>
      <c r="AN8" s="10">
        <v>2016</v>
      </c>
      <c r="AO8" s="10" t="str">
        <f>+IF($B$3="esp","Var.%","% Chg.")</f>
        <v>% Chg.</v>
      </c>
      <c r="AQ8" s="10">
        <v>2017</v>
      </c>
      <c r="AR8" s="10">
        <v>2016</v>
      </c>
      <c r="AS8" s="10" t="str">
        <f>+IF($B$3="esp","Var.%","% Chg.")</f>
        <v>% Chg.</v>
      </c>
      <c r="AV8" s="9" t="str">
        <f>+IF($B$3="esp","Millones de €","€ Millions")</f>
        <v>€ Millions</v>
      </c>
      <c r="AX8" s="10">
        <v>2017</v>
      </c>
      <c r="AY8" s="10">
        <v>2016</v>
      </c>
      <c r="AZ8" s="10" t="str">
        <f>+IF($B$3="esp","Var.%","% Chg.")</f>
        <v>% Chg.</v>
      </c>
      <c r="BB8" s="10">
        <v>2017</v>
      </c>
      <c r="BC8" s="10">
        <v>2016</v>
      </c>
      <c r="BD8" s="10" t="str">
        <f>+IF($B$3="esp","Var.%","% Chg.")</f>
        <v>% Chg.</v>
      </c>
    </row>
    <row r="9" spans="1:56" ht="15.75" customHeight="1">
      <c r="D9" s="11" t="str">
        <f>+IF($B$3="esp","Resultados de Explotación Ajustados","Operating Adjusted Results")</f>
        <v>Operating Adjusted Results</v>
      </c>
      <c r="F9" s="12"/>
      <c r="G9" s="12"/>
      <c r="H9" s="12"/>
      <c r="J9" s="12"/>
      <c r="K9" s="12"/>
      <c r="L9" s="12"/>
      <c r="O9" s="11" t="str">
        <f>+IF($B$3="esp","Resultados de Explotación Ajustados","Operating Adjusted Results")</f>
        <v>Operating Adjusted Results</v>
      </c>
      <c r="Q9" s="12"/>
      <c r="R9" s="12"/>
      <c r="S9" s="12"/>
      <c r="U9" s="12"/>
      <c r="V9" s="12"/>
      <c r="W9" s="12"/>
      <c r="Z9" s="11" t="str">
        <f>+IF($B$3="esp","Resultados de Explotación Ajustados","Operating Adjusted Results")</f>
        <v>Operating Adjusted Results</v>
      </c>
      <c r="AB9" s="12"/>
      <c r="AC9" s="12"/>
      <c r="AD9" s="12"/>
      <c r="AF9" s="12"/>
      <c r="AG9" s="12"/>
      <c r="AH9" s="12"/>
      <c r="AK9" s="11" t="str">
        <f>+IF($B$3="esp","Resultados de Explotación Ajustados","Operating Adjusted Results")</f>
        <v>Operating Adjusted Results</v>
      </c>
      <c r="AM9" s="12"/>
      <c r="AN9" s="12"/>
      <c r="AO9" s="12"/>
      <c r="AQ9" s="12"/>
      <c r="AR9" s="12"/>
      <c r="AS9" s="12"/>
      <c r="AV9" s="11" t="str">
        <f>+IF($B$3="esp","Resultados de Explotación Ajustados","Operating Adjusted Results")</f>
        <v>Operating Adjusted Results</v>
      </c>
      <c r="AX9" s="12"/>
      <c r="AY9" s="12"/>
      <c r="AZ9" s="12"/>
      <c r="BB9" s="12"/>
      <c r="BC9" s="12"/>
      <c r="BD9" s="12"/>
    </row>
    <row r="10" spans="1:56" s="13" customFormat="1" ht="15" customHeight="1">
      <c r="D10" s="13" t="str">
        <f>+IF($B$3="esp","Ingresos de Explotación Ajustados","Operating Adjusted Revenues")</f>
        <v>Operating Adjusted Revenues</v>
      </c>
      <c r="F10" s="14">
        <f>+[1]GRUPO!K10</f>
        <v>665.03866731932919</v>
      </c>
      <c r="G10" s="15">
        <f>+[1]GRUPO!L10</f>
        <v>634.21128316419527</v>
      </c>
      <c r="H10" s="16">
        <f>IF(G10=0,"---",IF(OR(ABS((F10-G10)/ABS(G10))&gt;2,(F10*G10)&lt;0),"---",IF(G10="0","---",((F10-G10)/ABS(G10))*100)))</f>
        <v>4.8607435681892177</v>
      </c>
      <c r="J10" s="14">
        <f>+[1]GRUPO!O10</f>
        <v>297.83022350243658</v>
      </c>
      <c r="K10" s="15">
        <f>+[1]GRUPO!P10</f>
        <v>305.14645051163245</v>
      </c>
      <c r="L10" s="16">
        <f>IF(K10=0,"---",IF(OR(ABS((J10-K10)/ABS(K10))&gt;2,(J10*K10)&lt;0),"---",IF(K10="0","---",((J10-K10)/ABS(K10))*100)))</f>
        <v>-2.3976117031441495</v>
      </c>
      <c r="O10" s="13" t="str">
        <f>+IF($B$3="esp","Ingresos de Explotación Ajustados","Operating Adjusted Revenues")</f>
        <v>Operating Adjusted Revenues</v>
      </c>
      <c r="Q10" s="14">
        <f>+[1]SANTILLANA!K10</f>
        <v>328.02148342967899</v>
      </c>
      <c r="R10" s="15">
        <f>+[1]SANTILLANA!L10</f>
        <v>279.56067710785499</v>
      </c>
      <c r="S10" s="16">
        <f>IF(R10=0,"---",IF(OR(ABS((Q10-R10)/ABS(R10))&gt;2,(Q10*R10)&lt;0),"---",IF(R10="0","---",((Q10-R10)/ABS(R10))*100)))</f>
        <v>17.334629041239495</v>
      </c>
      <c r="U10" s="14">
        <f>+[1]SANTILLANA!O10</f>
        <v>112.42070918099799</v>
      </c>
      <c r="V10" s="15">
        <f>+[1]SANTILLANA!P10</f>
        <v>111.23738252869299</v>
      </c>
      <c r="W10" s="16">
        <f>IF(V10=0,"---",IF(OR(ABS((U10-V10)/ABS(V10))&gt;2,(U10*V10)&lt;0),"---",IF(V10="0","---",((U10-V10)/ABS(V10))*100)))</f>
        <v>1.0637850562510016</v>
      </c>
      <c r="Z10" s="13" t="str">
        <f>+IF($B$3="esp","Ingresos de Explotación Ajustados","Operating Adjusted Revenues")</f>
        <v>Operating Adjusted Revenues</v>
      </c>
      <c r="AB10" s="14">
        <f>+[1]RADIO!K10</f>
        <v>146.78221148804931</v>
      </c>
      <c r="AC10" s="15">
        <f>+[1]RADIO!L10</f>
        <v>147.55747393425122</v>
      </c>
      <c r="AD10" s="16">
        <f>IF(AC10=0,"---",IF(OR(ABS((AB10-AC10)/ABS(AC10))&gt;2,(AB10*AC10)&lt;0),"---",IF(AC10="0","---",((AB10-AC10)/ABS(AC10))*100)))</f>
        <v>-0.52539693553397993</v>
      </c>
      <c r="AF10" s="14">
        <f>+[1]RADIO!O10</f>
        <v>81.109747264492839</v>
      </c>
      <c r="AG10" s="15">
        <f>+[1]RADIO!P10</f>
        <v>83.15586510116681</v>
      </c>
      <c r="AH10" s="16">
        <f>IF(AG10=0,"---",IF(OR(ABS((AF10-AG10)/ABS(AG10))&gt;2,(AF10*AG10)&lt;0),"---",IF(AG10="0","---",((AF10-AG10)/ABS(AG10))*100)))</f>
        <v>-2.4605815046054533</v>
      </c>
      <c r="AK10" s="13" t="str">
        <f>+IF($B$3="esp","Ingresos de Explotación","OperatingRevenues")</f>
        <v>OperatingRevenues</v>
      </c>
      <c r="AM10" s="14">
        <f>+[1]NOTICIAS!K10</f>
        <v>109.053915504267</v>
      </c>
      <c r="AN10" s="15">
        <f>+[1]NOTICIAS!L10</f>
        <v>122.031914953297</v>
      </c>
      <c r="AO10" s="16">
        <f>IF(AN10=0,"---",IF(OR(ABS((AM10-AN10)/ABS(AN10))&gt;2,(AM10*AN10)&lt;0),"---",IF(AN10="0","---",((AM10-AN10)/ABS(AN10))*100)))</f>
        <v>-10.634922392225702</v>
      </c>
      <c r="AQ10" s="14">
        <f>+[1]NOTICIAS!O10</f>
        <v>58.659025464881594</v>
      </c>
      <c r="AR10" s="15">
        <f>+[1]NOTICIAS!P10</f>
        <v>64.795114196780901</v>
      </c>
      <c r="AS10" s="16">
        <f>IF(AR10=0,"---",IF(OR(ABS((AQ10-AR10)/ABS(AR10))&gt;2,(AQ10*AR10)&lt;0),"---",IF(AR10="0","---",((AQ10-AR10)/ABS(AR10))*100)))</f>
        <v>-9.4699867543472198</v>
      </c>
      <c r="AV10" s="13" t="str">
        <f>+IF($B$3="esp","Ingresos de Explotación","OperatingRevenues")</f>
        <v>OperatingRevenues</v>
      </c>
      <c r="AX10" s="14">
        <f>+'[1]MEDIA CAPITAL'!K10</f>
        <v>79.033360180000003</v>
      </c>
      <c r="AY10" s="15">
        <f>+'[1]MEDIA CAPITAL'!L10</f>
        <v>85.266263039999998</v>
      </c>
      <c r="AZ10" s="16">
        <f>IF(AY10=0,"---",IF(OR(ABS((AX10-AY10)/ABS(AY10))&gt;2,(AX10*AY10)&lt;0),"---",IF(AY10="0","---",((AX10-AY10)/ABS(AY10))*100)))</f>
        <v>-7.3099284966623017</v>
      </c>
      <c r="BB10" s="14">
        <f>+'[1]MEDIA CAPITAL'!O10</f>
        <v>43.957160970000004</v>
      </c>
      <c r="BC10" s="15">
        <f>+'[1]MEDIA CAPITAL'!P10</f>
        <v>46.224375240000001</v>
      </c>
      <c r="BD10" s="16">
        <f>IF(BC10=0,"---",IF(OR(ABS((BB10-BC10)/ABS(BC10))&gt;2,(BB10*BC10)&lt;0),"---",IF(BC10="0","---",((BB10-BC10)/ABS(BC10))*100)))</f>
        <v>-4.9048024083148141</v>
      </c>
    </row>
    <row r="11" spans="1:56" ht="15" customHeight="1">
      <c r="D11" s="17" t="str">
        <f>+IF($B$3="esp","España","Spain")</f>
        <v>Spain</v>
      </c>
      <c r="F11" s="18">
        <f>+[1]GRUPO!K11</f>
        <v>244.9094167789172</v>
      </c>
      <c r="G11" s="19">
        <f>+[1]GRUPO!L11</f>
        <v>250.42243954133096</v>
      </c>
      <c r="H11" s="20">
        <f t="shared" ref="H11:H14" si="0">IF(G11=0,"---",IF(OR(ABS((F11-G11)/ABS(G11))&gt;2,(F11*G11)&lt;0),"---",IF(G11="0","---",((F11-G11)/ABS(G11))*100)))</f>
        <v>-2.2014891207478469</v>
      </c>
      <c r="J11" s="18">
        <f>+[1]GRUPO!O11</f>
        <v>151.67111356979268</v>
      </c>
      <c r="K11" s="19">
        <f>+[1]GRUPO!P11</f>
        <v>152.9600949794347</v>
      </c>
      <c r="L11" s="20">
        <f t="shared" ref="L11:L14" si="1">IF(K11=0,"---",IF(OR(ABS((J11-K11)/ABS(K11))&gt;2,(J11*K11)&lt;0),"---",IF(K11="0","---",((J11-K11)/ABS(K11))*100)))</f>
        <v>-0.84269129789395181</v>
      </c>
      <c r="O11" s="17" t="str">
        <f>+IF($B$3="esp","España","Spain")</f>
        <v>Spain</v>
      </c>
      <c r="Q11" s="18">
        <f>+[1]SANTILLANA!K11</f>
        <v>46.542836386892418</v>
      </c>
      <c r="R11" s="19">
        <f>+[1]SANTILLANA!L11</f>
        <v>40.085763811959538</v>
      </c>
      <c r="S11" s="20">
        <f t="shared" ref="S11:S14" si="2">IF(R11=0,"---",IF(OR(ABS((Q11-R11)/ABS(R11))&gt;2,(Q11*R11)&lt;0),"---",IF(R11="0","---",((Q11-R11)/ABS(R11))*100)))</f>
        <v>16.108144041417567</v>
      </c>
      <c r="U11" s="18">
        <f>+[1]SANTILLANA!O11</f>
        <v>42.85473820050953</v>
      </c>
      <c r="V11" s="19">
        <f>+[1]SANTILLANA!P11</f>
        <v>38.50679724503189</v>
      </c>
      <c r="W11" s="20">
        <f t="shared" ref="W11:W14" si="3">IF(V11=0,"---",IF(OR(ABS((U11-V11)/ABS(V11))&gt;2,(U11*V11)&lt;0),"---",IF(V11="0","---",((U11-V11)/ABS(V11))*100)))</f>
        <v>11.291359621030562</v>
      </c>
      <c r="Z11" s="17" t="str">
        <f>+IF($B$3="esp","España","Spain")</f>
        <v>Spain</v>
      </c>
      <c r="AB11" s="18">
        <f>+[1]RADIO!K11</f>
        <v>91.782332190000005</v>
      </c>
      <c r="AC11" s="19">
        <f>+[1]RADIO!L11</f>
        <v>89.961729489999996</v>
      </c>
      <c r="AD11" s="20">
        <f t="shared" ref="AD11:AD14" si="4">IF(AC11=0,"---",IF(OR(ABS((AB11-AC11)/ABS(AC11))&gt;2,(AB11*AC11)&lt;0),"---",IF(AC11="0","---",((AB11-AC11)/ABS(AC11))*100)))</f>
        <v>2.0237524448686641</v>
      </c>
      <c r="AF11" s="18">
        <f>+[1]RADIO!O11</f>
        <v>50.107936080000002</v>
      </c>
      <c r="AG11" s="19">
        <f>+[1]RADIO!P11</f>
        <v>49.899223230000004</v>
      </c>
      <c r="AH11" s="20">
        <f t="shared" ref="AH11:AH14" si="5">IF(AG11=0,"---",IF(OR(ABS((AF11-AG11)/ABS(AG11))&gt;2,(AF11*AG11)&lt;0),"---",IF(AG11="0","---",((AF11-AG11)/ABS(AG11))*100)))</f>
        <v>0.41826873544299403</v>
      </c>
      <c r="AK11" s="21" t="str">
        <f>+IF($B$3="esp","Publicidad","Advertising")</f>
        <v>Advertising</v>
      </c>
      <c r="AL11" s="22"/>
      <c r="AM11" s="23">
        <f>+[1]NOTICIAS!K11</f>
        <v>51.082768643365803</v>
      </c>
      <c r="AN11" s="24">
        <f>+[1]NOTICIAS!L11</f>
        <v>56.5921167985382</v>
      </c>
      <c r="AO11" s="25">
        <f t="shared" ref="AO11:AO13" si="6">IF(AN11=0,"---",IF(OR(ABS((AM11-AN11)/ABS(AN11))&gt;2,(AM11*AN11)&lt;0),"---",IF(AN11="0","---",((AM11-AN11)/ABS(AN11))*100)))</f>
        <v>-9.7351865716298942</v>
      </c>
      <c r="AQ11" s="23">
        <f>+[1]NOTICIAS!O11</f>
        <v>28.563877455307406</v>
      </c>
      <c r="AR11" s="24">
        <f>+[1]NOTICIAS!P11</f>
        <v>32.793120381647</v>
      </c>
      <c r="AS11" s="25">
        <f t="shared" ref="AS11:AS13" si="7">IF(AR11=0,"---",IF(OR(ABS((AQ11-AR11)/ABS(AR11))&gt;2,(AQ11*AR11)&lt;0),"---",IF(AR11="0","---",((AQ11-AR11)/ABS(AR11))*100)))</f>
        <v>-12.896738331453609</v>
      </c>
      <c r="AV11" s="21" t="str">
        <f>+IF($B$3="esp","Publicidad","Advertising")</f>
        <v>Advertising</v>
      </c>
      <c r="AW11" s="22"/>
      <c r="AX11" s="23">
        <f>+'[1]MEDIA CAPITAL'!K11</f>
        <v>57.101493320000003</v>
      </c>
      <c r="AY11" s="24">
        <f>+'[1]MEDIA CAPITAL'!L11</f>
        <v>60.071345690000001</v>
      </c>
      <c r="AZ11" s="25">
        <f t="shared" ref="AZ11:AZ12" si="8">IF(AY11=0,"---",IF(OR(ABS((AX11-AY11)/ABS(AY11))&gt;2,(AX11*AY11)&lt;0),"---",IF(AY11="0","---",((AX11-AY11)/ABS(AY11))*100)))</f>
        <v>-4.9438752135269475</v>
      </c>
      <c r="BB11" s="23">
        <f>+'[1]MEDIA CAPITAL'!O11</f>
        <v>33.852709950000005</v>
      </c>
      <c r="BC11" s="24">
        <f>+'[1]MEDIA CAPITAL'!P11</f>
        <v>34.297457810000004</v>
      </c>
      <c r="BD11" s="25">
        <f t="shared" ref="BD11:BD12" si="9">IF(BC11=0,"---",IF(OR(ABS((BB11-BC11)/ABS(BC11))&gt;2,(BB11*BC11)&lt;0),"---",IF(BC11="0","---",((BB11-BC11)/ABS(BC11))*100)))</f>
        <v>-1.2967371006440189</v>
      </c>
    </row>
    <row r="12" spans="1:56" ht="15" customHeight="1">
      <c r="D12" s="17" t="str">
        <f>+IF($B$3="esp","Internacional","International")</f>
        <v>International</v>
      </c>
      <c r="F12" s="18">
        <f>+[1]GRUPO!K12</f>
        <v>420.1292505404121</v>
      </c>
      <c r="G12" s="19">
        <f>+[1]GRUPO!L12</f>
        <v>383.78884362286431</v>
      </c>
      <c r="H12" s="20">
        <f t="shared" si="0"/>
        <v>9.4688544290407322</v>
      </c>
      <c r="J12" s="18">
        <f>+[1]GRUPO!O12</f>
        <v>146.15910993264396</v>
      </c>
      <c r="K12" s="19">
        <f>+[1]GRUPO!P12</f>
        <v>152.18635553219775</v>
      </c>
      <c r="L12" s="20">
        <f t="shared" si="1"/>
        <v>-3.9604375691082385</v>
      </c>
      <c r="O12" s="17" t="str">
        <f>+IF($B$3="esp","Internacional","International")</f>
        <v>International</v>
      </c>
      <c r="Q12" s="18">
        <f>+[1]SANTILLANA!K12</f>
        <v>281.47864704278658</v>
      </c>
      <c r="R12" s="19">
        <f>+[1]SANTILLANA!L12</f>
        <v>239.47491329589545</v>
      </c>
      <c r="S12" s="20">
        <f t="shared" si="2"/>
        <v>17.539930662796095</v>
      </c>
      <c r="U12" s="18">
        <f>+[1]SANTILLANA!O12</f>
        <v>69.565970980488459</v>
      </c>
      <c r="V12" s="19">
        <f>+[1]SANTILLANA!P12</f>
        <v>72.7305852836611</v>
      </c>
      <c r="W12" s="20">
        <f t="shared" si="3"/>
        <v>-4.3511464823638244</v>
      </c>
      <c r="Z12" s="17" t="str">
        <f>+IF($B$3="esp","Latam","Latam")</f>
        <v>Latam</v>
      </c>
      <c r="AB12" s="18">
        <f>+[1]RADIO!K12</f>
        <v>54.724177992985204</v>
      </c>
      <c r="AC12" s="19">
        <f>+[1]RADIO!L12</f>
        <v>54.09720919542243</v>
      </c>
      <c r="AD12" s="20">
        <f t="shared" si="4"/>
        <v>1.1589669908809772</v>
      </c>
      <c r="AF12" s="18">
        <f>+[1]RADIO!O12</f>
        <v>30.056729304218237</v>
      </c>
      <c r="AG12" s="19">
        <f>+[1]RADIO!P12</f>
        <v>29.765719138717525</v>
      </c>
      <c r="AH12" s="20">
        <f t="shared" si="5"/>
        <v>0.97766885504937329</v>
      </c>
      <c r="AK12" s="21" t="str">
        <f>+IF($B$3="esp","Circulación","Circulation")</f>
        <v>Circulation</v>
      </c>
      <c r="AL12" s="22"/>
      <c r="AM12" s="23">
        <f>+[1]NOTICIAS!K12</f>
        <v>40.211427379887297</v>
      </c>
      <c r="AN12" s="24">
        <f>+[1]NOTICIAS!L12</f>
        <v>46.799668626592194</v>
      </c>
      <c r="AO12" s="25">
        <f t="shared" si="6"/>
        <v>-14.077538239151913</v>
      </c>
      <c r="AQ12" s="23">
        <f>+[1]NOTICIAS!O12</f>
        <v>20.113624483991998</v>
      </c>
      <c r="AR12" s="24">
        <f>+[1]NOTICIAS!P12</f>
        <v>23.430355886594896</v>
      </c>
      <c r="AS12" s="25">
        <f t="shared" si="7"/>
        <v>-14.155702195289678</v>
      </c>
      <c r="AV12" s="21" t="str">
        <f>+IF($B$3="esp","Otros","Others")</f>
        <v>Others</v>
      </c>
      <c r="AW12" s="22"/>
      <c r="AX12" s="23">
        <f>+'[1]MEDIA CAPITAL'!K12</f>
        <v>21.93186686</v>
      </c>
      <c r="AY12" s="24">
        <f>+'[1]MEDIA CAPITAL'!L12</f>
        <v>25.194917349999997</v>
      </c>
      <c r="AZ12" s="25">
        <f t="shared" si="8"/>
        <v>-12.951225220034301</v>
      </c>
      <c r="BB12" s="23">
        <f>+'[1]MEDIA CAPITAL'!O12</f>
        <v>10.104451020000003</v>
      </c>
      <c r="BC12" s="24">
        <f>+'[1]MEDIA CAPITAL'!P12</f>
        <v>11.926917429999996</v>
      </c>
      <c r="BD12" s="25">
        <f t="shared" si="9"/>
        <v>-15.28028026265957</v>
      </c>
    </row>
    <row r="13" spans="1:56" ht="15" customHeight="1">
      <c r="D13" s="26" t="str">
        <f>+IF($B$3="esp","Portugal","Portugal")</f>
        <v>Portugal</v>
      </c>
      <c r="F13" s="18">
        <f>+[1]GRUPO!K13</f>
        <v>78.599503259999992</v>
      </c>
      <c r="G13" s="19">
        <f>+[1]GRUPO!L13</f>
        <v>84.223316159999996</v>
      </c>
      <c r="H13" s="20">
        <f t="shared" si="0"/>
        <v>-6.6772636799486529</v>
      </c>
      <c r="J13" s="18">
        <f>+[1]GRUPO!O13</f>
        <v>43.704104999999991</v>
      </c>
      <c r="K13" s="19">
        <f>+[1]GRUPO!P13</f>
        <v>45.741188370000003</v>
      </c>
      <c r="L13" s="20">
        <f t="shared" si="1"/>
        <v>-4.4534990073324403</v>
      </c>
      <c r="O13" s="26" t="str">
        <f>+IF($B$3="esp","Portugal","Portugal")</f>
        <v>Portugal</v>
      </c>
      <c r="Q13" s="18">
        <f>+[1]SANTILLANA!K13</f>
        <v>6.8078E-2</v>
      </c>
      <c r="R13" s="19">
        <f>+[1]SANTILLANA!L13</f>
        <v>6.8129999999999996E-2</v>
      </c>
      <c r="S13" s="20">
        <f t="shared" si="2"/>
        <v>-7.6324673418459554E-2</v>
      </c>
      <c r="U13" s="18">
        <f>+[1]SANTILLANA!O13</f>
        <v>2.1530000000000001E-2</v>
      </c>
      <c r="V13" s="19">
        <f>+[1]SANTILLANA!P13</f>
        <v>3.5861999999999998E-2</v>
      </c>
      <c r="W13" s="20">
        <f t="shared" si="3"/>
        <v>-39.964307623668503</v>
      </c>
      <c r="Z13" s="17" t="str">
        <f>+IF($B$3="esp","Música","Music")</f>
        <v>Music</v>
      </c>
      <c r="AB13" s="18">
        <f>+[1]RADIO!K13</f>
        <v>4.7258752815393503</v>
      </c>
      <c r="AC13" s="19">
        <f>+[1]RADIO!L13</f>
        <v>8.0880366722796797</v>
      </c>
      <c r="AD13" s="20">
        <f t="shared" si="4"/>
        <v>-41.569561649782635</v>
      </c>
      <c r="AF13" s="18">
        <f>+[1]RADIO!O13</f>
        <v>3.3775274148689602</v>
      </c>
      <c r="AG13" s="19">
        <f>+[1]RADIO!P13</f>
        <v>5.87998771143869</v>
      </c>
      <c r="AH13" s="20">
        <f t="shared" si="5"/>
        <v>-42.558937524674498</v>
      </c>
      <c r="AK13" s="21" t="str">
        <f>+IF($B$3="esp","Promociones y Otros","Add-ons and Others")</f>
        <v>Add-ons and Others</v>
      </c>
      <c r="AL13" s="22"/>
      <c r="AM13" s="23">
        <f>+[1]NOTICIAS!K13</f>
        <v>17.759719481013896</v>
      </c>
      <c r="AN13" s="24">
        <f>+[1]NOTICIAS!L13</f>
        <v>18.640129528166611</v>
      </c>
      <c r="AO13" s="25">
        <f t="shared" si="6"/>
        <v>-4.7231970455052386</v>
      </c>
      <c r="AQ13" s="23">
        <f>+[1]NOTICIAS!O13</f>
        <v>9.9815235255821904</v>
      </c>
      <c r="AR13" s="24">
        <f>+[1]NOTICIAS!P13</f>
        <v>8.5716379285390047</v>
      </c>
      <c r="AS13" s="25">
        <f t="shared" si="7"/>
        <v>16.448263550062176</v>
      </c>
      <c r="AV13" s="13" t="str">
        <f>+IF($B$3="esp","EBITDA Ajustado","Adjusted EBITDA")</f>
        <v>Adjusted EBITDA</v>
      </c>
      <c r="AW13" s="13"/>
      <c r="AX13" s="14">
        <f>+'[1]MEDIA CAPITAL'!K13</f>
        <v>18.2596460305578</v>
      </c>
      <c r="AY13" s="15">
        <f>+'[1]MEDIA CAPITAL'!L13</f>
        <v>17.669995829312601</v>
      </c>
      <c r="AZ13" s="16">
        <f>IF(AY13=0,"---",IF(OR(ABS((AX13-AY13)/ABS(AY13))&gt;2,(AX13*AY13)&lt;0),"---",IF(AY13="0","---",((AX13-AY13)/ABS(AY13))*100)))</f>
        <v>3.3370138111013783</v>
      </c>
      <c r="BB13" s="14">
        <f>+'[1]MEDIA CAPITAL'!O13</f>
        <v>12.63415013010899</v>
      </c>
      <c r="BC13" s="15">
        <f>+'[1]MEDIA CAPITAL'!P13</f>
        <v>11.51397284245855</v>
      </c>
      <c r="BD13" s="16">
        <f>IF(BC13=0,"---",IF(OR(ABS((BB13-BC13)/ABS(BC13))&gt;2,(BB13*BC13)&lt;0),"---",IF(BC13="0","---",((BB13-BC13)/ABS(BC13))*100)))</f>
        <v>9.7288512225746366</v>
      </c>
    </row>
    <row r="14" spans="1:56" ht="15" customHeight="1">
      <c r="D14" s="26" t="str">
        <f>+IF($B$3="esp","Latam","Latam")</f>
        <v>Latam</v>
      </c>
      <c r="F14" s="18">
        <f>+[1]GRUPO!K14</f>
        <v>341.5297472804121</v>
      </c>
      <c r="G14" s="19">
        <f>+[1]GRUPO!L14</f>
        <v>299.56552746286428</v>
      </c>
      <c r="H14" s="20">
        <f t="shared" si="0"/>
        <v>14.008360765992983</v>
      </c>
      <c r="J14" s="18">
        <f>+[1]GRUPO!O14</f>
        <v>102.45500493264399</v>
      </c>
      <c r="K14" s="19">
        <f>+[1]GRUPO!P14</f>
        <v>106.44516716219775</v>
      </c>
      <c r="L14" s="20">
        <f t="shared" si="1"/>
        <v>-3.7485611943975616</v>
      </c>
      <c r="O14" s="26" t="str">
        <f>+IF($B$3="esp","Latam","Latam")</f>
        <v>Latam</v>
      </c>
      <c r="Q14" s="18">
        <f>+[1]SANTILLANA!K14</f>
        <v>281.41056904278656</v>
      </c>
      <c r="R14" s="19">
        <f>+[1]SANTILLANA!L14</f>
        <v>239.40678329589545</v>
      </c>
      <c r="S14" s="20">
        <f t="shared" si="2"/>
        <v>17.54494386860226</v>
      </c>
      <c r="U14" s="18">
        <f>+[1]SANTILLANA!O14</f>
        <v>69.544440980488446</v>
      </c>
      <c r="V14" s="19">
        <f>+[1]SANTILLANA!P14</f>
        <v>72.694723283661091</v>
      </c>
      <c r="W14" s="20">
        <f t="shared" si="3"/>
        <v>-4.3335776805697046</v>
      </c>
      <c r="Z14" s="17" t="str">
        <f>+IF($B$3="esp","Ajustes y Otros","Adjustments &amp; others")</f>
        <v>Adjustments &amp; others</v>
      </c>
      <c r="AB14" s="18">
        <f>+[1]RADIO!K14</f>
        <v>-4.4501739764752468</v>
      </c>
      <c r="AC14" s="19">
        <f>+[1]RADIO!L14</f>
        <v>-4.5895014234508853</v>
      </c>
      <c r="AD14" s="20">
        <f t="shared" si="4"/>
        <v>3.0357861153222387</v>
      </c>
      <c r="AF14" s="18">
        <f>+[1]RADIO!O14</f>
        <v>-2.4324455345943603</v>
      </c>
      <c r="AG14" s="19">
        <f>+[1]RADIO!P14</f>
        <v>-2.3890649789894089</v>
      </c>
      <c r="AH14" s="20">
        <f t="shared" si="5"/>
        <v>-1.8157963883971724</v>
      </c>
      <c r="AK14" s="13" t="str">
        <f>+IF($B$3="esp","EBITDA Ajustado","Adjusted EBITDA")</f>
        <v>Adjusted EBITDA</v>
      </c>
      <c r="AL14" s="13"/>
      <c r="AM14" s="14">
        <f>+[1]NOTICIAS!K14</f>
        <v>5.9595375868221296</v>
      </c>
      <c r="AN14" s="15">
        <f>+[1]NOTICIAS!L14</f>
        <v>7.3774874138440749</v>
      </c>
      <c r="AO14" s="16">
        <f>IF(AN14=0,"---",IF(OR(ABS((AM14-AN14)/ABS(AN14))&gt;2,(AM14*AN14)&lt;0),"---",IF(AN14="0","---",((AM14-AN14)/ABS(AN14))*100)))</f>
        <v>-19.21995589394189</v>
      </c>
      <c r="AQ14" s="14">
        <f>+[1]NOTICIAS!O14</f>
        <v>5.1058867729091792</v>
      </c>
      <c r="AR14" s="15">
        <f>+[1]NOTICIAS!P14</f>
        <v>5.991520566099461</v>
      </c>
      <c r="AS14" s="16">
        <f>IF(AR14=0,"---",IF(OR(ABS((AQ14-AR14)/ABS(AR14))&gt;2,(AQ14*AR14)&lt;0),"---",IF(AR14="0","---",((AQ14-AR14)/ABS(AR14))*100)))</f>
        <v>-14.781452945372065</v>
      </c>
      <c r="AV14" s="21" t="str">
        <f>+IF($B$3="esp","Margen EBITDA Ajustado","Adjusted EBITDA Margin")</f>
        <v>Adjusted EBITDA Margin</v>
      </c>
      <c r="AW14" s="22"/>
      <c r="AX14" s="27">
        <f>+AX13/AX10</f>
        <v>0.23103719731732403</v>
      </c>
      <c r="AY14" s="28">
        <f>+AY13/AY10</f>
        <v>0.20723314473185339</v>
      </c>
      <c r="AZ14" s="29"/>
      <c r="BB14" s="27">
        <f>+BB13/BB10</f>
        <v>0.28741961153341039</v>
      </c>
      <c r="BC14" s="28">
        <f>+BC13/BC10</f>
        <v>0.24908877151237296</v>
      </c>
      <c r="BD14" s="29"/>
    </row>
    <row r="15" spans="1:56" s="13" customFormat="1" ht="15" customHeight="1">
      <c r="D15" s="13" t="str">
        <f>+IF($B$3="esp","EBITDA Ajustado","Adjusted EBITDA")</f>
        <v>Adjusted EBITDA</v>
      </c>
      <c r="F15" s="14">
        <f>+[1]GRUPO!K15</f>
        <v>135.69015134453704</v>
      </c>
      <c r="G15" s="15">
        <f>+[1]GRUPO!L15</f>
        <v>97.017115667108172</v>
      </c>
      <c r="H15" s="16">
        <f>IF(G15=0,"---",IF(OR(ABS((F15-G15)/ABS(G15))&gt;2,(F15*G15)&lt;0),"---",IF(G15="0","---",((F15-G15)/ABS(G15))*100)))</f>
        <v>39.862075275589994</v>
      </c>
      <c r="J15" s="14">
        <f>+[1]GRUPO!O15</f>
        <v>43.211100859592634</v>
      </c>
      <c r="K15" s="15">
        <f>+[1]GRUPO!P15</f>
        <v>37.34881100916796</v>
      </c>
      <c r="L15" s="16">
        <f>IF(K15=0,"---",IF(OR(ABS((J15-K15)/ABS(K15))&gt;2,(J15*K15)&lt;0),"---",IF(K15="0","---",((J15-K15)/ABS(K15))*100)))</f>
        <v>15.696054819484523</v>
      </c>
      <c r="O15" s="13" t="str">
        <f>+IF($B$3="esp","EBITDA Ajustado","Adjusted EBITDA")</f>
        <v>Adjusted EBITDA</v>
      </c>
      <c r="Q15" s="14">
        <f>+[1]SANTILLANA!K15</f>
        <v>94.203475473929714</v>
      </c>
      <c r="R15" s="15">
        <f>+[1]SANTILLANA!L15</f>
        <v>62.810437481172734</v>
      </c>
      <c r="S15" s="16">
        <f>IF(R15=0,"---",IF(OR(ABS((Q15-R15)/ABS(R15))&gt;2,(Q15*R15)&lt;0),"---",IF(R15="0","---",((Q15-R15)/ABS(R15))*100)))</f>
        <v>49.980607127863038</v>
      </c>
      <c r="U15" s="14">
        <f>+[1]SANTILLANA!O15</f>
        <v>11.200432742548159</v>
      </c>
      <c r="V15" s="15">
        <f>+[1]SANTILLANA!P15</f>
        <v>9.941912374071336</v>
      </c>
      <c r="W15" s="16">
        <f>IF(V15=0,"---",IF(OR(ABS((U15-V15)/ABS(V15))&gt;2,(U15*V15)&lt;0),"---",IF(V15="0","---",((U15-V15)/ABS(V15))*100)))</f>
        <v>12.658735272693249</v>
      </c>
      <c r="Z15" s="13" t="str">
        <f>+IF($B$3="esp","EBITDA Ajustado","Adjusted EBITDA")</f>
        <v>Adjusted EBITDA</v>
      </c>
      <c r="AB15" s="14">
        <f>+[1]RADIO!K15</f>
        <v>25.90879667940569</v>
      </c>
      <c r="AC15" s="15">
        <f>+[1]RADIO!L15</f>
        <v>20.533552339945825</v>
      </c>
      <c r="AD15" s="16">
        <f>IF(AC15=0,"---",IF(OR(ABS((AB15-AC15)/ABS(AC15))&gt;2,(AB15*AC15)&lt;0),"---",IF(AC15="0","---",((AB15-AC15)/ABS(AC15))*100)))</f>
        <v>26.177858806256836</v>
      </c>
      <c r="AF15" s="14">
        <f>+[1]RADIO!O15</f>
        <v>18.640052505959716</v>
      </c>
      <c r="AG15" s="15">
        <f>+[1]RADIO!P15</f>
        <v>15.431484919576464</v>
      </c>
      <c r="AH15" s="16">
        <f>IF(AG15=0,"---",IF(OR(ABS((AF15-AG15)/ABS(AG15))&gt;2,(AF15*AG15)&lt;0),"---",IF(AG15="0","---",((AF15-AG15)/ABS(AG15))*100)))</f>
        <v>20.79234502126782</v>
      </c>
      <c r="AK15" s="21" t="str">
        <f>+IF($B$3="esp","Margen EBITDA Ajustado","Adjusted EBITDA Margin")</f>
        <v>Adjusted EBITDA Margin</v>
      </c>
      <c r="AL15" s="22"/>
      <c r="AM15" s="27">
        <f>+AM14/AM10</f>
        <v>5.4647625986331029E-2</v>
      </c>
      <c r="AN15" s="28">
        <f>+AN14/AN10</f>
        <v>6.0455393301559864E-2</v>
      </c>
      <c r="AO15" s="29"/>
      <c r="AQ15" s="27">
        <f>+AQ14/AQ10</f>
        <v>8.7043498122313809E-2</v>
      </c>
      <c r="AR15" s="28">
        <f>+AR14/AR10</f>
        <v>9.2468709105186314E-2</v>
      </c>
      <c r="AS15" s="29"/>
      <c r="AV15" s="13" t="str">
        <f>+IF($B$3="esp","EBIT Ajustado","Adjusted EBIT")</f>
        <v>Adjusted EBIT</v>
      </c>
      <c r="AX15" s="14">
        <f>+'[1]MEDIA CAPITAL'!K15</f>
        <v>14.326208930557799</v>
      </c>
      <c r="AY15" s="15">
        <f>+'[1]MEDIA CAPITAL'!L15</f>
        <v>13.449236539312601</v>
      </c>
      <c r="AZ15" s="16">
        <f>IF(AY15=0,"---",IF(OR(ABS((AX15-AY15)/ABS(AY15))&gt;2,(AX15*AY15)&lt;0),"---",IF(AY15="0","---",((AX15-AY15)/ABS(AY15))*100)))</f>
        <v>6.5206109557354912</v>
      </c>
      <c r="BB15" s="14">
        <f>+'[1]MEDIA CAPITAL'!O15</f>
        <v>10.59274271010899</v>
      </c>
      <c r="BC15" s="15">
        <f>+'[1]MEDIA CAPITAL'!P15</f>
        <v>9.3047904124585514</v>
      </c>
      <c r="BD15" s="16">
        <f>IF(BC15=0,"---",IF(OR(ABS((BB15-BC15)/ABS(BC15))&gt;2,(BB15*BC15)&lt;0),"---",IF(BC15="0","---",((BB15-BC15)/ABS(BC15))*100)))</f>
        <v>13.841819541963545</v>
      </c>
    </row>
    <row r="16" spans="1:56" ht="15" customHeight="1">
      <c r="D16" s="17" t="str">
        <f>+IF($B$3="esp","España","Spain")</f>
        <v>Spain</v>
      </c>
      <c r="F16" s="18">
        <f>+[1]GRUPO!K16</f>
        <v>15.661488456162465</v>
      </c>
      <c r="G16" s="19">
        <f>+[1]GRUPO!L16</f>
        <v>2.892460559007799</v>
      </c>
      <c r="H16" s="20" t="str">
        <f t="shared" ref="H16:H19" si="10">IF(G16=0,"---",IF(OR(ABS((F16-G16)/ABS(G16))&gt;2,(F16*G16)&lt;0),"---",IF(G16="0","---",((F16-G16)/ABS(G16))*100)))</f>
        <v>---</v>
      </c>
      <c r="J16" s="18">
        <f>+[1]GRUPO!O16</f>
        <v>29.101882289999892</v>
      </c>
      <c r="K16" s="19">
        <f>+[1]GRUPO!P16</f>
        <v>20.7855501421664</v>
      </c>
      <c r="L16" s="20">
        <f t="shared" ref="L16:L19" si="11">IF(K16=0,"---",IF(OR(ABS((J16-K16)/ABS(K16))&gt;2,(J16*K16)&lt;0),"---",IF(K16="0","---",((J16-K16)/ABS(K16))*100)))</f>
        <v>40.010161342627384</v>
      </c>
      <c r="O16" s="17" t="str">
        <f>+IF($B$3="esp","España","Spain")</f>
        <v>Spain</v>
      </c>
      <c r="Q16" s="18">
        <f>+[1]SANTILLANA!K16</f>
        <v>2.3653616399990653</v>
      </c>
      <c r="R16" s="19">
        <f>+[1]SANTILLANA!L16</f>
        <v>-5.5340849207011118</v>
      </c>
      <c r="S16" s="20" t="str">
        <f t="shared" ref="S16:S19" si="12">IF(R16=0,"---",IF(OR(ABS((Q16-R16)/ABS(R16))&gt;2,(Q16*R16)&lt;0),"---",IF(R16="0","---",((Q16-R16)/ABS(R16))*100)))</f>
        <v>---</v>
      </c>
      <c r="U16" s="18">
        <f>+[1]SANTILLANA!O16</f>
        <v>17.509033509998929</v>
      </c>
      <c r="V16" s="19">
        <f>+[1]SANTILLANA!P16</f>
        <v>10.793829693366774</v>
      </c>
      <c r="W16" s="20">
        <f t="shared" ref="W16:W19" si="13">IF(V16=0,"---",IF(OR(ABS((U16-V16)/ABS(V16))&gt;2,(U16*V16)&lt;0),"---",IF(V16="0","---",((U16-V16)/ABS(V16))*100)))</f>
        <v>62.213357143840312</v>
      </c>
      <c r="Z16" s="17" t="str">
        <f>+IF($B$3="esp","España","Spain")</f>
        <v>Spain</v>
      </c>
      <c r="AB16" s="18">
        <f>+[1]RADIO!K16</f>
        <v>14.293106669999903</v>
      </c>
      <c r="AC16" s="19">
        <f>+[1]RADIO!L16</f>
        <v>10.599271490000001</v>
      </c>
      <c r="AD16" s="20">
        <f t="shared" ref="AD16:AD19" si="14">IF(AC16=0,"---",IF(OR(ABS((AB16-AC16)/ABS(AC16))&gt;2,(AB16*AC16)&lt;0),"---",IF(AC16="0","---",((AB16-AC16)/ABS(AC16))*100)))</f>
        <v>34.849896839465714</v>
      </c>
      <c r="AF16" s="18">
        <f>+[1]RADIO!O16</f>
        <v>9.8145030499998622</v>
      </c>
      <c r="AG16" s="19">
        <f>+[1]RADIO!P16</f>
        <v>8.530332389999991</v>
      </c>
      <c r="AH16" s="20">
        <f t="shared" ref="AH16:AH19" si="15">IF(AG16=0,"---",IF(OR(ABS((AF16-AG16)/ABS(AG16))&gt;2,(AF16*AG16)&lt;0),"---",IF(AG16="0","---",((AF16-AG16)/ABS(AG16))*100)))</f>
        <v>15.054169067377604</v>
      </c>
      <c r="AK16" s="13" t="str">
        <f>+IF($B$3="esp","EBIT Ajustado","Adjusted EBIT")</f>
        <v>Adjusted EBIT</v>
      </c>
      <c r="AL16" s="13"/>
      <c r="AM16" s="14">
        <f>+[1]NOTICIAS!K16</f>
        <v>1.3519734724635524</v>
      </c>
      <c r="AN16" s="15">
        <f>+[1]NOTICIAS!L16</f>
        <v>3.5353937879069051</v>
      </c>
      <c r="AO16" s="16">
        <f>IF(AN16=0,"---",IF(OR(ABS((AM16-AN16)/ABS(AN16))&gt;2,(AM16*AN16)&lt;0),"---",IF(AN16="0","---",((AM16-AN16)/ABS(AN16))*100)))</f>
        <v>-61.758900038573216</v>
      </c>
      <c r="AQ16" s="14">
        <f>+[1]NOTICIAS!O16</f>
        <v>2.9302019586283423</v>
      </c>
      <c r="AR16" s="15">
        <f>+[1]NOTICIAS!P16</f>
        <v>4.5188262981734235</v>
      </c>
      <c r="AS16" s="16">
        <f>IF(AR16=0,"---",IF(OR(ABS((AQ16-AR16)/ABS(AR16))&gt;2,(AQ16*AR16)&lt;0),"---",IF(AR16="0","---",((AQ16-AR16)/ABS(AR16))*100)))</f>
        <v>-35.155685010225483</v>
      </c>
      <c r="AV16" s="30" t="str">
        <f>+IF($B$3="esp","Margen EBIT Ajustado","Adjusted EBIT Margin")</f>
        <v>Adjusted EBIT Margin</v>
      </c>
      <c r="AW16" s="22"/>
      <c r="AX16" s="31">
        <f>+AX15/AX10</f>
        <v>0.18126787090830482</v>
      </c>
      <c r="AY16" s="32">
        <f>+AY15/AY10</f>
        <v>0.15773221506146357</v>
      </c>
      <c r="AZ16" s="33"/>
      <c r="BB16" s="31">
        <f>+BB15/BB10</f>
        <v>0.24097877288613684</v>
      </c>
      <c r="BC16" s="32">
        <f>+BC15/BC10</f>
        <v>0.2012961854897436</v>
      </c>
      <c r="BD16" s="33"/>
    </row>
    <row r="17" spans="4:45" ht="15" customHeight="1">
      <c r="D17" s="17" t="str">
        <f>+IF($B$3="esp","Internacional","International")</f>
        <v>International</v>
      </c>
      <c r="F17" s="18">
        <f>+[1]GRUPO!K17</f>
        <v>120.02866288837458</v>
      </c>
      <c r="G17" s="19">
        <f>+[1]GRUPO!L17</f>
        <v>94.12465510810037</v>
      </c>
      <c r="H17" s="20">
        <f t="shared" si="10"/>
        <v>27.520959041522069</v>
      </c>
      <c r="J17" s="18">
        <f>+[1]GRUPO!O17</f>
        <v>14.109218569592741</v>
      </c>
      <c r="K17" s="19">
        <f>+[1]GRUPO!P17</f>
        <v>16.563260867001546</v>
      </c>
      <c r="L17" s="20">
        <f t="shared" si="11"/>
        <v>-14.816178511671662</v>
      </c>
      <c r="O17" s="17" t="str">
        <f>+IF($B$3="esp","Internacional","International")</f>
        <v>International</v>
      </c>
      <c r="Q17" s="18">
        <f>+[1]SANTILLANA!K17</f>
        <v>91.838113833930649</v>
      </c>
      <c r="R17" s="19">
        <f>+[1]SANTILLANA!L17</f>
        <v>68.344522401873846</v>
      </c>
      <c r="S17" s="20">
        <f t="shared" si="12"/>
        <v>34.375236824264746</v>
      </c>
      <c r="U17" s="18">
        <f>+[1]SANTILLANA!O17</f>
        <v>-6.3086007674507698</v>
      </c>
      <c r="V17" s="19">
        <f>+[1]SANTILLANA!P17</f>
        <v>-0.85191731929543835</v>
      </c>
      <c r="W17" s="20" t="str">
        <f t="shared" si="13"/>
        <v>---</v>
      </c>
      <c r="Z17" s="17" t="str">
        <f>+IF($B$3="esp","Latam","Latam")</f>
        <v>Latam</v>
      </c>
      <c r="AB17" s="18">
        <f>+[1]RADIO!K17</f>
        <v>12.321353001068795</v>
      </c>
      <c r="AC17" s="19">
        <f>+[1]RADIO!L17</f>
        <v>10.641162126883563</v>
      </c>
      <c r="AD17" s="20">
        <f t="shared" si="14"/>
        <v>15.789543041924345</v>
      </c>
      <c r="AF17" s="18">
        <f>+[1]RADIO!O17</f>
        <v>8.9595930265657096</v>
      </c>
      <c r="AG17" s="19">
        <f>+[1]RADIO!P17</f>
        <v>7.054880431843662</v>
      </c>
      <c r="AH17" s="20">
        <f t="shared" si="15"/>
        <v>26.998509941071902</v>
      </c>
      <c r="AK17" s="30" t="str">
        <f>+IF($B$3="esp","Margen EBIT Ajustado","Adjusted EBIT Margin")</f>
        <v>Adjusted EBIT Margin</v>
      </c>
      <c r="AL17" s="22"/>
      <c r="AM17" s="31">
        <f>+AM16/AM10</f>
        <v>1.2397294184367484E-2</v>
      </c>
      <c r="AN17" s="32">
        <f>+AN16/AN10</f>
        <v>2.8971058835386958E-2</v>
      </c>
      <c r="AO17" s="33"/>
      <c r="AQ17" s="31">
        <f>+AQ16/AQ10</f>
        <v>4.9953130578049183E-2</v>
      </c>
      <c r="AR17" s="32">
        <f>+AR16/AR10</f>
        <v>6.9740232025054819E-2</v>
      </c>
      <c r="AS17" s="33"/>
    </row>
    <row r="18" spans="4:45" ht="15" customHeight="1">
      <c r="D18" s="26" t="str">
        <f>+IF($B$3="esp","Portugal","Portugal")</f>
        <v>Portugal</v>
      </c>
      <c r="F18" s="18">
        <f>+[1]GRUPO!K18</f>
        <v>16.648528820557797</v>
      </c>
      <c r="G18" s="19">
        <f>+[1]GRUPO!L18</f>
        <v>15.327484989312605</v>
      </c>
      <c r="H18" s="20">
        <f t="shared" si="10"/>
        <v>8.6187905724019007</v>
      </c>
      <c r="J18" s="18">
        <f>+[1]GRUPO!O18</f>
        <v>11.651482520108976</v>
      </c>
      <c r="K18" s="19">
        <f>+[1]GRUPO!P18</f>
        <v>10.097240093367507</v>
      </c>
      <c r="L18" s="20">
        <f t="shared" si="11"/>
        <v>15.392745070629665</v>
      </c>
      <c r="O18" s="26" t="str">
        <f>+IF($B$3="esp","Portugal","Portugal")</f>
        <v>Portugal</v>
      </c>
      <c r="Q18" s="18">
        <f>+[1]SANTILLANA!K18</f>
        <v>-1.522232</v>
      </c>
      <c r="R18" s="19">
        <f>+[1]SANTILLANA!L18</f>
        <v>-2.2066210000000002</v>
      </c>
      <c r="S18" s="20">
        <f t="shared" si="12"/>
        <v>31.015249107118986</v>
      </c>
      <c r="U18" s="18">
        <f>+[1]SANTILLANA!O18</f>
        <v>-0.89333200000000001</v>
      </c>
      <c r="V18" s="19">
        <f>+[1]SANTILLANA!P18</f>
        <v>-1.3391630000000001</v>
      </c>
      <c r="W18" s="20">
        <f t="shared" si="13"/>
        <v>33.291765080128414</v>
      </c>
      <c r="Z18" s="17" t="str">
        <f>+IF($B$3="esp","Música","Music")</f>
        <v>Music</v>
      </c>
      <c r="AB18" s="18">
        <f>+[1]RADIO!K18</f>
        <v>-0.70566299166302993</v>
      </c>
      <c r="AC18" s="19">
        <f>+[1]RADIO!L18</f>
        <v>-0.70524545693798102</v>
      </c>
      <c r="AD18" s="20">
        <f t="shared" si="14"/>
        <v>-5.9204170823269099E-2</v>
      </c>
      <c r="AF18" s="18">
        <f>+[1]RADIO!O18</f>
        <v>-0.134043570605892</v>
      </c>
      <c r="AG18" s="19">
        <f>+[1]RADIO!P18</f>
        <v>-0.15310878226749103</v>
      </c>
      <c r="AH18" s="20">
        <f t="shared" si="15"/>
        <v>12.452069292988599</v>
      </c>
    </row>
    <row r="19" spans="4:45" ht="15" customHeight="1">
      <c r="D19" s="26" t="str">
        <f>+IF($B$3="esp","Latam","Latam")</f>
        <v>Latam</v>
      </c>
      <c r="F19" s="18">
        <f>+[1]GRUPO!K19</f>
        <v>103.38013406781678</v>
      </c>
      <c r="G19" s="19">
        <f>+[1]GRUPO!L19</f>
        <v>78.797170118787761</v>
      </c>
      <c r="H19" s="20">
        <f t="shared" si="10"/>
        <v>31.197775138332869</v>
      </c>
      <c r="J19" s="18">
        <f>+[1]GRUPO!O19</f>
        <v>2.4577360494837706</v>
      </c>
      <c r="K19" s="19">
        <f>+[1]GRUPO!P19</f>
        <v>6.4660207736340425</v>
      </c>
      <c r="L19" s="20">
        <f t="shared" si="11"/>
        <v>-61.989975975557066</v>
      </c>
      <c r="O19" s="26" t="str">
        <f>+IF($B$3="esp","Latam","Latam")</f>
        <v>Latam</v>
      </c>
      <c r="Q19" s="18">
        <f>+[1]SANTILLANA!K19</f>
        <v>93.360345833930651</v>
      </c>
      <c r="R19" s="19">
        <f>+[1]SANTILLANA!L19</f>
        <v>70.551143401873844</v>
      </c>
      <c r="S19" s="20">
        <f t="shared" si="12"/>
        <v>32.330025187729269</v>
      </c>
      <c r="U19" s="18">
        <f>+[1]SANTILLANA!O19</f>
        <v>-5.4152687674507689</v>
      </c>
      <c r="V19" s="19">
        <f>+[1]SANTILLANA!P19</f>
        <v>0.48724568070456087</v>
      </c>
      <c r="W19" s="20" t="str">
        <f t="shared" si="13"/>
        <v>---</v>
      </c>
      <c r="Z19" s="17" t="str">
        <f>+IF($B$3="esp","Ajustes y Otros","Adjustments &amp; others")</f>
        <v>Adjustments &amp; others</v>
      </c>
      <c r="AB19" s="18">
        <f>+[1]RADIO!K19</f>
        <v>2.19824158875781E-14</v>
      </c>
      <c r="AC19" s="19">
        <f>+[1]RADIO!L19</f>
        <v>-1.635819999758481E-3</v>
      </c>
      <c r="AD19" s="20" t="str">
        <f t="shared" si="14"/>
        <v>---</v>
      </c>
      <c r="AF19" s="18">
        <f>+[1]RADIO!O19</f>
        <v>3.5527136788005009E-14</v>
      </c>
      <c r="AG19" s="19">
        <f>+[1]RADIO!P19</f>
        <v>-6.1911999969876952E-4</v>
      </c>
      <c r="AH19" s="20" t="str">
        <f t="shared" si="15"/>
        <v>---</v>
      </c>
    </row>
    <row r="20" spans="4:45" s="22" customFormat="1" ht="15" customHeight="1">
      <c r="D20" s="21" t="str">
        <f>+IF($B$3="esp","Margen EBITDA Ajustado","Adjusted EBITDA Margin")</f>
        <v>Adjusted EBITDA Margin</v>
      </c>
      <c r="F20" s="27">
        <f>+F15/F10</f>
        <v>0.20403347656683427</v>
      </c>
      <c r="G20" s="28">
        <f>+G15/G10</f>
        <v>0.15297286289684436</v>
      </c>
      <c r="H20" s="29"/>
      <c r="J20" s="27">
        <f>+J15/J10</f>
        <v>0.14508635272618367</v>
      </c>
      <c r="K20" s="28">
        <f>+K15/K10</f>
        <v>0.12239634754573096</v>
      </c>
      <c r="L20" s="29"/>
      <c r="O20" s="21" t="str">
        <f>+IF($B$3="esp","Margen EBITDA Ajustado","Adjusted EBITDA Margin")</f>
        <v>Adjusted EBITDA Margin</v>
      </c>
      <c r="Q20" s="27">
        <f>+Q15/Q10</f>
        <v>0.28718690766522609</v>
      </c>
      <c r="R20" s="28">
        <f>+R15/R10</f>
        <v>0.22467550919881468</v>
      </c>
      <c r="S20" s="29"/>
      <c r="U20" s="27">
        <f>+U15/U10</f>
        <v>9.9629621838761021E-2</v>
      </c>
      <c r="V20" s="28">
        <f>+V15/V10</f>
        <v>8.9375641066589115E-2</v>
      </c>
      <c r="W20" s="29"/>
      <c r="Z20" s="21" t="str">
        <f>+IF($B$3="esp","Margen EBITDA Ajustado","Adjusted EBITDA Margin")</f>
        <v>Adjusted EBITDA Margin</v>
      </c>
      <c r="AB20" s="27">
        <f>+AB15/AB10</f>
        <v>0.17651182944273275</v>
      </c>
      <c r="AC20" s="28">
        <f>+AC15/AC10</f>
        <v>0.13915630155809783</v>
      </c>
      <c r="AD20" s="29"/>
      <c r="AF20" s="27">
        <f>+AF15/AF10</f>
        <v>0.22981273070887392</v>
      </c>
      <c r="AG20" s="28">
        <f>+AG15/AG10</f>
        <v>0.18557301882197527</v>
      </c>
      <c r="AH20" s="29"/>
    </row>
    <row r="21" spans="4:45" s="13" customFormat="1" ht="15" customHeight="1">
      <c r="D21" s="13" t="str">
        <f>+IF($B$3="esp","EBIT Ajustado","Adjusted EBIT")</f>
        <v>Adjusted EBIT</v>
      </c>
      <c r="F21" s="14">
        <f>+[1]GRUPO!K21</f>
        <v>97.792932074652768</v>
      </c>
      <c r="G21" s="15">
        <f>+[1]GRUPO!L21</f>
        <v>55.008959649424213</v>
      </c>
      <c r="H21" s="16">
        <f>IF(G21=0,"---",IF(OR(ABS((F21-G21)/ABS(G21))&gt;2,(F21*G21)&lt;0),"---",IF(G21="0","---",((F21-G21)/ABS(G21))*100)))</f>
        <v>77.77637079103782</v>
      </c>
      <c r="J21" s="14">
        <f>+[1]GRUPO!O21</f>
        <v>25.212474729246551</v>
      </c>
      <c r="K21" s="15">
        <f>+[1]GRUPO!P21</f>
        <v>11.530660196286256</v>
      </c>
      <c r="L21" s="16">
        <f>IF(K21=0,"---",IF(OR(ABS((J21-K21)/ABS(K21))&gt;2,(J21*K21)&lt;0),"---",IF(K21="0","---",((J21-K21)/ABS(K21))*100)))</f>
        <v>118.65595117759931</v>
      </c>
      <c r="O21" s="13" t="str">
        <f>+IF($B$3="esp","EBIT Ajustado","Adjusted EBIT")</f>
        <v>Adjusted EBIT</v>
      </c>
      <c r="Q21" s="14">
        <f>+[1]SANTILLANA!K21</f>
        <v>70.789459627326522</v>
      </c>
      <c r="R21" s="15">
        <f>+[1]SANTILLANA!L21</f>
        <v>37.414899560129832</v>
      </c>
      <c r="S21" s="16">
        <f>IF(R21=0,"---",IF(OR(ABS((Q21-R21)/ABS(R21))&gt;2,(Q21*R21)&lt;0),"---",IF(R21="0","---",((Q21-R21)/ABS(R21))*100)))</f>
        <v>89.201255274145865</v>
      </c>
      <c r="U21" s="14">
        <f>+[1]SANTILLANA!O21</f>
        <v>7.1009712754275256E-2</v>
      </c>
      <c r="V21" s="15">
        <f>+[1]SANTILLANA!P21</f>
        <v>-7.6294220011128715</v>
      </c>
      <c r="W21" s="16" t="str">
        <f>IF(V21=0,"---",IF(OR(ABS((U21-V21)/ABS(V21))&gt;2,(U21*V21)&lt;0),"---",IF(V21="0","---",((U21-V21)/ABS(V21))*100)))</f>
        <v>---</v>
      </c>
      <c r="Z21" s="13" t="str">
        <f>+IF($B$3="esp","EBIT Ajustado","Adjusted EBIT")</f>
        <v>Adjusted EBIT</v>
      </c>
      <c r="AB21" s="14">
        <f>+[1]RADIO!K21</f>
        <v>20.57642637111492</v>
      </c>
      <c r="AC21" s="15">
        <f>+[1]RADIO!L21</f>
        <v>14.731290830282875</v>
      </c>
      <c r="AD21" s="16">
        <f>IF(AC21=0,"---",IF(OR(ABS((AB21-AC21)/ABS(AC21))&gt;2,(AB21*AC21)&lt;0),"---",IF(AC21="0","---",((AB21-AC21)/ABS(AC21))*100)))</f>
        <v>39.678366330371368</v>
      </c>
      <c r="AF21" s="14">
        <f>+[1]RADIO!O21</f>
        <v>16.298074787918861</v>
      </c>
      <c r="AG21" s="15">
        <f>+[1]RADIO!P21</f>
        <v>12.020018284527472</v>
      </c>
      <c r="AH21" s="16">
        <f>IF(AG21=0,"---",IF(OR(ABS((AF21-AG21)/ABS(AG21))&gt;2,(AF21*AG21)&lt;0),"---",IF(AG21="0","---",((AF21-AG21)/ABS(AG21))*100)))</f>
        <v>35.591098134170316</v>
      </c>
    </row>
    <row r="22" spans="4:45" ht="15" customHeight="1">
      <c r="D22" s="17" t="str">
        <f>+IF($B$3="esp","España","Spain")</f>
        <v>Spain</v>
      </c>
      <c r="F22" s="18">
        <f>+[1]GRUPO!K22</f>
        <v>6.7899873501747354</v>
      </c>
      <c r="G22" s="19">
        <f>+[1]GRUPO!L22</f>
        <v>-10.331715524719643</v>
      </c>
      <c r="H22" s="20" t="str">
        <f t="shared" ref="H22:H25" si="16">IF(G22=0,"---",IF(OR(ABS((F22-G22)/ABS(G22))&gt;2,(F22*G22)&lt;0),"---",IF(G22="0","---",((F22-G22)/ABS(G22))*100)))</f>
        <v>---</v>
      </c>
      <c r="J22" s="18">
        <f>+[1]GRUPO!O22</f>
        <v>24.460212899999952</v>
      </c>
      <c r="K22" s="19">
        <f>+[1]GRUPO!P22</f>
        <v>13.635691058438825</v>
      </c>
      <c r="L22" s="20">
        <f t="shared" ref="L22:L25" si="17">IF(K22=0,"---",IF(OR(ABS((J22-K22)/ABS(K22))&gt;2,(J22*K22)&lt;0),"---",IF(K22="0","---",((J22-K22)/ABS(K22))*100)))</f>
        <v>79.383742233306705</v>
      </c>
      <c r="O22" s="17" t="str">
        <f>+IF($B$3="esp","España","Spain")</f>
        <v>Spain</v>
      </c>
      <c r="Q22" s="18">
        <f>+[1]SANTILLANA!K22</f>
        <v>0.9232231099989292</v>
      </c>
      <c r="R22" s="19">
        <f>+[1]SANTILLANA!L22</f>
        <v>-7.7437007207012769</v>
      </c>
      <c r="S22" s="20" t="str">
        <f t="shared" ref="S22:S25" si="18">IF(R22=0,"---",IF(OR(ABS((Q22-R22)/ABS(R22))&gt;2,(Q22*R22)&lt;0),"---",IF(R22="0","---",((Q22-R22)/ABS(R22))*100)))</f>
        <v>---</v>
      </c>
      <c r="U22" s="18">
        <f>+[1]SANTILLANA!O22</f>
        <v>16.791630709998913</v>
      </c>
      <c r="V22" s="19">
        <f>+[1]SANTILLANA!P22</f>
        <v>8.9152737733666072</v>
      </c>
      <c r="W22" s="20">
        <f t="shared" ref="W22:W25" si="19">IF(V22=0,"---",IF(OR(ABS((U22-V22)/ABS(V22))&gt;2,(U22*V22)&lt;0),"---",IF(V22="0","---",((U22-V22)/ABS(V22))*100)))</f>
        <v>88.346775846211798</v>
      </c>
      <c r="Z22" s="17" t="str">
        <f>+IF($B$3="esp","España","Spain")</f>
        <v>Spain</v>
      </c>
      <c r="AB22" s="18">
        <f>+[1]RADIO!K22</f>
        <v>11.501285419999899</v>
      </c>
      <c r="AC22" s="19">
        <f>+[1]RADIO!L22</f>
        <v>7.4240472400000002</v>
      </c>
      <c r="AD22" s="20">
        <f t="shared" ref="AD22:AD25" si="20">IF(AC22=0,"---",IF(OR(ABS((AB22-AC22)/ABS(AC22))&gt;2,(AB22*AC22)&lt;0),"---",IF(AC22="0","---",((AB22-AC22)/ABS(AC22))*100)))</f>
        <v>54.919345852652455</v>
      </c>
      <c r="AF22" s="18">
        <f>+[1]RADIO!O22</f>
        <v>8.6980054899998294</v>
      </c>
      <c r="AG22" s="19">
        <f>+[1]RADIO!P22</f>
        <v>6.95545900999997</v>
      </c>
      <c r="AH22" s="20">
        <f t="shared" ref="AH22:AH25" si="21">IF(AG22=0,"---",IF(OR(ABS((AF22-AG22)/ABS(AG22))&gt;2,(AF22*AG22)&lt;0),"---",IF(AG22="0","---",((AF22-AG22)/ABS(AG22))*100)))</f>
        <v>25.052932919230397</v>
      </c>
    </row>
    <row r="23" spans="4:45" ht="15" customHeight="1">
      <c r="D23" s="17" t="str">
        <f>+IF($B$3="esp","Internacional","International")</f>
        <v>International</v>
      </c>
      <c r="F23" s="18">
        <f>+[1]GRUPO!K23</f>
        <v>91.002944724478027</v>
      </c>
      <c r="G23" s="19">
        <f>+[1]GRUPO!L23</f>
        <v>65.340675174143854</v>
      </c>
      <c r="H23" s="20">
        <f t="shared" si="16"/>
        <v>39.274570521256358</v>
      </c>
      <c r="J23" s="18">
        <f>+[1]GRUPO!O23</f>
        <v>0.75226182924657792</v>
      </c>
      <c r="K23" s="19">
        <f>+[1]GRUPO!P23</f>
        <v>-2.1050308621525744</v>
      </c>
      <c r="L23" s="20" t="str">
        <f t="shared" si="17"/>
        <v>---</v>
      </c>
      <c r="O23" s="17" t="str">
        <f>+IF($B$3="esp","Internacional","International")</f>
        <v>International</v>
      </c>
      <c r="Q23" s="18">
        <f>+[1]SANTILLANA!K23</f>
        <v>69.866236517327593</v>
      </c>
      <c r="R23" s="19">
        <f>+[1]SANTILLANA!L23</f>
        <v>45.158600280831109</v>
      </c>
      <c r="S23" s="20">
        <f t="shared" si="18"/>
        <v>54.713024945072007</v>
      </c>
      <c r="U23" s="18">
        <f>+[1]SANTILLANA!O23</f>
        <v>-16.720620997244637</v>
      </c>
      <c r="V23" s="19">
        <f>+[1]SANTILLANA!P23</f>
        <v>-16.544695774479479</v>
      </c>
      <c r="W23" s="20">
        <f t="shared" si="19"/>
        <v>-1.0633330776412753</v>
      </c>
      <c r="Z23" s="17" t="str">
        <f>+IF($B$3="esp","Latam","Latam")</f>
        <v>Latam</v>
      </c>
      <c r="AB23" s="18">
        <f>+[1]RADIO!K23</f>
        <v>10.166608398019134</v>
      </c>
      <c r="AC23" s="19">
        <f>+[1]RADIO!L23</f>
        <v>8.9493205452206634</v>
      </c>
      <c r="AD23" s="20">
        <f t="shared" si="20"/>
        <v>13.602014216023994</v>
      </c>
      <c r="AF23" s="18">
        <f>+[1]RADIO!O23</f>
        <v>7.8113015745807548</v>
      </c>
      <c r="AG23" s="19">
        <f>+[1]RADIO!P23</f>
        <v>6.1385257947947318</v>
      </c>
      <c r="AH23" s="20">
        <f t="shared" si="21"/>
        <v>27.250448001774007</v>
      </c>
    </row>
    <row r="24" spans="4:45" ht="15" customHeight="1">
      <c r="D24" s="26" t="str">
        <f>+IF($B$3="esp","Portugal","Portugal")</f>
        <v>Portugal</v>
      </c>
      <c r="F24" s="18">
        <f>+[1]GRUPO!K24</f>
        <v>13.4423188005578</v>
      </c>
      <c r="G24" s="19">
        <f>+[1]GRUPO!L24</f>
        <v>11.583275779312599</v>
      </c>
      <c r="H24" s="20">
        <f t="shared" si="16"/>
        <v>16.049372014136097</v>
      </c>
      <c r="J24" s="18">
        <f>+[1]GRUPO!O24</f>
        <v>9.9811784701089792</v>
      </c>
      <c r="K24" s="19">
        <f>+[1]GRUPO!P24</f>
        <v>8.1152867333675029</v>
      </c>
      <c r="L24" s="20">
        <f t="shared" si="17"/>
        <v>22.992308196203556</v>
      </c>
      <c r="O24" s="26" t="str">
        <f>+IF($B$3="esp","Portugal","Portugal")</f>
        <v>Portugal</v>
      </c>
      <c r="Q24" s="18">
        <f>+[1]SANTILLANA!K24</f>
        <v>-1.5269649999999999</v>
      </c>
      <c r="R24" s="19">
        <f>+[1]SANTILLANA!L24</f>
        <v>-2.1968350000000001</v>
      </c>
      <c r="S24" s="20">
        <f t="shared" si="18"/>
        <v>30.492503988692832</v>
      </c>
      <c r="U24" s="18">
        <f>+[1]SANTILLANA!O24</f>
        <v>-0.89585599999999987</v>
      </c>
      <c r="V24" s="19">
        <f>+[1]SANTILLANA!P24</f>
        <v>-1.345316</v>
      </c>
      <c r="W24" s="20">
        <f t="shared" si="19"/>
        <v>33.409251060717345</v>
      </c>
      <c r="Z24" s="17" t="str">
        <f>+IF($B$3="esp","Música","Music")</f>
        <v>Music</v>
      </c>
      <c r="AB24" s="18">
        <f>+[1]RADIO!K24</f>
        <v>-1.0914674469041601</v>
      </c>
      <c r="AC24" s="19">
        <f>+[1]RADIO!L24</f>
        <v>-1.6404411349379799</v>
      </c>
      <c r="AD24" s="20">
        <f t="shared" si="20"/>
        <v>33.465003793298251</v>
      </c>
      <c r="AF24" s="18">
        <f>+[1]RADIO!O24</f>
        <v>-0.2112322766618131</v>
      </c>
      <c r="AG24" s="19">
        <f>+[1]RADIO!P24</f>
        <v>-1.073347400267491</v>
      </c>
      <c r="AH24" s="20">
        <f t="shared" si="21"/>
        <v>80.320232143929218</v>
      </c>
    </row>
    <row r="25" spans="4:45" ht="15" customHeight="1">
      <c r="D25" s="26" t="str">
        <f>+IF($B$3="esp","Latam","Latam")</f>
        <v>Latam</v>
      </c>
      <c r="F25" s="18">
        <f>+[1]GRUPO!K25</f>
        <v>77.560625923920227</v>
      </c>
      <c r="G25" s="19">
        <f>+[1]GRUPO!L25</f>
        <v>53.757399394831253</v>
      </c>
      <c r="H25" s="20">
        <f t="shared" si="16"/>
        <v>44.278977028374705</v>
      </c>
      <c r="J25" s="18">
        <f>+[1]GRUPO!O25</f>
        <v>-9.2289166408623942</v>
      </c>
      <c r="K25" s="19">
        <f>+[1]GRUPO!P25</f>
        <v>-10.220317595520079</v>
      </c>
      <c r="L25" s="20">
        <f t="shared" si="17"/>
        <v>9.7002949799940694</v>
      </c>
      <c r="O25" s="26" t="str">
        <f>+IF($B$3="esp","Latam","Latam")</f>
        <v>Latam</v>
      </c>
      <c r="Q25" s="18">
        <f>+[1]SANTILLANA!K25</f>
        <v>71.393201517327597</v>
      </c>
      <c r="R25" s="19">
        <f>+[1]SANTILLANA!L25</f>
        <v>47.355435280831109</v>
      </c>
      <c r="S25" s="20">
        <f t="shared" si="18"/>
        <v>50.760311026486704</v>
      </c>
      <c r="U25" s="18">
        <f>+[1]SANTILLANA!O25</f>
        <v>-15.824764997244628</v>
      </c>
      <c r="V25" s="19">
        <f>+[1]SANTILLANA!P25</f>
        <v>-15.199379774479482</v>
      </c>
      <c r="W25" s="20">
        <f t="shared" si="19"/>
        <v>-4.1145443567059194</v>
      </c>
      <c r="Z25" s="17" t="str">
        <f>+IF($B$3="esp","Ajustes y Otros","Adjustments &amp; others")</f>
        <v>Adjustments &amp; others</v>
      </c>
      <c r="AB25" s="18">
        <f>+[1]RADIO!K25</f>
        <v>4.6629367034256575E-14</v>
      </c>
      <c r="AC25" s="19">
        <f>+[1]RADIO!L25</f>
        <v>-1.6358199998087741E-3</v>
      </c>
      <c r="AD25" s="20" t="str">
        <f t="shared" si="20"/>
        <v>---</v>
      </c>
      <c r="AF25" s="18">
        <f>+[1]RADIO!O25</f>
        <v>8.992806499463768E-14</v>
      </c>
      <c r="AG25" s="19">
        <f>+[1]RADIO!P25</f>
        <v>-6.1911999973873755E-4</v>
      </c>
      <c r="AH25" s="20" t="str">
        <f t="shared" si="21"/>
        <v>---</v>
      </c>
    </row>
    <row r="26" spans="4:45" s="22" customFormat="1" ht="15" customHeight="1">
      <c r="D26" s="30" t="str">
        <f>+IF($B$3="esp","Margen EBIT Ajustado","Adjusted EBIT Margin")</f>
        <v>Adjusted EBIT Margin</v>
      </c>
      <c r="F26" s="31">
        <f>+F21/F10</f>
        <v>0.14704849038153128</v>
      </c>
      <c r="G26" s="32">
        <f>+G21/G10</f>
        <v>8.6736015441060146E-2</v>
      </c>
      <c r="H26" s="33"/>
      <c r="J26" s="31">
        <f>+J21/J10</f>
        <v>8.4653848869842063E-2</v>
      </c>
      <c r="K26" s="32">
        <f>+K21/K10</f>
        <v>3.7787299104915191E-2</v>
      </c>
      <c r="L26" s="33"/>
      <c r="O26" s="30" t="str">
        <f>+IF($B$3="esp","Margen EBIT Ajustado","Adjusted EBIT Margin")</f>
        <v>Adjusted EBIT Margin</v>
      </c>
      <c r="Q26" s="31">
        <f>+Q21/Q10</f>
        <v>0.21580738824535653</v>
      </c>
      <c r="R26" s="32">
        <f>+R21/R10</f>
        <v>0.1338346292017854</v>
      </c>
      <c r="S26" s="33"/>
      <c r="U26" s="31">
        <f>+U21/U10</f>
        <v>6.3164263303079875E-4</v>
      </c>
      <c r="V26" s="32">
        <f>+V21/V10</f>
        <v>-6.858685297763914E-2</v>
      </c>
      <c r="W26" s="33"/>
      <c r="Z26" s="30" t="str">
        <f>+IF($B$3="esp","Margen EBIT Ajustado","Adjusted EBIT Margin")</f>
        <v>Adjusted EBIT Margin</v>
      </c>
      <c r="AB26" s="31">
        <f>+AB21/AB10</f>
        <v>0.14018337891570878</v>
      </c>
      <c r="AC26" s="32">
        <f>+AC21/AC10</f>
        <v>9.98342573744984E-2</v>
      </c>
      <c r="AD26" s="33"/>
      <c r="AF26" s="31">
        <f>+AF21/AF10</f>
        <v>0.2009385473088956</v>
      </c>
      <c r="AG26" s="32">
        <f>+AG21/AG10</f>
        <v>0.14454805166062559</v>
      </c>
      <c r="AH26" s="33"/>
    </row>
    <row r="28" spans="4:45">
      <c r="D28" s="9"/>
      <c r="F28" s="10">
        <v>2017</v>
      </c>
      <c r="G28" s="10">
        <v>2016</v>
      </c>
      <c r="H28" s="10" t="str">
        <f>+IF($B$3="esp","Var.%","% Chg.")</f>
        <v>% Chg.</v>
      </c>
      <c r="J28" s="10">
        <v>2017</v>
      </c>
      <c r="K28" s="10">
        <v>2016</v>
      </c>
      <c r="L28" s="10" t="str">
        <f>+IF($B$3="esp","Var.%","% Chg.")</f>
        <v>% Chg.</v>
      </c>
      <c r="O28" s="9"/>
      <c r="Q28" s="10">
        <v>2017</v>
      </c>
      <c r="R28" s="10">
        <v>2016</v>
      </c>
      <c r="S28" s="10" t="str">
        <f>+IF($B$3="esp","Var.%","% Chg.")</f>
        <v>% Chg.</v>
      </c>
      <c r="U28" s="10">
        <v>2017</v>
      </c>
      <c r="V28" s="10">
        <v>2016</v>
      </c>
      <c r="W28" s="10" t="str">
        <f>+IF($B$3="esp","Var.%","% Chg.")</f>
        <v>% Chg.</v>
      </c>
      <c r="Z28" s="9"/>
      <c r="AB28" s="10">
        <v>2017</v>
      </c>
      <c r="AC28" s="10">
        <v>2016</v>
      </c>
      <c r="AD28" s="10" t="str">
        <f>+IF($B$3="esp","Var.%","% Chg.")</f>
        <v>% Chg.</v>
      </c>
      <c r="AF28" s="10">
        <v>2017</v>
      </c>
      <c r="AG28" s="10">
        <v>2016</v>
      </c>
      <c r="AH28" s="10" t="str">
        <f>+IF($B$3="esp","Var.%","% Chg.")</f>
        <v>% Chg.</v>
      </c>
    </row>
    <row r="29" spans="4:45" ht="15.75" customHeight="1">
      <c r="D29" s="11" t="str">
        <f>+IF($B$3="esp","Resultados de Explotación Ajustados a tipo constante","Operating Adjusted Results at constant currency")</f>
        <v>Operating Adjusted Results at constant currency</v>
      </c>
      <c r="F29" s="12"/>
      <c r="G29" s="12"/>
      <c r="H29" s="12"/>
      <c r="J29" s="12"/>
      <c r="K29" s="12"/>
      <c r="L29" s="12"/>
      <c r="O29" s="11" t="str">
        <f>+IF($B$3="esp","Resultados de Explotación Ajustados a tipo constante","Operating Adjusted Results at constant currency")</f>
        <v>Operating Adjusted Results at constant currency</v>
      </c>
      <c r="Q29" s="12"/>
      <c r="R29" s="12"/>
      <c r="S29" s="12"/>
      <c r="U29" s="12"/>
      <c r="V29" s="12"/>
      <c r="W29" s="12"/>
      <c r="Z29" s="11" t="str">
        <f>+IF($B$3="esp","Resultados de Explotación Ajustados a tipo constante","Operating Adjusted Results at constant currency")</f>
        <v>Operating Adjusted Results at constant currency</v>
      </c>
      <c r="AB29" s="12"/>
      <c r="AC29" s="12"/>
      <c r="AD29" s="12"/>
      <c r="AF29" s="12"/>
      <c r="AG29" s="12"/>
      <c r="AH29" s="12"/>
    </row>
    <row r="30" spans="4:45" s="13" customFormat="1" ht="15" customHeight="1">
      <c r="D30" s="13" t="str">
        <f>+IF($B$3="esp","Ingresos de Explotación Ajustados a tipo constante","Operating Adjusted Revenues on constant currency")</f>
        <v>Operating Adjusted Revenues on constant currency</v>
      </c>
      <c r="F30" s="14">
        <f>+[1]GRUPO!K30</f>
        <v>639.70754368687392</v>
      </c>
      <c r="G30" s="15">
        <f>+[1]GRUPO!L30</f>
        <v>634.21128316419527</v>
      </c>
      <c r="H30" s="16">
        <f>IF(G30=0,"---",IF(OR(ABS((F30-G30)/ABS(G30))&gt;2,(F30*G30)&lt;0),"---",IF(G30="0","---",((F30-G30)/ABS(G30))*100)))</f>
        <v>0.86662925567278015</v>
      </c>
      <c r="J30" s="14">
        <f>+[1]GRUPO!O30</f>
        <v>296.45707557409293</v>
      </c>
      <c r="K30" s="15">
        <f>+[1]GRUPO!P30</f>
        <v>305.14645051163245</v>
      </c>
      <c r="L30" s="16">
        <f>IF(K30=0,"---",IF(OR(ABS((J30-K30)/ABS(K30))&gt;2,(J30*K30)&lt;0),"---",IF(K30="0","---",((J30-K30)/ABS(K30))*100)))</f>
        <v>-2.8476080658877856</v>
      </c>
      <c r="O30" s="13" t="str">
        <f>+IF($B$3="esp","Ingresos de Explotación Ajustados a tipo constante","Operating Adjusted Revenues on constant currency")</f>
        <v>Operating Adjusted Revenues on constant currency</v>
      </c>
      <c r="Q30" s="14">
        <f>+[1]SANTILLANA!K30</f>
        <v>305.17362495028601</v>
      </c>
      <c r="R30" s="15">
        <f>+[1]SANTILLANA!L30</f>
        <v>279.56067710785499</v>
      </c>
      <c r="S30" s="16">
        <f>IF(R30=0,"---",IF(OR(ABS((Q30-R30)/ABS(R30))&gt;2,(Q30*R30)&lt;0),"---",IF(R30="0","---",((Q30-R30)/ABS(R30))*100)))</f>
        <v>9.1618564196528638</v>
      </c>
      <c r="U30" s="14">
        <f>+[1]SANTILLANA!O30</f>
        <v>111.68058599617365</v>
      </c>
      <c r="V30" s="15">
        <f>+[1]SANTILLANA!P30</f>
        <v>111.23738252869299</v>
      </c>
      <c r="W30" s="16">
        <f>IF(V30=0,"---",IF(OR(ABS((U30-V30)/ABS(V30))&gt;2,(U30*V30)&lt;0),"---",IF(V30="0","---",((U30-V30)/ABS(V30))*100)))</f>
        <v>0.39843032747227375</v>
      </c>
      <c r="Z30" s="13" t="str">
        <f>+IF($B$3="esp","Ingresos de Explotación Ajustados a tipo constante","Operating Adjusted Revenues on constant currency")</f>
        <v>Operating Adjusted Revenues on constant currency</v>
      </c>
      <c r="AB30" s="14">
        <f>+[1]RADIO!K30</f>
        <v>144.59052022415582</v>
      </c>
      <c r="AC30" s="15">
        <f>+[1]RADIO!L30</f>
        <v>147.55747393425122</v>
      </c>
      <c r="AD30" s="16">
        <f>IF(AC30=0,"---",IF(OR(ABS((AB30-AC30)/ABS(AC30))&gt;2,(AB30*AC30)&lt;0),"---",IF(AC30="0","---",((AB30-AC30)/ABS(AC30))*100)))</f>
        <v>-2.0107105597493584</v>
      </c>
      <c r="AF30" s="14">
        <f>+[1]RADIO!O30</f>
        <v>80.564095111342198</v>
      </c>
      <c r="AG30" s="15">
        <f>+[1]RADIO!P30</f>
        <v>83.15586510116681</v>
      </c>
      <c r="AH30" s="16">
        <f>IF(AG30=0,"---",IF(OR(ABS((AF30-AG30)/ABS(AG30))&gt;2,(AF30*AG30)&lt;0),"---",IF(AG30="0","---",((AF30-AG30)/ABS(AG30))*100)))</f>
        <v>-3.1167615016348931</v>
      </c>
    </row>
    <row r="31" spans="4:45" ht="15" customHeight="1">
      <c r="D31" s="17" t="str">
        <f>+IF($B$3="esp","España","Spain")</f>
        <v>Spain</v>
      </c>
      <c r="F31" s="18">
        <f>+[1]GRUPO!K31</f>
        <v>244.9094167789172</v>
      </c>
      <c r="G31" s="19">
        <f>+[1]GRUPO!L31</f>
        <v>250.42243954133096</v>
      </c>
      <c r="H31" s="20">
        <f t="shared" ref="H31:H34" si="22">IF(G31=0,"---",IF(OR(ABS((F31-G31)/ABS(G31))&gt;2,(F31*G31)&lt;0),"---",IF(G31="0","---",((F31-G31)/ABS(G31))*100)))</f>
        <v>-2.2014891207478469</v>
      </c>
      <c r="J31" s="18">
        <f>+[1]GRUPO!O31</f>
        <v>151.67111356979268</v>
      </c>
      <c r="K31" s="19">
        <f>+[1]GRUPO!P31</f>
        <v>152.9600949794347</v>
      </c>
      <c r="L31" s="20">
        <f t="shared" ref="L31:L34" si="23">IF(K31=0,"---",IF(OR(ABS((J31-K31)/ABS(K31))&gt;2,(J31*K31)&lt;0),"---",IF(K31="0","---",((J31-K31)/ABS(K31))*100)))</f>
        <v>-0.84269129789395181</v>
      </c>
      <c r="O31" s="17" t="str">
        <f>+IF($B$3="esp","España","Spain")</f>
        <v>Spain</v>
      </c>
      <c r="Q31" s="18">
        <f>+[1]SANTILLANA!K31</f>
        <v>46.542836386892418</v>
      </c>
      <c r="R31" s="19">
        <f>+[1]SANTILLANA!L31</f>
        <v>40.085763811959538</v>
      </c>
      <c r="S31" s="20">
        <f t="shared" ref="S31:S34" si="24">IF(R31=0,"---",IF(OR(ABS((Q31-R31)/ABS(R31))&gt;2,(Q31*R31)&lt;0),"---",IF(R31="0","---",((Q31-R31)/ABS(R31))*100)))</f>
        <v>16.108144041417567</v>
      </c>
      <c r="U31" s="18">
        <f>+[1]SANTILLANA!O31</f>
        <v>42.85473820050953</v>
      </c>
      <c r="V31" s="19">
        <f>+[1]SANTILLANA!P31</f>
        <v>38.50679724503189</v>
      </c>
      <c r="W31" s="20">
        <f t="shared" ref="W31:W34" si="25">IF(V31=0,"---",IF(OR(ABS((U31-V31)/ABS(V31))&gt;2,(U31*V31)&lt;0),"---",IF(V31="0","---",((U31-V31)/ABS(V31))*100)))</f>
        <v>11.291359621030562</v>
      </c>
      <c r="Z31" s="17" t="str">
        <f>+IF($B$3="esp","España","Spain")</f>
        <v>Spain</v>
      </c>
      <c r="AB31" s="18">
        <f>+[1]RADIO!K31</f>
        <v>91.782332190000005</v>
      </c>
      <c r="AC31" s="19">
        <f>+[1]RADIO!L31</f>
        <v>89.961729489999996</v>
      </c>
      <c r="AD31" s="20">
        <f t="shared" ref="AD31:AD34" si="26">IF(AC31=0,"---",IF(OR(ABS((AB31-AC31)/ABS(AC31))&gt;2,(AB31*AC31)&lt;0),"---",IF(AC31="0","---",((AB31-AC31)/ABS(AC31))*100)))</f>
        <v>2.0237524448686641</v>
      </c>
      <c r="AF31" s="18">
        <f>+[1]RADIO!O31</f>
        <v>50.107936080000002</v>
      </c>
      <c r="AG31" s="19">
        <f>+[1]RADIO!P31</f>
        <v>49.899223230000004</v>
      </c>
      <c r="AH31" s="20">
        <f t="shared" ref="AH31:AH34" si="27">IF(AG31=0,"---",IF(OR(ABS((AF31-AG31)/ABS(AG31))&gt;2,(AF31*AG31)&lt;0),"---",IF(AG31="0","---",((AF31-AG31)/ABS(AG31))*100)))</f>
        <v>0.41826873544299403</v>
      </c>
    </row>
    <row r="32" spans="4:45" ht="15" customHeight="1">
      <c r="D32" s="17" t="str">
        <f>+IF($B$3="esp","Internacional","International")</f>
        <v>International</v>
      </c>
      <c r="F32" s="18">
        <f>+[1]GRUPO!K32</f>
        <v>394.79812690795677</v>
      </c>
      <c r="G32" s="19">
        <f>+[1]GRUPO!L32</f>
        <v>383.78884362286431</v>
      </c>
      <c r="H32" s="20">
        <f t="shared" si="22"/>
        <v>2.8685782476550825</v>
      </c>
      <c r="J32" s="18">
        <f>+[1]GRUPO!O32</f>
        <v>144.78596200430025</v>
      </c>
      <c r="K32" s="19">
        <f>+[1]GRUPO!P32</f>
        <v>152.18635553219775</v>
      </c>
      <c r="L32" s="20">
        <f t="shared" si="23"/>
        <v>-4.8627181471152454</v>
      </c>
      <c r="O32" s="17" t="str">
        <f>+IF($B$3="esp","Internacional","International")</f>
        <v>International</v>
      </c>
      <c r="Q32" s="18">
        <f>+[1]SANTILLANA!K32</f>
        <v>258.63078856339359</v>
      </c>
      <c r="R32" s="19">
        <f>+[1]SANTILLANA!L32</f>
        <v>239.47491329589545</v>
      </c>
      <c r="S32" s="20">
        <f t="shared" si="24"/>
        <v>7.9991156500928042</v>
      </c>
      <c r="U32" s="18">
        <f>+[1]SANTILLANA!O32</f>
        <v>68.825847795664117</v>
      </c>
      <c r="V32" s="19">
        <f>+[1]SANTILLANA!P32</f>
        <v>72.7305852836611</v>
      </c>
      <c r="W32" s="20">
        <f t="shared" si="25"/>
        <v>-5.3687695111593996</v>
      </c>
      <c r="Z32" s="17" t="str">
        <f>+IF($B$3="esp","Latam","Latam")</f>
        <v>Latam</v>
      </c>
      <c r="AB32" s="18">
        <f>+[1]RADIO!K32</f>
        <v>52.615874108126008</v>
      </c>
      <c r="AC32" s="19">
        <f>+[1]RADIO!L32</f>
        <v>54.09720919542243</v>
      </c>
      <c r="AD32" s="20">
        <f t="shared" si="26"/>
        <v>-2.738283747587055</v>
      </c>
      <c r="AF32" s="18">
        <f>+[1]RADIO!O32</f>
        <v>29.536717377568589</v>
      </c>
      <c r="AG32" s="19">
        <f>+[1]RADIO!P32</f>
        <v>29.765719138717525</v>
      </c>
      <c r="AH32" s="20">
        <f t="shared" si="27"/>
        <v>-0.76934731555356206</v>
      </c>
    </row>
    <row r="33" spans="4:56" ht="15" customHeight="1">
      <c r="D33" s="26" t="str">
        <f>+IF($B$3="esp","Portugal","Portugal")</f>
        <v>Portugal</v>
      </c>
      <c r="F33" s="18">
        <f>+[1]GRUPO!K33</f>
        <v>78.599503259999992</v>
      </c>
      <c r="G33" s="19">
        <f>+[1]GRUPO!L33</f>
        <v>84.223316159999996</v>
      </c>
      <c r="H33" s="20">
        <f t="shared" si="22"/>
        <v>-6.6772636799486529</v>
      </c>
      <c r="J33" s="18">
        <f>+[1]GRUPO!O33</f>
        <v>43.704104999999991</v>
      </c>
      <c r="K33" s="19">
        <f>+[1]GRUPO!P33</f>
        <v>45.741188370000003</v>
      </c>
      <c r="L33" s="20">
        <f t="shared" si="23"/>
        <v>-4.4534990073324403</v>
      </c>
      <c r="O33" s="26" t="str">
        <f>+IF($B$3="esp","Portugal","Portugal")</f>
        <v>Portugal</v>
      </c>
      <c r="Q33" s="18">
        <f>+[1]SANTILLANA!K33</f>
        <v>6.8078E-2</v>
      </c>
      <c r="R33" s="19">
        <f>+[1]SANTILLANA!L33</f>
        <v>6.8129999999999996E-2</v>
      </c>
      <c r="S33" s="20">
        <f t="shared" si="24"/>
        <v>-7.6324673418459554E-2</v>
      </c>
      <c r="U33" s="18">
        <f>+[1]SANTILLANA!O33</f>
        <v>2.1530000000000001E-2</v>
      </c>
      <c r="V33" s="19">
        <f>+[1]SANTILLANA!P33</f>
        <v>3.5861999999999998E-2</v>
      </c>
      <c r="W33" s="20">
        <f t="shared" si="25"/>
        <v>-39.964307623668503</v>
      </c>
      <c r="Z33" s="17" t="str">
        <f>+IF($B$3="esp","Música","Music")</f>
        <v>Music</v>
      </c>
      <c r="AB33" s="18">
        <f>+[1]RADIO!K33</f>
        <v>4.6213255884959006</v>
      </c>
      <c r="AC33" s="19">
        <f>+[1]RADIO!L33</f>
        <v>8.0880366722796797</v>
      </c>
      <c r="AD33" s="20">
        <f t="shared" si="26"/>
        <v>-42.862207779859858</v>
      </c>
      <c r="AF33" s="18">
        <f>+[1]RADIO!O33</f>
        <v>3.3425437614047815</v>
      </c>
      <c r="AG33" s="19">
        <f>+[1]RADIO!P33</f>
        <v>5.87998771143869</v>
      </c>
      <c r="AH33" s="20">
        <f t="shared" si="27"/>
        <v>-43.153898861007271</v>
      </c>
    </row>
    <row r="34" spans="4:56" ht="15" customHeight="1">
      <c r="D34" s="26" t="str">
        <f>+IF($B$3="esp","Latam","Latam")</f>
        <v>Latam</v>
      </c>
      <c r="F34" s="18">
        <f>+[1]GRUPO!K34</f>
        <v>316.19862364795677</v>
      </c>
      <c r="G34" s="19">
        <f>+[1]GRUPO!L34</f>
        <v>299.56552746286428</v>
      </c>
      <c r="H34" s="20">
        <f t="shared" si="22"/>
        <v>5.5524066223388839</v>
      </c>
      <c r="J34" s="18">
        <f>+[1]GRUPO!O34</f>
        <v>101.08185700430028</v>
      </c>
      <c r="K34" s="19">
        <f>+[1]GRUPO!P34</f>
        <v>106.44516716219775</v>
      </c>
      <c r="L34" s="20">
        <f t="shared" si="23"/>
        <v>-5.0385661471366117</v>
      </c>
      <c r="O34" s="26" t="str">
        <f>+IF($B$3="esp","Latam","Latam")</f>
        <v>Latam</v>
      </c>
      <c r="Q34" s="18">
        <f>+[1]SANTILLANA!K34</f>
        <v>258.56271056339358</v>
      </c>
      <c r="R34" s="19">
        <f>+[1]SANTILLANA!L34</f>
        <v>239.40678329589545</v>
      </c>
      <c r="S34" s="20">
        <f t="shared" si="24"/>
        <v>8.0014137460016368</v>
      </c>
      <c r="U34" s="18">
        <f>+[1]SANTILLANA!O34</f>
        <v>68.804317795664105</v>
      </c>
      <c r="V34" s="19">
        <f>+[1]SANTILLANA!P34</f>
        <v>72.694723283661091</v>
      </c>
      <c r="W34" s="20">
        <f t="shared" si="25"/>
        <v>-5.3517027265050423</v>
      </c>
      <c r="Z34" s="17" t="str">
        <f>+IF($B$3="esp","Ajustes y Otros","Adjustments &amp; others")</f>
        <v>Adjustments &amp; others</v>
      </c>
      <c r="AB34" s="18">
        <f>+[1]RADIO!K34</f>
        <v>-4.4290116624660891</v>
      </c>
      <c r="AC34" s="19">
        <f>+[1]RADIO!L34</f>
        <v>-4.5895014234508853</v>
      </c>
      <c r="AD34" s="20">
        <f t="shared" si="26"/>
        <v>3.4968887941671571</v>
      </c>
      <c r="AF34" s="18">
        <f>+[1]RADIO!O34</f>
        <v>-2.4231021076311747</v>
      </c>
      <c r="AG34" s="19">
        <f>+[1]RADIO!P34</f>
        <v>-2.3890649789894089</v>
      </c>
      <c r="AH34" s="20">
        <f t="shared" si="27"/>
        <v>-1.4247050181181644</v>
      </c>
    </row>
    <row r="35" spans="4:56" s="13" customFormat="1" ht="15" customHeight="1">
      <c r="D35" s="13" t="str">
        <f>+IF($B$3="esp","EBITDA Ajustado a tipo constante","Adjusted EBITDA on constant currency")</f>
        <v>Adjusted EBITDA on constant currency</v>
      </c>
      <c r="F35" s="14">
        <f>+[1]GRUPO!K35</f>
        <v>124.87186670490678</v>
      </c>
      <c r="G35" s="15">
        <f>+[1]GRUPO!L35</f>
        <v>97.017115667108172</v>
      </c>
      <c r="H35" s="16">
        <f>IF(G35=0,"---",IF(OR(ABS((F35-G35)/ABS(G35))&gt;2,(F35*G35)&lt;0),"---",IF(G35="0","---",((F35-G35)/ABS(G35))*100)))</f>
        <v>28.711172091918041</v>
      </c>
      <c r="J35" s="14">
        <f>+[1]GRUPO!O35</f>
        <v>44.687160163182057</v>
      </c>
      <c r="K35" s="15">
        <f>+[1]GRUPO!P35</f>
        <v>37.34881100916796</v>
      </c>
      <c r="L35" s="16">
        <f>IF(K35=0,"---",IF(OR(ABS((J35-K35)/ABS(K35))&gt;2,(J35*K35)&lt;0),"---",IF(K35="0","---",((J35-K35)/ABS(K35))*100)))</f>
        <v>19.64814663634878</v>
      </c>
      <c r="O35" s="13" t="str">
        <f>+IF($B$3="esp","EBITDA Ajustado a tipo constante","Adjusted EBITDA on constant currency")</f>
        <v>Adjusted EBITDA on constant currency</v>
      </c>
      <c r="Q35" s="14">
        <f>+[1]SANTILLANA!K35</f>
        <v>83.472559084810058</v>
      </c>
      <c r="R35" s="15">
        <f>+[1]SANTILLANA!L35</f>
        <v>62.810437481172734</v>
      </c>
      <c r="S35" s="16">
        <f>IF(R35=0,"---",IF(OR(ABS((Q35-R35)/ABS(R35))&gt;2,(Q35*R35)&lt;0),"---",IF(R35="0","---",((Q35-R35)/ABS(R35))*100)))</f>
        <v>32.89600014301881</v>
      </c>
      <c r="U35" s="14">
        <f>+[1]SANTILLANA!O35</f>
        <v>12.767570525447837</v>
      </c>
      <c r="V35" s="15">
        <f>+[1]SANTILLANA!P35</f>
        <v>9.941912374071336</v>
      </c>
      <c r="W35" s="16">
        <f>IF(V35=0,"---",IF(OR(ABS((U35-V35)/ABS(V35))&gt;2,(U35*V35)&lt;0),"---",IF(V35="0","---",((U35-V35)/ABS(V35))*100)))</f>
        <v>28.421676283788845</v>
      </c>
      <c r="Z35" s="13" t="str">
        <f>+IF($B$3="esp","EBITDA Ajustado a tipo constante","Adjusted EBITDA on constant currency")</f>
        <v>Adjusted EBITDA on constant currency</v>
      </c>
      <c r="AB35" s="14">
        <f>+[1]RADIO!K35</f>
        <v>25.706501445412147</v>
      </c>
      <c r="AC35" s="15">
        <f>+[1]RADIO!L35</f>
        <v>20.533552339945825</v>
      </c>
      <c r="AD35" s="16">
        <f>IF(AC35=0,"---",IF(OR(ABS((AB35-AC35)/ABS(AC35))&gt;2,(AB35*AC35)&lt;0),"---",IF(AC35="0","---",((AB35-AC35)/ABS(AC35))*100)))</f>
        <v>25.192665252582259</v>
      </c>
      <c r="AF35" s="14">
        <f>+[1]RADIO!O35</f>
        <v>18.513458807914638</v>
      </c>
      <c r="AG35" s="15">
        <f>+[1]RADIO!P35</f>
        <v>15.431484919576464</v>
      </c>
      <c r="AH35" s="16">
        <f>IF(AG35=0,"---",IF(OR(ABS((AF35-AG35)/ABS(AG35))&gt;2,(AF35*AG35)&lt;0),"---",IF(AG35="0","---",((AF35-AG35)/ABS(AG35))*100)))</f>
        <v>19.971985226310697</v>
      </c>
    </row>
    <row r="36" spans="4:56" ht="15" customHeight="1">
      <c r="D36" s="17" t="str">
        <f>+IF($B$3="esp","España","Spain")</f>
        <v>Spain</v>
      </c>
      <c r="F36" s="18">
        <f>+[1]GRUPO!K36</f>
        <v>15.661488456162465</v>
      </c>
      <c r="G36" s="19">
        <f>+[1]GRUPO!L36</f>
        <v>2.892460559007799</v>
      </c>
      <c r="H36" s="20" t="str">
        <f t="shared" ref="H36:H39" si="28">IF(G36=0,"---",IF(OR(ABS((F36-G36)/ABS(G36))&gt;2,(F36*G36)&lt;0),"---",IF(G36="0","---",((F36-G36)/ABS(G36))*100)))</f>
        <v>---</v>
      </c>
      <c r="J36" s="18">
        <f>+[1]GRUPO!O36</f>
        <v>29.101882289999892</v>
      </c>
      <c r="K36" s="19">
        <f>+[1]GRUPO!P36</f>
        <v>20.7855501421664</v>
      </c>
      <c r="L36" s="20">
        <f t="shared" ref="L36:L39" si="29">IF(K36=0,"---",IF(OR(ABS((J36-K36)/ABS(K36))&gt;2,(J36*K36)&lt;0),"---",IF(K36="0","---",((J36-K36)/ABS(K36))*100)))</f>
        <v>40.010161342627384</v>
      </c>
      <c r="O36" s="17" t="str">
        <f>+IF($B$3="esp","España","Spain")</f>
        <v>Spain</v>
      </c>
      <c r="Q36" s="18">
        <f>+[1]SANTILLANA!K36</f>
        <v>2.3653616399990653</v>
      </c>
      <c r="R36" s="19">
        <f>+[1]SANTILLANA!L36</f>
        <v>-5.5340849207011118</v>
      </c>
      <c r="S36" s="20" t="str">
        <f t="shared" ref="S36:S39" si="30">IF(R36=0,"---",IF(OR(ABS((Q36-R36)/ABS(R36))&gt;2,(Q36*R36)&lt;0),"---",IF(R36="0","---",((Q36-R36)/ABS(R36))*100)))</f>
        <v>---</v>
      </c>
      <c r="U36" s="18">
        <f>+[1]SANTILLANA!O36</f>
        <v>17.509033509998929</v>
      </c>
      <c r="V36" s="19">
        <f>+[1]SANTILLANA!P36</f>
        <v>10.793829693366774</v>
      </c>
      <c r="W36" s="20">
        <f t="shared" ref="W36:W39" si="31">IF(V36=0,"---",IF(OR(ABS((U36-V36)/ABS(V36))&gt;2,(U36*V36)&lt;0),"---",IF(V36="0","---",((U36-V36)/ABS(V36))*100)))</f>
        <v>62.213357143840312</v>
      </c>
      <c r="Z36" s="17" t="str">
        <f>+IF($B$3="esp","España","Spain")</f>
        <v>Spain</v>
      </c>
      <c r="AB36" s="18">
        <f>+[1]RADIO!K36</f>
        <v>14.293106669999903</v>
      </c>
      <c r="AC36" s="19">
        <f>+[1]RADIO!L36</f>
        <v>10.599271490000001</v>
      </c>
      <c r="AD36" s="20">
        <f t="shared" ref="AD36:AD39" si="32">IF(AC36=0,"---",IF(OR(ABS((AB36-AC36)/ABS(AC36))&gt;2,(AB36*AC36)&lt;0),"---",IF(AC36="0","---",((AB36-AC36)/ABS(AC36))*100)))</f>
        <v>34.849896839465714</v>
      </c>
      <c r="AF36" s="18">
        <f>+[1]RADIO!O36</f>
        <v>9.8145030499998622</v>
      </c>
      <c r="AG36" s="19">
        <f>+[1]RADIO!P36</f>
        <v>8.530332389999991</v>
      </c>
      <c r="AH36" s="20">
        <f t="shared" ref="AH36:AH39" si="33">IF(AG36=0,"---",IF(OR(ABS((AF36-AG36)/ABS(AG36))&gt;2,(AF36*AG36)&lt;0),"---",IF(AG36="0","---",((AF36-AG36)/ABS(AG36))*100)))</f>
        <v>15.054169067377604</v>
      </c>
    </row>
    <row r="37" spans="4:56" ht="15" customHeight="1">
      <c r="D37" s="17" t="str">
        <f>+IF($B$3="esp","Internacional","International")</f>
        <v>International</v>
      </c>
      <c r="F37" s="18">
        <f>+[1]GRUPO!K37</f>
        <v>109.21037824874431</v>
      </c>
      <c r="G37" s="19">
        <f>+[1]GRUPO!L37</f>
        <v>94.12465510810037</v>
      </c>
      <c r="H37" s="20">
        <f t="shared" si="28"/>
        <v>16.027387429274796</v>
      </c>
      <c r="J37" s="18">
        <f>+[1]GRUPO!O37</f>
        <v>15.58527787318215</v>
      </c>
      <c r="K37" s="19">
        <f>+[1]GRUPO!P37</f>
        <v>16.563260867001546</v>
      </c>
      <c r="L37" s="20">
        <f t="shared" si="29"/>
        <v>-5.9045317324428535</v>
      </c>
      <c r="O37" s="17" t="str">
        <f>+IF($B$3="esp","Internacional","International")</f>
        <v>International</v>
      </c>
      <c r="Q37" s="18">
        <f>+[1]SANTILLANA!K37</f>
        <v>81.107197444810993</v>
      </c>
      <c r="R37" s="19">
        <f>+[1]SANTILLANA!L37</f>
        <v>68.344522401873846</v>
      </c>
      <c r="S37" s="20">
        <f t="shared" si="30"/>
        <v>18.674027697334854</v>
      </c>
      <c r="U37" s="18">
        <f>+[1]SANTILLANA!O37</f>
        <v>-4.7414629845510916</v>
      </c>
      <c r="V37" s="19">
        <f>+[1]SANTILLANA!P37</f>
        <v>-0.85191731929543835</v>
      </c>
      <c r="W37" s="20" t="str">
        <f t="shared" si="31"/>
        <v>---</v>
      </c>
      <c r="Z37" s="17" t="str">
        <f>+IF($B$3="esp","Latam","Latam")</f>
        <v>Latam</v>
      </c>
      <c r="AB37" s="18">
        <f>+[1]RADIO!K37</f>
        <v>12.077946766581082</v>
      </c>
      <c r="AC37" s="19">
        <f>+[1]RADIO!L37</f>
        <v>10.641162126883563</v>
      </c>
      <c r="AD37" s="20">
        <f t="shared" si="32"/>
        <v>13.502140297887793</v>
      </c>
      <c r="AF37" s="18">
        <f>+[1]RADIO!O37</f>
        <v>8.824066686049699</v>
      </c>
      <c r="AG37" s="19">
        <f>+[1]RADIO!P37</f>
        <v>7.054880431843662</v>
      </c>
      <c r="AH37" s="20">
        <f t="shared" si="33"/>
        <v>25.077480352756215</v>
      </c>
    </row>
    <row r="38" spans="4:56" ht="15" customHeight="1">
      <c r="D38" s="26" t="str">
        <f>+IF($B$3="esp","Portugal","Portugal")</f>
        <v>Portugal</v>
      </c>
      <c r="F38" s="18">
        <f>+[1]GRUPO!K38</f>
        <v>16.648528820557797</v>
      </c>
      <c r="G38" s="19">
        <f>+[1]GRUPO!L38</f>
        <v>15.327484989312605</v>
      </c>
      <c r="H38" s="20">
        <f t="shared" si="28"/>
        <v>8.6187905724019007</v>
      </c>
      <c r="J38" s="18">
        <f>+[1]GRUPO!O38</f>
        <v>11.651482520108976</v>
      </c>
      <c r="K38" s="19">
        <f>+[1]GRUPO!P38</f>
        <v>10.097240093367507</v>
      </c>
      <c r="L38" s="20">
        <f t="shared" si="29"/>
        <v>15.392745070629665</v>
      </c>
      <c r="O38" s="26" t="str">
        <f>+IF($B$3="esp","Portugal","Portugal")</f>
        <v>Portugal</v>
      </c>
      <c r="Q38" s="18">
        <f>+[1]SANTILLANA!K38</f>
        <v>-1.522232</v>
      </c>
      <c r="R38" s="19">
        <f>+[1]SANTILLANA!L38</f>
        <v>-2.2066210000000002</v>
      </c>
      <c r="S38" s="20">
        <f t="shared" si="30"/>
        <v>31.015249107118986</v>
      </c>
      <c r="U38" s="18">
        <f>+[1]SANTILLANA!O38</f>
        <v>-0.89333200000000001</v>
      </c>
      <c r="V38" s="19">
        <f>+[1]SANTILLANA!P38</f>
        <v>-1.3391630000000001</v>
      </c>
      <c r="W38" s="20">
        <f t="shared" si="31"/>
        <v>33.291765080128414</v>
      </c>
      <c r="Z38" s="17" t="str">
        <f>+IF($B$3="esp","Música","Music")</f>
        <v>Music</v>
      </c>
      <c r="AB38" s="18">
        <f>+[1]RADIO!K38</f>
        <v>-0.66455199116904784</v>
      </c>
      <c r="AC38" s="19">
        <f>+[1]RADIO!L38</f>
        <v>-0.70524545693798102</v>
      </c>
      <c r="AD38" s="20">
        <f t="shared" si="32"/>
        <v>5.7701138473993376</v>
      </c>
      <c r="AF38" s="18">
        <f>+[1]RADIO!O38</f>
        <v>-0.12511092813522584</v>
      </c>
      <c r="AG38" s="19">
        <f>+[1]RADIO!P38</f>
        <v>-0.15310878226749103</v>
      </c>
      <c r="AH38" s="20">
        <f t="shared" si="33"/>
        <v>18.286249630900407</v>
      </c>
    </row>
    <row r="39" spans="4:56" ht="15" customHeight="1">
      <c r="D39" s="26" t="str">
        <f>+IF($B$3="esp","Latam","Latam")</f>
        <v>Latam</v>
      </c>
      <c r="F39" s="18">
        <f>+[1]GRUPO!K39</f>
        <v>92.561849428186505</v>
      </c>
      <c r="G39" s="19">
        <f>+[1]GRUPO!L39</f>
        <v>78.797170118787761</v>
      </c>
      <c r="H39" s="20">
        <f t="shared" si="28"/>
        <v>17.468494475941597</v>
      </c>
      <c r="J39" s="18">
        <f>+[1]GRUPO!O39</f>
        <v>3.9337953530731795</v>
      </c>
      <c r="K39" s="19">
        <f>+[1]GRUPO!P39</f>
        <v>6.4660207736340425</v>
      </c>
      <c r="L39" s="20">
        <f t="shared" si="29"/>
        <v>-39.162036578761224</v>
      </c>
      <c r="O39" s="26" t="str">
        <f>+IF($B$3="esp","Latam","Latam")</f>
        <v>Latam</v>
      </c>
      <c r="Q39" s="18">
        <f>+[1]SANTILLANA!K39</f>
        <v>82.629429444810995</v>
      </c>
      <c r="R39" s="19">
        <f>+[1]SANTILLANA!L39</f>
        <v>70.551143401873844</v>
      </c>
      <c r="S39" s="20">
        <f t="shared" si="30"/>
        <v>17.119901195841358</v>
      </c>
      <c r="U39" s="18">
        <f>+[1]SANTILLANA!O39</f>
        <v>-3.8481309845510907</v>
      </c>
      <c r="V39" s="19">
        <f>+[1]SANTILLANA!P39</f>
        <v>0.48724568070456087</v>
      </c>
      <c r="W39" s="20" t="str">
        <f t="shared" si="31"/>
        <v>---</v>
      </c>
      <c r="Z39" s="17" t="str">
        <f>+IF($B$3="esp","Ajustes y Otros","Adjustments &amp; others")</f>
        <v>Adjustments &amp; others</v>
      </c>
      <c r="AB39" s="18">
        <f>+[1]RADIO!K39</f>
        <v>2.1072033007385471E-13</v>
      </c>
      <c r="AC39" s="19">
        <f>+[1]RADIO!L39</f>
        <v>-1.635819999758481E-3</v>
      </c>
      <c r="AD39" s="20" t="str">
        <f t="shared" si="32"/>
        <v>---</v>
      </c>
      <c r="AF39" s="18">
        <f>+[1]RADIO!O39</f>
        <v>3.0420110874729289E-13</v>
      </c>
      <c r="AG39" s="19">
        <f>+[1]RADIO!P39</f>
        <v>-6.1911999969876952E-4</v>
      </c>
      <c r="AH39" s="20" t="str">
        <f t="shared" si="33"/>
        <v>---</v>
      </c>
    </row>
    <row r="40" spans="4:56" s="22" customFormat="1" ht="15" customHeight="1">
      <c r="D40" s="21" t="str">
        <f>+IF($B$3="esp","Margen EBITDA Ajustado","Adjusted EBITDA Margin")</f>
        <v>Adjusted EBITDA Margin</v>
      </c>
      <c r="F40" s="27">
        <f>+F35/F30</f>
        <v>0.19520149158351877</v>
      </c>
      <c r="G40" s="28">
        <f>+G35/G30</f>
        <v>0.15297286289684436</v>
      </c>
      <c r="H40" s="29"/>
      <c r="J40" s="27">
        <f>+J35/J30</f>
        <v>0.15073737092172551</v>
      </c>
      <c r="K40" s="28">
        <f>+K35/K30</f>
        <v>0.12239634754573096</v>
      </c>
      <c r="L40" s="29"/>
      <c r="O40" s="21" t="str">
        <f>+IF($B$3="esp","Margen EBITDA Ajustado","Adjusted EBITDA Margin")</f>
        <v>Adjusted EBITDA Margin</v>
      </c>
      <c r="Q40" s="27">
        <f>+Q35/Q30</f>
        <v>0.27352481427059128</v>
      </c>
      <c r="R40" s="28">
        <f>+R35/R30</f>
        <v>0.22467550919881468</v>
      </c>
      <c r="S40" s="29"/>
      <c r="U40" s="27">
        <f>+U35/U30</f>
        <v>0.11432220212280471</v>
      </c>
      <c r="V40" s="28">
        <f>+V35/V30</f>
        <v>8.9375641066589115E-2</v>
      </c>
      <c r="W40" s="29"/>
      <c r="Z40" s="21" t="str">
        <f>+IF($B$3="esp","Margen EBITDA Ajustado","Adjusted EBITDA Margin")</f>
        <v>Adjusted EBITDA Margin</v>
      </c>
      <c r="AB40" s="27">
        <f>+AB35/AB30</f>
        <v>0.17778829072307001</v>
      </c>
      <c r="AC40" s="28">
        <f>+AC35/AC30</f>
        <v>0.13915630155809783</v>
      </c>
      <c r="AD40" s="29"/>
      <c r="AF40" s="27">
        <f>+AF35/AF30</f>
        <v>0.22979788679222968</v>
      </c>
      <c r="AG40" s="28">
        <f>+AG35/AG30</f>
        <v>0.18557301882197527</v>
      </c>
      <c r="AH40" s="29"/>
    </row>
    <row r="41" spans="4:56" s="13" customFormat="1" ht="15" customHeight="1">
      <c r="D41" s="13" t="str">
        <f>+IF($B$3="esp","EBIT Ajustado a tipo constante","Adjusted EBIT on constant currency")</f>
        <v>Adjusted EBIT on constant currency</v>
      </c>
      <c r="F41" s="14">
        <f>+[1]GRUPO!K41</f>
        <v>88.836534324449019</v>
      </c>
      <c r="G41" s="15">
        <f>+[1]GRUPO!L41</f>
        <v>55.008959649424213</v>
      </c>
      <c r="H41" s="16">
        <f>IF(G41=0,"---",IF(OR(ABS((F41-G41)/ABS(G41))&gt;2,(F41*G41)&lt;0),"---",IF(G41="0","---",((F41-G41)/ABS(G41))*100)))</f>
        <v>61.494663579551776</v>
      </c>
      <c r="J41" s="14">
        <f>+[1]GRUPO!O41</f>
        <v>27.036717182058212</v>
      </c>
      <c r="K41" s="15">
        <f>+[1]GRUPO!P41</f>
        <v>11.530660196286256</v>
      </c>
      <c r="L41" s="16">
        <f>IF(K41=0,"---",IF(OR(ABS((J41-K41)/ABS(K41))&gt;2,(J41*K41)&lt;0),"---",IF(K41="0","---",((J41-K41)/ABS(K41))*100)))</f>
        <v>134.47674913502419</v>
      </c>
      <c r="O41" s="13" t="str">
        <f>+IF($B$3="esp","EBIT Ajustado a tipo constante","Adjusted EBIT on constant currency")</f>
        <v>Adjusted EBIT on constant currency</v>
      </c>
      <c r="Q41" s="14">
        <f>+[1]SANTILLANA!K41</f>
        <v>61.754153153121592</v>
      </c>
      <c r="R41" s="15">
        <f>+[1]SANTILLANA!L41</f>
        <v>37.414899560129832</v>
      </c>
      <c r="S41" s="16">
        <f>IF(R41=0,"---",IF(OR(ABS((Q41-R41)/ABS(R41))&gt;2,(Q41*R41)&lt;0),"---",IF(R41="0","---",((Q41-R41)/ABS(R41))*100)))</f>
        <v>65.052302369209684</v>
      </c>
      <c r="U41" s="14">
        <f>+[1]SANTILLANA!O41</f>
        <v>1.9603914170867824</v>
      </c>
      <c r="V41" s="15">
        <f>+[1]SANTILLANA!P41</f>
        <v>-7.6294220011128715</v>
      </c>
      <c r="W41" s="16" t="str">
        <f>IF(V41=0,"---",IF(OR(ABS((U41-V41)/ABS(V41))&gt;2,(U41*V41)&lt;0),"---",IF(V41="0","---",((U41-V41)/ABS(V41))*100)))</f>
        <v>---</v>
      </c>
      <c r="Z41" s="13" t="str">
        <f>+IF($B$3="esp","EBIT Ajustado a tipo constante","Adjusted EBIT on constant currency")</f>
        <v>Adjusted EBIT on constant currency</v>
      </c>
      <c r="AB41" s="14">
        <f>+[1]RADIO!K41</f>
        <v>20.536773866987069</v>
      </c>
      <c r="AC41" s="15">
        <f>+[1]RADIO!L41</f>
        <v>14.731290830282875</v>
      </c>
      <c r="AD41" s="16">
        <f>IF(AC41=0,"---",IF(OR(ABS((AB41-AC41)/ABS(AC41))&gt;2,(AB41*AC41)&lt;0),"---",IF(AC41="0","---",((AB41-AC41)/ABS(AC41))*100)))</f>
        <v>39.409194371276392</v>
      </c>
      <c r="AF41" s="14">
        <f>+[1]RADIO!O41</f>
        <v>16.196698058330394</v>
      </c>
      <c r="AG41" s="15">
        <f>+[1]RADIO!P41</f>
        <v>12.020018284527472</v>
      </c>
      <c r="AH41" s="16">
        <f>IF(AG41=0,"---",IF(OR(ABS((AF41-AG41)/ABS(AG41))&gt;2,(AF41*AG41)&lt;0),"---",IF(AG41="0","---",((AF41-AG41)/ABS(AG41))*100)))</f>
        <v>34.747699004578635</v>
      </c>
    </row>
    <row r="42" spans="4:56" ht="15" customHeight="1">
      <c r="D42" s="17" t="str">
        <f>+IF($B$3="esp","España","Spain")</f>
        <v>Spain</v>
      </c>
      <c r="F42" s="18">
        <f>+[1]GRUPO!K42</f>
        <v>6.7899873501747354</v>
      </c>
      <c r="G42" s="19">
        <f>+[1]GRUPO!L42</f>
        <v>-10.331715524719643</v>
      </c>
      <c r="H42" s="20" t="str">
        <f t="shared" ref="H42:H45" si="34">IF(G42=0,"---",IF(OR(ABS((F42-G42)/ABS(G42))&gt;2,(F42*G42)&lt;0),"---",IF(G42="0","---",((F42-G42)/ABS(G42))*100)))</f>
        <v>---</v>
      </c>
      <c r="J42" s="18">
        <f>+[1]GRUPO!O42</f>
        <v>24.460212899999952</v>
      </c>
      <c r="K42" s="19">
        <f>+[1]GRUPO!P42</f>
        <v>13.635691058438825</v>
      </c>
      <c r="L42" s="20">
        <f t="shared" ref="L42:L45" si="35">IF(K42=0,"---",IF(OR(ABS((J42-K42)/ABS(K42))&gt;2,(J42*K42)&lt;0),"---",IF(K42="0","---",((J42-K42)/ABS(K42))*100)))</f>
        <v>79.383742233306705</v>
      </c>
      <c r="O42" s="17" t="str">
        <f>+IF($B$3="esp","España","Spain")</f>
        <v>Spain</v>
      </c>
      <c r="Q42" s="18">
        <f>+[1]SANTILLANA!K42</f>
        <v>0.9232231099989292</v>
      </c>
      <c r="R42" s="19">
        <f>+[1]SANTILLANA!L42</f>
        <v>-7.7437007207012769</v>
      </c>
      <c r="S42" s="20" t="str">
        <f t="shared" ref="S42:S45" si="36">IF(R42=0,"---",IF(OR(ABS((Q42-R42)/ABS(R42))&gt;2,(Q42*R42)&lt;0),"---",IF(R42="0","---",((Q42-R42)/ABS(R42))*100)))</f>
        <v>---</v>
      </c>
      <c r="U42" s="18">
        <f>+[1]SANTILLANA!O42</f>
        <v>16.791630709998913</v>
      </c>
      <c r="V42" s="19">
        <f>+[1]SANTILLANA!P42</f>
        <v>8.9152737733666072</v>
      </c>
      <c r="W42" s="20">
        <f t="shared" ref="W42:W45" si="37">IF(V42=0,"---",IF(OR(ABS((U42-V42)/ABS(V42))&gt;2,(U42*V42)&lt;0),"---",IF(V42="0","---",((U42-V42)/ABS(V42))*100)))</f>
        <v>88.346775846211798</v>
      </c>
      <c r="Z42" s="17" t="str">
        <f>+IF($B$3="esp","España","Spain")</f>
        <v>Spain</v>
      </c>
      <c r="AB42" s="18">
        <f>+[1]RADIO!K42</f>
        <v>11.501285419999899</v>
      </c>
      <c r="AC42" s="19">
        <f>+[1]RADIO!L42</f>
        <v>7.4240472400000002</v>
      </c>
      <c r="AD42" s="20">
        <f t="shared" ref="AD42:AD45" si="38">IF(AC42=0,"---",IF(OR(ABS((AB42-AC42)/ABS(AC42))&gt;2,(AB42*AC42)&lt;0),"---",IF(AC42="0","---",((AB42-AC42)/ABS(AC42))*100)))</f>
        <v>54.919345852652455</v>
      </c>
      <c r="AF42" s="18">
        <f>+[1]RADIO!O42</f>
        <v>8.6980054899998294</v>
      </c>
      <c r="AG42" s="19">
        <f>+[1]RADIO!P42</f>
        <v>6.95545900999997</v>
      </c>
      <c r="AH42" s="20">
        <f t="shared" ref="AH42:AH45" si="39">IF(AG42=0,"---",IF(OR(ABS((AF42-AG42)/ABS(AG42))&gt;2,(AF42*AG42)&lt;0),"---",IF(AG42="0","---",((AF42-AG42)/ABS(AG42))*100)))</f>
        <v>25.052932919230397</v>
      </c>
    </row>
    <row r="43" spans="4:56" ht="15" customHeight="1">
      <c r="D43" s="17" t="str">
        <f>+IF($B$3="esp","Internacional","International")</f>
        <v>International</v>
      </c>
      <c r="F43" s="18">
        <f>+[1]GRUPO!K43</f>
        <v>82.046546974274278</v>
      </c>
      <c r="G43" s="19">
        <f>+[1]GRUPO!L43</f>
        <v>65.340675174143854</v>
      </c>
      <c r="H43" s="20">
        <f t="shared" si="34"/>
        <v>25.567338806350676</v>
      </c>
      <c r="J43" s="18">
        <f>+[1]GRUPO!O43</f>
        <v>2.576504282058238</v>
      </c>
      <c r="K43" s="19">
        <f>+[1]GRUPO!P43</f>
        <v>-2.1050308621525744</v>
      </c>
      <c r="L43" s="20" t="str">
        <f t="shared" si="35"/>
        <v>---</v>
      </c>
      <c r="O43" s="17" t="str">
        <f>+IF($B$3="esp","Internacional","International")</f>
        <v>International</v>
      </c>
      <c r="Q43" s="18">
        <f>+[1]SANTILLANA!K43</f>
        <v>60.830930043122663</v>
      </c>
      <c r="R43" s="19">
        <f>+[1]SANTILLANA!L43</f>
        <v>45.158600280831109</v>
      </c>
      <c r="S43" s="20">
        <f t="shared" si="36"/>
        <v>34.705083117786835</v>
      </c>
      <c r="U43" s="18">
        <f>+[1]SANTILLANA!O43</f>
        <v>-14.83123929291213</v>
      </c>
      <c r="V43" s="19">
        <f>+[1]SANTILLANA!P43</f>
        <v>-16.544695774479479</v>
      </c>
      <c r="W43" s="20">
        <f t="shared" si="37"/>
        <v>10.356530606083366</v>
      </c>
      <c r="Z43" s="17" t="str">
        <f>+IF($B$3="esp","Latam","Latam")</f>
        <v>Latam</v>
      </c>
      <c r="AB43" s="18">
        <f>+[1]RADIO!K43</f>
        <v>10.056610569005693</v>
      </c>
      <c r="AC43" s="19">
        <f>+[1]RADIO!L43</f>
        <v>8.9493205452206634</v>
      </c>
      <c r="AD43" s="20">
        <f t="shared" si="38"/>
        <v>12.372894882800596</v>
      </c>
      <c r="AF43" s="18">
        <f>+[1]RADIO!O43</f>
        <v>7.7009553726546898</v>
      </c>
      <c r="AG43" s="19">
        <f>+[1]RADIO!P43</f>
        <v>6.1385257947947318</v>
      </c>
      <c r="AH43" s="20">
        <f t="shared" si="39"/>
        <v>25.452846987868767</v>
      </c>
    </row>
    <row r="44" spans="4:56" ht="15" customHeight="1">
      <c r="D44" s="26" t="str">
        <f>+IF($B$3="esp","Portugal","Portugal")</f>
        <v>Portugal</v>
      </c>
      <c r="F44" s="18">
        <f>+[1]GRUPO!K44</f>
        <v>13.4423188005578</v>
      </c>
      <c r="G44" s="19">
        <f>+[1]GRUPO!L44</f>
        <v>11.583275779312599</v>
      </c>
      <c r="H44" s="20">
        <f t="shared" si="34"/>
        <v>16.049372014136097</v>
      </c>
      <c r="J44" s="18">
        <f>+[1]GRUPO!O44</f>
        <v>9.9811784701089792</v>
      </c>
      <c r="K44" s="19">
        <f>+[1]GRUPO!P44</f>
        <v>8.1152867333675029</v>
      </c>
      <c r="L44" s="20">
        <f t="shared" si="35"/>
        <v>22.992308196203556</v>
      </c>
      <c r="O44" s="26" t="str">
        <f>+IF($B$3="esp","Portugal","Portugal")</f>
        <v>Portugal</v>
      </c>
      <c r="Q44" s="18">
        <f>+[1]SANTILLANA!K44</f>
        <v>-1.5269649999999999</v>
      </c>
      <c r="R44" s="19">
        <f>+[1]SANTILLANA!L44</f>
        <v>-2.1968350000000001</v>
      </c>
      <c r="S44" s="20">
        <f t="shared" si="36"/>
        <v>30.492503988692832</v>
      </c>
      <c r="U44" s="18">
        <f>+[1]SANTILLANA!O44</f>
        <v>-0.89585599999999987</v>
      </c>
      <c r="V44" s="19">
        <f>+[1]SANTILLANA!P44</f>
        <v>-1.345316</v>
      </c>
      <c r="W44" s="20">
        <f t="shared" si="37"/>
        <v>33.409251060717345</v>
      </c>
      <c r="Z44" s="17" t="str">
        <f>+IF($B$3="esp","Música","Music")</f>
        <v>Music</v>
      </c>
      <c r="AB44" s="18">
        <f>+[1]RADIO!K44</f>
        <v>-1.0211221220187072</v>
      </c>
      <c r="AC44" s="19">
        <f>+[1]RADIO!L44</f>
        <v>-1.6404411349379799</v>
      </c>
      <c r="AD44" s="20">
        <f t="shared" si="38"/>
        <v>37.753199412588934</v>
      </c>
      <c r="AF44" s="18">
        <f>+[1]RADIO!O44</f>
        <v>-0.20226280432443833</v>
      </c>
      <c r="AG44" s="19">
        <f>+[1]RADIO!P44</f>
        <v>-1.073347400267491</v>
      </c>
      <c r="AH44" s="20">
        <f t="shared" si="39"/>
        <v>81.155886316580066</v>
      </c>
    </row>
    <row r="45" spans="4:56" ht="15" customHeight="1">
      <c r="D45" s="26" t="str">
        <f>+IF($B$3="esp","Latam","Latam")</f>
        <v>Latam</v>
      </c>
      <c r="F45" s="18">
        <f>+[1]GRUPO!K45</f>
        <v>68.604228173716479</v>
      </c>
      <c r="G45" s="19">
        <f>+[1]GRUPO!L45</f>
        <v>53.757399394831253</v>
      </c>
      <c r="H45" s="20">
        <f t="shared" si="34"/>
        <v>27.618205021117038</v>
      </c>
      <c r="J45" s="18">
        <f>+[1]GRUPO!O45</f>
        <v>-7.4046741880507341</v>
      </c>
      <c r="K45" s="19">
        <f>+[1]GRUPO!P45</f>
        <v>-10.220317595520079</v>
      </c>
      <c r="L45" s="20">
        <f t="shared" si="35"/>
        <v>27.549470759142942</v>
      </c>
      <c r="O45" s="26" t="str">
        <f>+IF($B$3="esp","Latam","Latam")</f>
        <v>Latam</v>
      </c>
      <c r="Q45" s="18">
        <f>+[1]SANTILLANA!K45</f>
        <v>62.35789504312266</v>
      </c>
      <c r="R45" s="19">
        <f>+[1]SANTILLANA!L45</f>
        <v>47.355435280831109</v>
      </c>
      <c r="S45" s="20">
        <f t="shared" si="36"/>
        <v>31.680544531631323</v>
      </c>
      <c r="U45" s="18">
        <f>+[1]SANTILLANA!O45</f>
        <v>-13.935383292912128</v>
      </c>
      <c r="V45" s="19">
        <f>+[1]SANTILLANA!P45</f>
        <v>-15.199379774479482</v>
      </c>
      <c r="W45" s="20">
        <f t="shared" si="37"/>
        <v>8.3161056590589766</v>
      </c>
      <c r="Z45" s="17" t="str">
        <f>+IF($B$3="esp","Ajustes y Otros","Adjustments &amp; others")</f>
        <v>Adjustments &amp; others</v>
      </c>
      <c r="AB45" s="18">
        <f>+[1]RADIO!K45</f>
        <v>1.8385293287792592E-13</v>
      </c>
      <c r="AC45" s="19">
        <f>+[1]RADIO!L45</f>
        <v>-1.6358199998087741E-3</v>
      </c>
      <c r="AD45" s="20" t="str">
        <f t="shared" si="38"/>
        <v>---</v>
      </c>
      <c r="AF45" s="18">
        <f>+[1]RADIO!O45</f>
        <v>3.1397107136399427E-13</v>
      </c>
      <c r="AG45" s="19">
        <f>+[1]RADIO!P45</f>
        <v>-6.1911999973873755E-4</v>
      </c>
      <c r="AH45" s="20" t="str">
        <f t="shared" si="39"/>
        <v>---</v>
      </c>
    </row>
    <row r="46" spans="4:56" s="22" customFormat="1" ht="15" customHeight="1">
      <c r="D46" s="30" t="str">
        <f>+IF($B$3="esp","Margen EBIT Ajustado","Adjusted EBIT Margin")</f>
        <v>Adjusted EBIT Margin</v>
      </c>
      <c r="F46" s="31">
        <f>+F41/F30</f>
        <v>0.13887054358066631</v>
      </c>
      <c r="G46" s="32">
        <f>+G41/G30</f>
        <v>8.6736015441060146E-2</v>
      </c>
      <c r="H46" s="33"/>
      <c r="J46" s="31">
        <f>+J41/J30</f>
        <v>9.1199432935446939E-2</v>
      </c>
      <c r="K46" s="32">
        <f>+K41/K30</f>
        <v>3.7787299104915191E-2</v>
      </c>
      <c r="L46" s="33"/>
      <c r="O46" s="30" t="str">
        <f>+IF($B$3="esp","Margen EBIT Ajustado","Adjusted EBIT Margin")</f>
        <v>Adjusted EBIT Margin</v>
      </c>
      <c r="Q46" s="31">
        <f>+Q41/Q30</f>
        <v>0.20235743886183344</v>
      </c>
      <c r="R46" s="32">
        <f>+R41/R30</f>
        <v>0.1338346292017854</v>
      </c>
      <c r="S46" s="33"/>
      <c r="U46" s="31">
        <f>+U41/U30</f>
        <v>1.755355597036309E-2</v>
      </c>
      <c r="V46" s="32">
        <f>+V41/V30</f>
        <v>-6.858685297763914E-2</v>
      </c>
      <c r="W46" s="33"/>
      <c r="Z46" s="30" t="str">
        <f>+IF($B$3="esp","Margen EBIT Ajustado","Adjusted EBIT Margin")</f>
        <v>Adjusted EBIT Margin</v>
      </c>
      <c r="AB46" s="31">
        <f>+AB41/AB30</f>
        <v>0.14203402709354193</v>
      </c>
      <c r="AC46" s="32">
        <f>+AC41/AC30</f>
        <v>9.98342573744984E-2</v>
      </c>
      <c r="AD46" s="33"/>
      <c r="AF46" s="31">
        <f>+AF41/AF30</f>
        <v>0.2010411466292277</v>
      </c>
      <c r="AG46" s="32">
        <f>+AG41/AG30</f>
        <v>0.14454805166062559</v>
      </c>
      <c r="AH46" s="33"/>
    </row>
    <row r="48" spans="4:56">
      <c r="D48" s="9"/>
      <c r="F48" s="10">
        <v>2017</v>
      </c>
      <c r="G48" s="10">
        <v>2016</v>
      </c>
      <c r="H48" s="10" t="str">
        <f>+IF($B$3="esp","Var.%","% Chg.")</f>
        <v>% Chg.</v>
      </c>
      <c r="J48" s="10">
        <v>2017</v>
      </c>
      <c r="K48" s="10">
        <v>2016</v>
      </c>
      <c r="L48" s="10" t="str">
        <f>+IF($B$3="esp","Var.%","% Chg.")</f>
        <v>% Chg.</v>
      </c>
      <c r="O48" s="9"/>
      <c r="Q48" s="10">
        <v>2017</v>
      </c>
      <c r="R48" s="10">
        <v>2016</v>
      </c>
      <c r="S48" s="10" t="str">
        <f>+IF($B$3="esp","Var.%","% Chg.")</f>
        <v>% Chg.</v>
      </c>
      <c r="U48" s="10">
        <v>2017</v>
      </c>
      <c r="V48" s="10">
        <v>2016</v>
      </c>
      <c r="W48" s="10" t="str">
        <f>+IF($B$3="esp","Var.%","% Chg.")</f>
        <v>% Chg.</v>
      </c>
      <c r="Z48" s="9"/>
      <c r="AB48" s="10">
        <v>2017</v>
      </c>
      <c r="AC48" s="10">
        <v>2016</v>
      </c>
      <c r="AD48" s="10" t="str">
        <f>+IF($B$3="esp","Var.%","% Chg.")</f>
        <v>% Chg.</v>
      </c>
      <c r="AF48" s="10">
        <v>2017</v>
      </c>
      <c r="AG48" s="10">
        <v>2016</v>
      </c>
      <c r="AH48" s="10" t="str">
        <f>+IF($B$3="esp","Var.%","% Chg.")</f>
        <v>% Chg.</v>
      </c>
      <c r="AK48" s="9"/>
      <c r="AM48" s="10">
        <v>2017</v>
      </c>
      <c r="AN48" s="10">
        <v>2016</v>
      </c>
      <c r="AO48" s="10" t="str">
        <f>+IF($B$3="esp","Var.%","% Chg.")</f>
        <v>% Chg.</v>
      </c>
      <c r="AQ48" s="10">
        <v>2017</v>
      </c>
      <c r="AR48" s="10">
        <v>2016</v>
      </c>
      <c r="AS48" s="10" t="str">
        <f>+IF($B$3="esp","Var.%","% Chg.")</f>
        <v>% Chg.</v>
      </c>
      <c r="AV48" s="9"/>
      <c r="AX48" s="10">
        <v>2017</v>
      </c>
      <c r="AY48" s="10">
        <v>2016</v>
      </c>
      <c r="AZ48" s="10" t="str">
        <f>+IF($B$3="esp","Var.%","% Chg.")</f>
        <v>% Chg.</v>
      </c>
      <c r="BB48" s="10">
        <v>2017</v>
      </c>
      <c r="BC48" s="10">
        <v>2016</v>
      </c>
      <c r="BD48" s="10" t="str">
        <f>+IF($B$3="esp","Var.%","% Chg.")</f>
        <v>% Chg.</v>
      </c>
    </row>
    <row r="49" spans="4:56" ht="15.75" customHeight="1">
      <c r="D49" s="11" t="str">
        <f>+IF($B$3="esp","Resultados Reportados","Reported Results")</f>
        <v>Reported Results</v>
      </c>
      <c r="F49" s="12"/>
      <c r="G49" s="12"/>
      <c r="H49" s="12"/>
      <c r="J49" s="12"/>
      <c r="K49" s="12"/>
      <c r="L49" s="12"/>
      <c r="O49" s="11" t="str">
        <f>+IF($B$3="esp","Resultados Reportados","Reported Results")</f>
        <v>Reported Results</v>
      </c>
      <c r="Q49" s="12"/>
      <c r="R49" s="12"/>
      <c r="S49" s="12"/>
      <c r="U49" s="12"/>
      <c r="V49" s="12"/>
      <c r="W49" s="12"/>
      <c r="Z49" s="11" t="str">
        <f>+IF($B$3="esp","Resultados Reportados","Reported Results")</f>
        <v>Reported Results</v>
      </c>
      <c r="AB49" s="12"/>
      <c r="AC49" s="12"/>
      <c r="AD49" s="12"/>
      <c r="AF49" s="12"/>
      <c r="AG49" s="12"/>
      <c r="AH49" s="12"/>
      <c r="AK49" s="11" t="str">
        <f>+IF($B$3="esp","Resultados Reportados","Reported Results")</f>
        <v>Reported Results</v>
      </c>
      <c r="AM49" s="12"/>
      <c r="AN49" s="12"/>
      <c r="AO49" s="12"/>
      <c r="AQ49" s="12"/>
      <c r="AR49" s="12"/>
      <c r="AS49" s="12"/>
      <c r="AV49" s="11" t="str">
        <f>+IF($B$3="esp","Resultados Reportados","Reported Results")</f>
        <v>Reported Results</v>
      </c>
      <c r="AX49" s="12"/>
      <c r="AY49" s="12"/>
      <c r="AZ49" s="12"/>
      <c r="BB49" s="12"/>
      <c r="BC49" s="12"/>
      <c r="BD49" s="12"/>
    </row>
    <row r="50" spans="4:56" s="13" customFormat="1" ht="15" customHeight="1">
      <c r="D50" s="13" t="str">
        <f>+IF($B$3="esp","Ingresos de Explotación","Operating Revenues")</f>
        <v>Operating Revenues</v>
      </c>
      <c r="F50" s="14">
        <f>+[1]GRUPO!K50</f>
        <v>655.02436052328699</v>
      </c>
      <c r="G50" s="15">
        <f>+[1]GRUPO!L50</f>
        <v>624.45385419180298</v>
      </c>
      <c r="H50" s="16">
        <f>IF(G50=0,"---",IF(OR(ABS((F50-G50)/ABS(G50))&gt;2,(F50*G50)&lt;0),"---",IF(G50="0","---",((F50-G50)/ABS(G50))*100)))</f>
        <v>4.8955589154061308</v>
      </c>
      <c r="J50" s="14">
        <f>+[1]GRUPO!O50</f>
        <v>292.503714107988</v>
      </c>
      <c r="K50" s="15">
        <f>+[1]GRUPO!P50</f>
        <v>299.90701077681797</v>
      </c>
      <c r="L50" s="16">
        <f>IF(K50=0,"---",IF(OR(ABS((J50-K50)/ABS(K50))&gt;2,(J50*K50)&lt;0),"---",IF(K50="0","---",((J50-K50)/ABS(K50))*100)))</f>
        <v>-2.4685307121210593</v>
      </c>
      <c r="O50" s="13" t="str">
        <f>+IF($B$3="esp","Ingresos de Explotación","Operating Revenues")</f>
        <v>Operating Revenues</v>
      </c>
      <c r="Q50" s="14">
        <f>+[1]SANTILLANA!K50</f>
        <v>328.02148342967899</v>
      </c>
      <c r="R50" s="15">
        <f>+[1]SANTILLANA!L50</f>
        <v>279.56067710785499</v>
      </c>
      <c r="S50" s="16">
        <f>IF(R50=0,"---",IF(OR(ABS((Q50-R50)/ABS(R50))&gt;2,(Q50*R50)&lt;0),"---",IF(R50="0","---",((Q50-R50)/ABS(R50))*100)))</f>
        <v>17.334629041239495</v>
      </c>
      <c r="U50" s="14">
        <f>+[1]SANTILLANA!O50</f>
        <v>112.42070918099799</v>
      </c>
      <c r="V50" s="15">
        <f>+[1]SANTILLANA!P50</f>
        <v>111.23738252869299</v>
      </c>
      <c r="W50" s="16">
        <f>IF(V50=0,"---",IF(OR(ABS((U50-V50)/ABS(V50))&gt;2,(U50*V50)&lt;0),"---",IF(V50="0","---",((U50-V50)/ABS(V50))*100)))</f>
        <v>1.0637850562510016</v>
      </c>
      <c r="Z50" s="13" t="str">
        <f>+IF($B$3="esp","Ingresos de Explotación","Operating Revenues")</f>
        <v>Operating Revenues</v>
      </c>
      <c r="AB50" s="14">
        <f>+[1]RADIO!K50</f>
        <v>136.76790469200699</v>
      </c>
      <c r="AC50" s="15">
        <f>+[1]RADIO!L50</f>
        <v>137.80004496185902</v>
      </c>
      <c r="AD50" s="16">
        <f>IF(AC50=0,"---",IF(OR(ABS((AB50-AC50)/ABS(AC50))&gt;2,(AB50*AC50)&lt;0),"---",IF(AC50="0","---",((AB50-AC50)/ABS(AC50))*100)))</f>
        <v>-0.74901301384749375</v>
      </c>
      <c r="AF50" s="14">
        <f>+[1]RADIO!O50</f>
        <v>75.783237870044189</v>
      </c>
      <c r="AG50" s="15">
        <f>+[1]RADIO!P50</f>
        <v>77.916425366352414</v>
      </c>
      <c r="AH50" s="16">
        <f>IF(AG50=0,"---",IF(OR(ABS((AF50-AG50)/ABS(AG50))&gt;2,(AF50*AG50)&lt;0),"---",IF(AG50="0","---",((AF50-AG50)/ABS(AG50))*100)))</f>
        <v>-2.7377892225910871</v>
      </c>
      <c r="AK50" s="13" t="str">
        <f>+IF($B$3="esp","Ingresos de Explotación","Operating Revenues")</f>
        <v>Operating Revenues</v>
      </c>
      <c r="AM50" s="14">
        <f>+[1]NOTICIAS!K22</f>
        <v>109.053915504267</v>
      </c>
      <c r="AN50" s="15">
        <f>+[1]NOTICIAS!L22</f>
        <v>122.031914953297</v>
      </c>
      <c r="AO50" s="16">
        <f>IF(AN50=0,"---",IF(OR(ABS((AM50-AN50)/ABS(AN50))&gt;2,(AM50*AN50)&lt;0),"---",IF(AN50="0","---",((AM50-AN50)/ABS(AN50))*100)))</f>
        <v>-10.634922392225702</v>
      </c>
      <c r="AQ50" s="14">
        <f>+[1]NOTICIAS!O22</f>
        <v>58.659025464881594</v>
      </c>
      <c r="AR50" s="15">
        <f>+[1]NOTICIAS!P22</f>
        <v>64.795114196780901</v>
      </c>
      <c r="AS50" s="16">
        <f>IF(AR50=0,"---",IF(OR(ABS((AQ50-AR50)/ABS(AR50))&gt;2,(AQ50*AR50)&lt;0),"---",IF(AR50="0","---",((AQ50-AR50)/ABS(AR50))*100)))</f>
        <v>-9.4699867543472198</v>
      </c>
      <c r="AV50" s="13" t="str">
        <f>+IF($B$3="esp","Ingresos de Explotación","Operating Revenues")</f>
        <v>Operating Revenues</v>
      </c>
      <c r="AX50" s="14">
        <f>+'[1]MEDIA CAPITAL'!K21</f>
        <v>79.033360180000003</v>
      </c>
      <c r="AY50" s="15">
        <f>+'[1]MEDIA CAPITAL'!L21</f>
        <v>85.266263039999998</v>
      </c>
      <c r="AZ50" s="16">
        <f>IF(AY50=0,"---",IF(OR(ABS((AX50-AY50)/ABS(AY50))&gt;2,(AX50*AY50)&lt;0),"---",IF(AY50="0","---",((AX50-AY50)/ABS(AY50))*100)))</f>
        <v>-7.3099284966623017</v>
      </c>
      <c r="BB50" s="14">
        <f>+'[1]MEDIA CAPITAL'!O21</f>
        <v>43.957160970000004</v>
      </c>
      <c r="BC50" s="15">
        <f>+'[1]MEDIA CAPITAL'!P21</f>
        <v>46.224375240000001</v>
      </c>
      <c r="BD50" s="16">
        <f>IF(BC50=0,"---",IF(OR(ABS((BB50-BC50)/ABS(BC50))&gt;2,(BB50*BC50)&lt;0),"---",IF(BC50="0","---",((BB50-BC50)/ABS(BC50))*100)))</f>
        <v>-4.9048024083148141</v>
      </c>
    </row>
    <row r="51" spans="4:56" ht="15" customHeight="1">
      <c r="D51" s="17" t="str">
        <f>+IF($B$3="esp","España","Spain")</f>
        <v>Spain</v>
      </c>
      <c r="F51" s="18">
        <f>+[1]GRUPO!K51</f>
        <v>244.9094167789172</v>
      </c>
      <c r="G51" s="19">
        <f>+[1]GRUPO!L51</f>
        <v>250.42243954133096</v>
      </c>
      <c r="H51" s="20">
        <f t="shared" ref="H51:H54" si="40">IF(G51=0,"---",IF(OR(ABS((F51-G51)/ABS(G51))&gt;2,(F51*G51)&lt;0),"---",IF(G51="0","---",((F51-G51)/ABS(G51))*100)))</f>
        <v>-2.2014891207478469</v>
      </c>
      <c r="J51" s="18">
        <f>+[1]GRUPO!O51</f>
        <v>151.67111356979268</v>
      </c>
      <c r="K51" s="19">
        <f>+[1]GRUPO!P51</f>
        <v>152.9600949794347</v>
      </c>
      <c r="L51" s="20">
        <f t="shared" ref="L51:L54" si="41">IF(K51=0,"---",IF(OR(ABS((J51-K51)/ABS(K51))&gt;2,(J51*K51)&lt;0),"---",IF(K51="0","---",((J51-K51)/ABS(K51))*100)))</f>
        <v>-0.84269129789395181</v>
      </c>
      <c r="O51" s="17" t="str">
        <f>+IF($B$3="esp","España","Spain")</f>
        <v>Spain</v>
      </c>
      <c r="Q51" s="18">
        <f>+[1]SANTILLANA!K51</f>
        <v>46.542836386892418</v>
      </c>
      <c r="R51" s="19">
        <f>+[1]SANTILLANA!L51</f>
        <v>40.085763811959538</v>
      </c>
      <c r="S51" s="20">
        <f t="shared" ref="S51:S54" si="42">IF(R51=0,"---",IF(OR(ABS((Q51-R51)/ABS(R51))&gt;2,(Q51*R51)&lt;0),"---",IF(R51="0","---",((Q51-R51)/ABS(R51))*100)))</f>
        <v>16.108144041417567</v>
      </c>
      <c r="U51" s="18">
        <f>+[1]SANTILLANA!O51</f>
        <v>42.85473820050953</v>
      </c>
      <c r="V51" s="19">
        <f>+[1]SANTILLANA!P51</f>
        <v>38.50679724503189</v>
      </c>
      <c r="W51" s="20">
        <f t="shared" ref="W51:W54" si="43">IF(V51=0,"---",IF(OR(ABS((U51-V51)/ABS(V51))&gt;2,(U51*V51)&lt;0),"---",IF(V51="0","---",((U51-V51)/ABS(V51))*100)))</f>
        <v>11.291359621030562</v>
      </c>
      <c r="Z51" s="17" t="str">
        <f>+IF($B$3="esp","Publicidad","Advertising")</f>
        <v>Advertising</v>
      </c>
      <c r="AB51" s="18">
        <f>+[1]RADIO!K51</f>
        <v>123.747505310508</v>
      </c>
      <c r="AC51" s="19">
        <f>+[1]RADIO!L51</f>
        <v>121.92586849358101</v>
      </c>
      <c r="AD51" s="20">
        <f t="shared" ref="AD51:AD55" si="44">IF(AC51=0,"---",IF(OR(ABS((AB51-AC51)/ABS(AC51))&gt;2,(AB51*AC51)&lt;0),"---",IF(AC51="0","---",((AB51-AC51)/ABS(AC51))*100)))</f>
        <v>1.4940527711089466</v>
      </c>
      <c r="AF51" s="18">
        <f>+[1]RADIO!O51</f>
        <v>68.232948094633002</v>
      </c>
      <c r="AG51" s="19">
        <f>+[1]RADIO!P51</f>
        <v>67.408895907598705</v>
      </c>
      <c r="AH51" s="20">
        <f t="shared" ref="AH51:AH55" si="45">IF(AG51=0,"---",IF(OR(ABS((AF51-AG51)/ABS(AG51))&gt;2,(AF51*AG51)&lt;0),"---",IF(AG51="0","---",((AF51-AG51)/ABS(AG51))*100)))</f>
        <v>1.2224680080265278</v>
      </c>
      <c r="AK51" s="21" t="str">
        <f>+IF($B$3="esp","Publicidad","Advertising")</f>
        <v>Advertising</v>
      </c>
      <c r="AL51" s="22"/>
      <c r="AM51" s="23">
        <f>+[1]NOTICIAS!K23</f>
        <v>51.082768643365803</v>
      </c>
      <c r="AN51" s="24">
        <f>+[1]NOTICIAS!L23</f>
        <v>56.5921167985382</v>
      </c>
      <c r="AO51" s="25">
        <f t="shared" ref="AO51:AO53" si="46">IF(AN51=0,"---",IF(OR(ABS((AM51-AN51)/ABS(AN51))&gt;2,(AM51*AN51)&lt;0),"---",IF(AN51="0","---",((AM51-AN51)/ABS(AN51))*100)))</f>
        <v>-9.7351865716298942</v>
      </c>
      <c r="AQ51" s="23">
        <f>+[1]NOTICIAS!O23</f>
        <v>28.563877455307406</v>
      </c>
      <c r="AR51" s="24">
        <f>+[1]NOTICIAS!P23</f>
        <v>32.793120381647</v>
      </c>
      <c r="AS51" s="25">
        <f t="shared" ref="AS51:AS53" si="47">IF(AR51=0,"---",IF(OR(ABS((AQ51-AR51)/ABS(AR51))&gt;2,(AQ51*AR51)&lt;0),"---",IF(AR51="0","---",((AQ51-AR51)/ABS(AR51))*100)))</f>
        <v>-12.896738331453609</v>
      </c>
      <c r="AV51" s="21" t="str">
        <f>+IF($B$3="esp","Publicidad","Advertising")</f>
        <v>Advertising</v>
      </c>
      <c r="AW51" s="22"/>
      <c r="AX51" s="23">
        <f>+'[1]MEDIA CAPITAL'!K22</f>
        <v>57.101493320000003</v>
      </c>
      <c r="AY51" s="24">
        <f>+'[1]MEDIA CAPITAL'!L22</f>
        <v>57.101493320000003</v>
      </c>
      <c r="AZ51" s="25">
        <f t="shared" ref="AZ51:AZ52" si="48">IF(AY51=0,"---",IF(OR(ABS((AX51-AY51)/ABS(AY51))&gt;2,(AX51*AY51)&lt;0),"---",IF(AY51="0","---",((AX51-AY51)/ABS(AY51))*100)))</f>
        <v>0</v>
      </c>
      <c r="BB51" s="23">
        <f>+'[1]MEDIA CAPITAL'!O22</f>
        <v>33.852709950000005</v>
      </c>
      <c r="BC51" s="24">
        <f>+'[1]MEDIA CAPITAL'!P22</f>
        <v>33.852709950000005</v>
      </c>
      <c r="BD51" s="25">
        <f t="shared" ref="BD51:BD52" si="49">IF(BC51=0,"---",IF(OR(ABS((BB51-BC51)/ABS(BC51))&gt;2,(BB51*BC51)&lt;0),"---",IF(BC51="0","---",((BB51-BC51)/ABS(BC51))*100)))</f>
        <v>0</v>
      </c>
    </row>
    <row r="52" spans="4:56" ht="15" customHeight="1">
      <c r="D52" s="17" t="str">
        <f>+IF($B$3="esp","Internacional","International")</f>
        <v>International</v>
      </c>
      <c r="F52" s="18">
        <f>+[1]GRUPO!K52</f>
        <v>410.11494374436978</v>
      </c>
      <c r="G52" s="19">
        <f>+[1]GRUPO!L52</f>
        <v>374.03141465047207</v>
      </c>
      <c r="H52" s="20">
        <f t="shared" si="40"/>
        <v>9.6471921021974421</v>
      </c>
      <c r="J52" s="18">
        <f>+[1]GRUPO!O52</f>
        <v>140.83260053819532</v>
      </c>
      <c r="K52" s="19">
        <f>+[1]GRUPO!P52</f>
        <v>146.94691579738333</v>
      </c>
      <c r="L52" s="20">
        <f t="shared" si="41"/>
        <v>-4.1609007075852364</v>
      </c>
      <c r="O52" s="17" t="str">
        <f>+IF($B$3="esp","Internacional","International")</f>
        <v>International</v>
      </c>
      <c r="Q52" s="18">
        <f>+[1]SANTILLANA!K52</f>
        <v>281.47864704278658</v>
      </c>
      <c r="R52" s="19">
        <f>+[1]SANTILLANA!L52</f>
        <v>239.47491329589545</v>
      </c>
      <c r="S52" s="20">
        <f t="shared" si="42"/>
        <v>17.539930662796095</v>
      </c>
      <c r="U52" s="18">
        <f>+[1]SANTILLANA!O52</f>
        <v>69.565970980488459</v>
      </c>
      <c r="V52" s="19">
        <f>+[1]SANTILLANA!P52</f>
        <v>72.7305852836611</v>
      </c>
      <c r="W52" s="20">
        <f t="shared" si="43"/>
        <v>-4.3511464823638244</v>
      </c>
      <c r="Z52" s="34" t="str">
        <f>+IF($B$3="esp","España","Spain")</f>
        <v>Spain</v>
      </c>
      <c r="AA52" s="22"/>
      <c r="AB52" s="23">
        <f>+[1]RADIO!K52</f>
        <v>83.150894660000006</v>
      </c>
      <c r="AC52" s="24">
        <f>+[1]RADIO!L52</f>
        <v>81.033129689999896</v>
      </c>
      <c r="AD52" s="25">
        <f t="shared" si="44"/>
        <v>2.6134557286653317</v>
      </c>
      <c r="AF52" s="23">
        <f>+[1]RADIO!O52</f>
        <v>45.847423720000009</v>
      </c>
      <c r="AG52" s="24">
        <f>+[1]RADIO!P52</f>
        <v>45.507703979999896</v>
      </c>
      <c r="AH52" s="25">
        <f t="shared" si="45"/>
        <v>0.74651039338178027</v>
      </c>
      <c r="AK52" s="21" t="str">
        <f>+IF($B$3="esp","Circulación","Circulation")</f>
        <v>Circulation</v>
      </c>
      <c r="AL52" s="22"/>
      <c r="AM52" s="23">
        <f>+[1]NOTICIAS!K24</f>
        <v>40.211427379887297</v>
      </c>
      <c r="AN52" s="24">
        <f>+[1]NOTICIAS!L24</f>
        <v>46.799668626592194</v>
      </c>
      <c r="AO52" s="25">
        <f t="shared" si="46"/>
        <v>-14.077538239151913</v>
      </c>
      <c r="AQ52" s="23">
        <f>+[1]NOTICIAS!O24</f>
        <v>20.113624483991998</v>
      </c>
      <c r="AR52" s="24">
        <f>+[1]NOTICIAS!P24</f>
        <v>23.430355886594896</v>
      </c>
      <c r="AS52" s="25">
        <f t="shared" si="47"/>
        <v>-14.155702195289678</v>
      </c>
      <c r="AV52" s="21" t="str">
        <f>+IF($B$3="esp","Otros","Others")</f>
        <v>Others</v>
      </c>
      <c r="AW52" s="22"/>
      <c r="AX52" s="23">
        <f>+'[1]MEDIA CAPITAL'!K23</f>
        <v>21.93186686</v>
      </c>
      <c r="AY52" s="24">
        <f>+'[1]MEDIA CAPITAL'!L23</f>
        <v>28.164769719999995</v>
      </c>
      <c r="AZ52" s="25">
        <f t="shared" si="48"/>
        <v>-22.130139610457984</v>
      </c>
      <c r="BB52" s="23">
        <f>+'[1]MEDIA CAPITAL'!O23</f>
        <v>10.104451020000003</v>
      </c>
      <c r="BC52" s="24">
        <f>+'[1]MEDIA CAPITAL'!P23</f>
        <v>12.371665289999999</v>
      </c>
      <c r="BD52" s="25">
        <f t="shared" si="49"/>
        <v>-18.325861691655877</v>
      </c>
    </row>
    <row r="53" spans="4:56" ht="15" customHeight="1">
      <c r="D53" s="26" t="str">
        <f>+IF($B$3="esp","Portugal","Portugal")</f>
        <v>Portugal</v>
      </c>
      <c r="F53" s="18">
        <f>+[1]GRUPO!K53</f>
        <v>78.599503259999992</v>
      </c>
      <c r="G53" s="19">
        <f>+[1]GRUPO!L53</f>
        <v>84.223316159999996</v>
      </c>
      <c r="H53" s="20">
        <f t="shared" si="40"/>
        <v>-6.6772636799486529</v>
      </c>
      <c r="J53" s="18">
        <f>+[1]GRUPO!O53</f>
        <v>43.704104999999991</v>
      </c>
      <c r="K53" s="19">
        <f>+[1]GRUPO!P53</f>
        <v>45.741188370000003</v>
      </c>
      <c r="L53" s="20">
        <f t="shared" si="41"/>
        <v>-4.4534990073324403</v>
      </c>
      <c r="O53" s="26" t="str">
        <f>+IF($B$3="esp","Portugal","Portugal")</f>
        <v>Portugal</v>
      </c>
      <c r="Q53" s="18">
        <f>+[1]SANTILLANA!K53</f>
        <v>6.8078E-2</v>
      </c>
      <c r="R53" s="19">
        <f>+[1]SANTILLANA!L53</f>
        <v>6.8129999999999996E-2</v>
      </c>
      <c r="S53" s="20">
        <f t="shared" si="42"/>
        <v>-7.6324673418459554E-2</v>
      </c>
      <c r="U53" s="18">
        <f>+[1]SANTILLANA!O53</f>
        <v>2.1530000000000001E-2</v>
      </c>
      <c r="V53" s="19">
        <f>+[1]SANTILLANA!P53</f>
        <v>3.5861999999999998E-2</v>
      </c>
      <c r="W53" s="20">
        <f t="shared" si="43"/>
        <v>-39.964307623668503</v>
      </c>
      <c r="Z53" s="34" t="str">
        <f>+IF($B$3="esp","Latam","Latam")</f>
        <v>Latam</v>
      </c>
      <c r="AA53" s="22"/>
      <c r="AB53" s="23">
        <f>+[1]RADIO!K53</f>
        <v>40.618967074867804</v>
      </c>
      <c r="AC53" s="24">
        <f>+[1]RADIO!L53</f>
        <v>40.910461093580999</v>
      </c>
      <c r="AD53" s="25">
        <f t="shared" si="44"/>
        <v>-0.71251707001398512</v>
      </c>
      <c r="AF53" s="23">
        <f>+[1]RADIO!O53</f>
        <v>22.405761054632602</v>
      </c>
      <c r="AG53" s="24">
        <f>+[1]RADIO!P53</f>
        <v>21.923028947598699</v>
      </c>
      <c r="AH53" s="25">
        <f t="shared" si="45"/>
        <v>2.2019407454496798</v>
      </c>
      <c r="AK53" s="21" t="str">
        <f>+IF($B$3="esp","Promociones y Otros","Add-ons and Others")</f>
        <v>Add-ons and Others</v>
      </c>
      <c r="AL53" s="22"/>
      <c r="AM53" s="23">
        <f>+[1]NOTICIAS!K25</f>
        <v>17.759719481013896</v>
      </c>
      <c r="AN53" s="24">
        <f>+[1]NOTICIAS!L25</f>
        <v>18.640129528166611</v>
      </c>
      <c r="AO53" s="25">
        <f t="shared" si="46"/>
        <v>-4.7231970455052386</v>
      </c>
      <c r="AQ53" s="23">
        <f>+[1]NOTICIAS!O25</f>
        <v>9.9815235255821904</v>
      </c>
      <c r="AR53" s="24">
        <f>+[1]NOTICIAS!P25</f>
        <v>8.5716379285390047</v>
      </c>
      <c r="AS53" s="25">
        <f t="shared" si="47"/>
        <v>16.448263550062176</v>
      </c>
      <c r="AV53" s="13" t="str">
        <f>+IF($B$3="esp","Gastos de Explotación","Operating Expenses")</f>
        <v>Operating Expenses</v>
      </c>
      <c r="AW53" s="13"/>
      <c r="AX53" s="14">
        <f>+'[1]MEDIA CAPITAL'!K24</f>
        <v>61.606780839442202</v>
      </c>
      <c r="AY53" s="15">
        <f>+'[1]MEDIA CAPITAL'!L24</f>
        <v>68.013721600687404</v>
      </c>
      <c r="AZ53" s="16">
        <f>IF(AY53=0,"---",IF(OR(ABS((AX53-AY53)/ABS(AY53))&gt;2,(AX53*AY53)&lt;0),"---",IF(AY53="0","---",((AX53-AY53)/ABS(AY53))*100)))</f>
        <v>-9.4200708481455138</v>
      </c>
      <c r="BB53" s="14">
        <f>+'[1]MEDIA CAPITAL'!O24</f>
        <v>31.572048919891014</v>
      </c>
      <c r="BC53" s="15">
        <f>+'[1]MEDIA CAPITAL'!P24</f>
        <v>34.731804357541456</v>
      </c>
      <c r="BD53" s="16">
        <f>IF(BC53=0,"---",IF(OR(ABS((BB53-BC53)/ABS(BC53))&gt;2,(BB53*BC53)&lt;0),"---",IF(BC53="0","---",((BB53-BC53)/ABS(BC53))*100)))</f>
        <v>-9.0975850408542112</v>
      </c>
    </row>
    <row r="54" spans="4:56" ht="15" customHeight="1">
      <c r="D54" s="26" t="str">
        <f>+IF($B$3="esp","Latam","Latam")</f>
        <v>Latam</v>
      </c>
      <c r="F54" s="18">
        <f>+[1]GRUPO!K54</f>
        <v>331.51544048436978</v>
      </c>
      <c r="G54" s="19">
        <f>+[1]GRUPO!L54</f>
        <v>289.80809849047205</v>
      </c>
      <c r="H54" s="20">
        <f t="shared" si="40"/>
        <v>14.391365255539581</v>
      </c>
      <c r="J54" s="18">
        <f>+[1]GRUPO!O54</f>
        <v>97.128495538195324</v>
      </c>
      <c r="K54" s="19">
        <f>+[1]GRUPO!P54</f>
        <v>101.20572742738332</v>
      </c>
      <c r="L54" s="20">
        <f t="shared" si="41"/>
        <v>-4.0286572636054379</v>
      </c>
      <c r="O54" s="26" t="str">
        <f>+IF($B$3="esp","Latam","Latam")</f>
        <v>Latam</v>
      </c>
      <c r="Q54" s="18">
        <f>+[1]SANTILLANA!K54</f>
        <v>281.41056904278656</v>
      </c>
      <c r="R54" s="19">
        <f>+[1]SANTILLANA!L54</f>
        <v>239.40678329589545</v>
      </c>
      <c r="S54" s="20">
        <f t="shared" si="42"/>
        <v>17.54494386860226</v>
      </c>
      <c r="U54" s="18">
        <f>+[1]SANTILLANA!O54</f>
        <v>69.544440980488446</v>
      </c>
      <c r="V54" s="19">
        <f>+[1]SANTILLANA!P54</f>
        <v>72.694723283661091</v>
      </c>
      <c r="W54" s="20">
        <f t="shared" si="43"/>
        <v>-4.3335776805697046</v>
      </c>
      <c r="Z54" s="34" t="str">
        <f>+IF($B$3="esp","Otros","Others")</f>
        <v>Others</v>
      </c>
      <c r="AA54" s="22"/>
      <c r="AB54" s="23">
        <f>+[1]RADIO!K54</f>
        <v>-2.2356424359806226E-2</v>
      </c>
      <c r="AC54" s="24">
        <f>+[1]RADIO!L54</f>
        <v>-1.7722289999888119E-2</v>
      </c>
      <c r="AD54" s="25">
        <f t="shared" si="44"/>
        <v>-26.148620522220114</v>
      </c>
      <c r="AF54" s="23">
        <f>+[1]RADIO!O54</f>
        <v>-2.0236679999609208E-2</v>
      </c>
      <c r="AG54" s="24">
        <f>+[1]RADIO!P54</f>
        <v>-2.1837019999889407E-2</v>
      </c>
      <c r="AH54" s="25">
        <f t="shared" si="45"/>
        <v>7.3285640636327809</v>
      </c>
      <c r="AK54" s="13" t="str">
        <f>+IF($B$3="esp","Gastos de Explotación","Operating Expenses")</f>
        <v>Operating Expenses</v>
      </c>
      <c r="AL54" s="13"/>
      <c r="AM54" s="14">
        <f>+[1]NOTICIAS!K26</f>
        <v>105.39700126744486</v>
      </c>
      <c r="AN54" s="15">
        <f>+[1]NOTICIAS!L26</f>
        <v>114.90855864214497</v>
      </c>
      <c r="AO54" s="16">
        <f>IF(AN54=0,"---",IF(OR(ABS((AM54-AN54)/ABS(AN54))&gt;2,(AM54*AN54)&lt;0),"---",IF(AN54="0","---",((AM54-AN54)/ABS(AN54))*100)))</f>
        <v>-8.2775012471625882</v>
      </c>
      <c r="AQ54" s="14">
        <f>+[1]NOTICIAS!O26</f>
        <v>53.468772951972412</v>
      </c>
      <c r="AR54" s="15">
        <f>+[1]NOTICIAS!P26</f>
        <v>58.207805927726923</v>
      </c>
      <c r="AS54" s="16">
        <f>IF(AR54=0,"---",IF(OR(ABS((AQ54-AR54)/ABS(AR54))&gt;2,(AQ54*AR54)&lt;0),"---",IF(AR54="0","---",((AQ54-AR54)/ABS(AR54))*100)))</f>
        <v>-8.1415763748915051</v>
      </c>
      <c r="AV54" s="13" t="str">
        <f>+IF($B$3="esp","EBITDA","EBITDA")</f>
        <v>EBITDA</v>
      </c>
      <c r="AW54" s="13"/>
      <c r="AX54" s="14">
        <f>+'[1]MEDIA CAPITAL'!K25</f>
        <v>17.426579340557801</v>
      </c>
      <c r="AY54" s="15">
        <f>+'[1]MEDIA CAPITAL'!L25</f>
        <v>17.252541439312601</v>
      </c>
      <c r="AZ54" s="16">
        <f>IF(AY54=0,"---",IF(OR(ABS((AX54-AY54)/ABS(AY54))&gt;2,(AX54*AY54)&lt;0),"---",IF(AY54="0","---",((AX54-AY54)/ABS(AY54))*100)))</f>
        <v>1.0087667481187852</v>
      </c>
      <c r="BB54" s="14">
        <f>+'[1]MEDIA CAPITAL'!O25</f>
        <v>12.38511205010899</v>
      </c>
      <c r="BC54" s="15">
        <f>+'[1]MEDIA CAPITAL'!P25</f>
        <v>11.492570882458551</v>
      </c>
      <c r="BD54" s="16">
        <f>IF(BC54=0,"---",IF(OR(ABS((BB54-BC54)/ABS(BC54))&gt;2,(BB54*BC54)&lt;0),"---",IF(BC54="0","---",((BB54-BC54)/ABS(BC54))*100)))</f>
        <v>7.7662446181885265</v>
      </c>
    </row>
    <row r="55" spans="4:56" s="13" customFormat="1" ht="15" customHeight="1">
      <c r="D55" s="13" t="str">
        <f>+IF($B$3="esp","Gastos de Explotación","Operating Expenses")</f>
        <v>Operating Expenses</v>
      </c>
      <c r="F55" s="14">
        <f>+[1]GRUPO!K55</f>
        <v>536.47501402934995</v>
      </c>
      <c r="G55" s="15">
        <f>+[1]GRUPO!L55</f>
        <v>537.9789146285375</v>
      </c>
      <c r="H55" s="16">
        <f>IF(G55=0,"---",IF(OR(ABS((F55-G55)/ABS(G55))&gt;2,(F55*G55)&lt;0),"---",IF(G55="0","---",((F55-G55)/ABS(G55))*100)))</f>
        <v>-0.27954638337934778</v>
      </c>
      <c r="J55" s="14">
        <f>+[1]GRUPO!O55</f>
        <v>256.78527546819555</v>
      </c>
      <c r="K55" s="15">
        <f>+[1]GRUPO!P55</f>
        <v>268.4369825147171</v>
      </c>
      <c r="L55" s="16">
        <f>IF(K55=0,"---",IF(OR(ABS((J55-K55)/ABS(K55))&gt;2,(J55*K55)&lt;0),"---",IF(K55="0","---",((J55-K55)/ABS(K55))*100)))</f>
        <v>-4.3405744385026175</v>
      </c>
      <c r="O55" s="13" t="str">
        <f>+IF($B$3="esp","Gastos de Explotación","Operating Expenses")</f>
        <v>Operating Expenses</v>
      </c>
      <c r="Q55" s="14">
        <f>+[1]SANTILLANA!K55</f>
        <v>236.12452510680978</v>
      </c>
      <c r="R55" s="15">
        <f>+[1]SANTILLANA!L55</f>
        <v>218.82962798055368</v>
      </c>
      <c r="S55" s="16">
        <f>IF(R55=0,"---",IF(OR(ABS((Q55-R55)/ABS(R55))&gt;2,(Q55*R55)&lt;0),"---",IF(R55="0","---",((Q55-R55)/ABS(R55))*100)))</f>
        <v>7.9033617549233393</v>
      </c>
      <c r="U55" s="14">
        <f>+[1]SANTILLANA!O55</f>
        <v>102.10972163970479</v>
      </c>
      <c r="V55" s="15">
        <f>+[1]SANTILLANA!P55</f>
        <v>102.73928561800059</v>
      </c>
      <c r="W55" s="16">
        <f>IF(V55=0,"---",IF(OR(ABS((U55-V55)/ABS(V55))&gt;2,(U55*V55)&lt;0),"---",IF(V55="0","---",((U55-V55)/ABS(V55))*100)))</f>
        <v>-0.61277823230795614</v>
      </c>
      <c r="Z55" s="17" t="str">
        <f>+IF($B$3="esp","Otros","Others")</f>
        <v>Others</v>
      </c>
      <c r="AA55" s="1"/>
      <c r="AB55" s="18">
        <f>+[1]RADIO!K55</f>
        <v>13.02039938149899</v>
      </c>
      <c r="AC55" s="19">
        <f>+[1]RADIO!L55</f>
        <v>15.874176468278009</v>
      </c>
      <c r="AD55" s="20">
        <f t="shared" si="44"/>
        <v>-17.977481178200545</v>
      </c>
      <c r="AF55" s="18">
        <f>+[1]RADIO!O55</f>
        <v>7.5502897754111942</v>
      </c>
      <c r="AG55" s="19">
        <f>+[1]RADIO!P55</f>
        <v>10.507529458753709</v>
      </c>
      <c r="AH55" s="20">
        <f t="shared" si="45"/>
        <v>-28.144005638536374</v>
      </c>
      <c r="AK55" s="13" t="str">
        <f>+IF($B$3="esp","EBITDA","EBITDA")</f>
        <v>EBITDA</v>
      </c>
      <c r="AM55" s="14">
        <f>+[1]NOTICIAS!K27</f>
        <v>3.6569142368221299</v>
      </c>
      <c r="AN55" s="15">
        <f>+[1]NOTICIAS!L27</f>
        <v>7.1233563111520395</v>
      </c>
      <c r="AO55" s="16">
        <f>IF(AN55=0,"---",IF(OR(ABS((AM55-AN55)/ABS(AN55))&gt;2,(AM55*AN55)&lt;0),"---",IF(AN55="0","---",((AM55-AN55)/ABS(AN55))*100)))</f>
        <v>-48.663044819237633</v>
      </c>
      <c r="AQ55" s="14">
        <f>+[1]NOTICIAS!O27</f>
        <v>5.1902525129091801</v>
      </c>
      <c r="AR55" s="15">
        <f>+[1]NOTICIAS!P27</f>
        <v>6.5873082690539775</v>
      </c>
      <c r="AS55" s="16">
        <f>IF(AR55=0,"---",IF(OR(ABS((AQ55-AR55)/ABS(AR55))&gt;2,(AQ55*AR55)&lt;0),"---",IF(AR55="0","---",((AQ55-AR55)/ABS(AR55))*100)))</f>
        <v>-21.208294785715754</v>
      </c>
      <c r="AV55" s="21" t="str">
        <f>+IF($B$3="esp","Margen EBITDA ","EBITDA Margin")</f>
        <v>EBITDA Margin</v>
      </c>
      <c r="AW55" s="22"/>
      <c r="AX55" s="27">
        <f>+AX54/AX50</f>
        <v>0.22049650047610819</v>
      </c>
      <c r="AY55" s="28">
        <f>+AY54/AY50</f>
        <v>0.202337253026078</v>
      </c>
      <c r="AZ55" s="29"/>
      <c r="BB55" s="27">
        <f>+BB54/BB50</f>
        <v>0.28175413918477615</v>
      </c>
      <c r="BC55" s="28">
        <f>+BC54/BC50</f>
        <v>0.24862576990577734</v>
      </c>
      <c r="BD55" s="29"/>
    </row>
    <row r="56" spans="4:56" ht="15" customHeight="1">
      <c r="D56" s="17" t="str">
        <f>+IF($B$3="esp","España","Spain")</f>
        <v>Spain</v>
      </c>
      <c r="F56" s="18">
        <f>+[1]GRUPO!K56</f>
        <v>238.97785637891795</v>
      </c>
      <c r="G56" s="19">
        <f>+[1]GRUPO!L56</f>
        <v>250.00940726232318</v>
      </c>
      <c r="H56" s="20">
        <f t="shared" ref="H56:H59" si="50">IF(G56=0,"---",IF(OR(ABS((F56-G56)/ABS(G56))&gt;2,(F56*G56)&lt;0),"---",IF(G56="0","---",((F56-G56)/ABS(G56))*100)))</f>
        <v>-4.4124543169010995</v>
      </c>
      <c r="J56" s="18">
        <f>+[1]GRUPO!O56</f>
        <v>126.43785326979285</v>
      </c>
      <c r="K56" s="19">
        <f>+[1]GRUPO!P56</f>
        <v>132.98703429726831</v>
      </c>
      <c r="L56" s="20">
        <f t="shared" ref="L56:L59" si="51">IF(K56=0,"---",IF(OR(ABS((J56-K56)/ABS(K56))&gt;2,(J56*K56)&lt;0),"---",IF(K56="0","---",((J56-K56)/ABS(K56))*100)))</f>
        <v>-4.9246763506553233</v>
      </c>
      <c r="O56" s="17" t="str">
        <f>+IF($B$3="esp","España","Spain")</f>
        <v>Spain</v>
      </c>
      <c r="Q56" s="18">
        <f>+[1]SANTILLANA!K56</f>
        <v>44.941125826893355</v>
      </c>
      <c r="R56" s="19">
        <f>+[1]SANTILLANA!L56</f>
        <v>45.754856022660661</v>
      </c>
      <c r="S56" s="20">
        <f t="shared" ref="S56:S59" si="52">IF(R56=0,"---",IF(OR(ABS((Q56-R56)/ABS(R56))&gt;2,(Q56*R56)&lt;0),"---",IF(R56="0","---",((Q56-R56)/ABS(R56))*100)))</f>
        <v>-1.7784564667066072</v>
      </c>
      <c r="U56" s="18">
        <f>+[1]SANTILLANA!O56</f>
        <v>25.356941830510607</v>
      </c>
      <c r="V56" s="19">
        <f>+[1]SANTILLANA!P56</f>
        <v>27.799308931665131</v>
      </c>
      <c r="W56" s="20">
        <f t="shared" ref="W56:W59" si="53">IF(V56=0,"---",IF(OR(ABS((U56-V56)/ABS(V56))&gt;2,(U56*V56)&lt;0),"---",IF(V56="0","---",((U56-V56)/ABS(V56))*100)))</f>
        <v>-8.785711569874735</v>
      </c>
      <c r="Z56" s="13" t="str">
        <f>+IF($B$3="esp","Gastos de Explotación","Operating Expenses")</f>
        <v>Operating Expenses</v>
      </c>
      <c r="AA56" s="13"/>
      <c r="AB56" s="14">
        <f>+[1]RADIO!K56</f>
        <v>118.4406511321408</v>
      </c>
      <c r="AC56" s="15">
        <f>+[1]RADIO!L56</f>
        <v>124.42424306805071</v>
      </c>
      <c r="AD56" s="16">
        <f>IF(AC56=0,"---",IF(OR(ABS((AB56-AC56)/ABS(AC56))&gt;2,(AB56*AC56)&lt;0),"---",IF(AC56="0","---",((AB56-AC56)/ABS(AC56))*100)))</f>
        <v>-4.8090241807919529</v>
      </c>
      <c r="AF56" s="14">
        <f>+[1]RADIO!O56</f>
        <v>60.34492364262973</v>
      </c>
      <c r="AG56" s="15">
        <f>+[1]RADIO!P56</f>
        <v>67.23367748110573</v>
      </c>
      <c r="AH56" s="16">
        <f>IF(AG56=0,"---",IF(OR(ABS((AF56-AG56)/ABS(AG56))&gt;2,(AF56*AG56)&lt;0),"---",IF(AG56="0","---",((AF56-AG56)/ABS(AG56))*100)))</f>
        <v>-10.245986976410599</v>
      </c>
      <c r="AK56" s="21" t="str">
        <f>+IF($B$3="esp","Margen EBITDA ","EBITDA Margin")</f>
        <v>EBITDA Margin</v>
      </c>
      <c r="AL56" s="22"/>
      <c r="AM56" s="27">
        <f>+AM55/AM50</f>
        <v>3.3533085170876276E-2</v>
      </c>
      <c r="AN56" s="28">
        <f>+AN55/AN50</f>
        <v>5.8372896253232019E-2</v>
      </c>
      <c r="AO56" s="29"/>
      <c r="AQ56" s="27">
        <f>+AQ55/AQ50</f>
        <v>8.8481737836175231E-2</v>
      </c>
      <c r="AR56" s="28">
        <f>+AR55/AR50</f>
        <v>0.10166365706291544</v>
      </c>
      <c r="AS56" s="29"/>
      <c r="AV56" s="13" t="str">
        <f>+IF($B$3="esp","EBIT","EBIT")</f>
        <v>EBIT</v>
      </c>
      <c r="AW56" s="13"/>
      <c r="AX56" s="14">
        <f>+'[1]MEDIA CAPITAL'!K27</f>
        <v>13.4931422405578</v>
      </c>
      <c r="AY56" s="15">
        <f>+'[1]MEDIA CAPITAL'!L27</f>
        <v>13.031782149312599</v>
      </c>
      <c r="AZ56" s="16">
        <f>IF(AY56=0,"---",IF(OR(ABS((AX56-AY56)/ABS(AY56))&gt;2,(AX56*AY56)&lt;0),"---",IF(AY56="0","---",((AX56-AY56)/ABS(AY56))*100)))</f>
        <v>3.5402685984091327</v>
      </c>
      <c r="BB56" s="14">
        <f>+'[1]MEDIA CAPITAL'!O27</f>
        <v>10.34370463010899</v>
      </c>
      <c r="BC56" s="15">
        <f>+'[1]MEDIA CAPITAL'!P27</f>
        <v>9.2833884524585493</v>
      </c>
      <c r="BD56" s="16">
        <f>IF(BC56=0,"---",IF(OR(ABS((BB56-BC56)/ABS(BC56))&gt;2,(BB56*BC56)&lt;0),"---",IF(BC56="0","---",((BB56-BC56)/ABS(BC56))*100)))</f>
        <v>11.421650435942206</v>
      </c>
    </row>
    <row r="57" spans="4:56" ht="15" customHeight="1">
      <c r="D57" s="17" t="str">
        <f>+IF($B$3="esp","Internacional","International")</f>
        <v>International</v>
      </c>
      <c r="F57" s="18">
        <f>+[1]GRUPO!K57</f>
        <v>297.49715765043203</v>
      </c>
      <c r="G57" s="19">
        <f>+[1]GRUPO!L57</f>
        <v>287.96950736621437</v>
      </c>
      <c r="H57" s="20">
        <f t="shared" si="50"/>
        <v>3.3085622055467239</v>
      </c>
      <c r="J57" s="18">
        <f>+[1]GRUPO!O57</f>
        <v>130.34742219840274</v>
      </c>
      <c r="K57" s="19">
        <f>+[1]GRUPO!P57</f>
        <v>135.44994821744882</v>
      </c>
      <c r="L57" s="20">
        <f t="shared" si="51"/>
        <v>-3.7670933700576845</v>
      </c>
      <c r="O57" s="17" t="str">
        <f>+IF($B$3="esp","Internacional","International")</f>
        <v>International</v>
      </c>
      <c r="Q57" s="18">
        <f>+[1]SANTILLANA!K57</f>
        <v>191.18339927991644</v>
      </c>
      <c r="R57" s="19">
        <f>+[1]SANTILLANA!L57</f>
        <v>173.07477195789301</v>
      </c>
      <c r="S57" s="20">
        <f t="shared" si="52"/>
        <v>10.462892492748191</v>
      </c>
      <c r="U57" s="18">
        <f>+[1]SANTILLANA!O57</f>
        <v>76.752779809194195</v>
      </c>
      <c r="V57" s="19">
        <f>+[1]SANTILLANA!P57</f>
        <v>74.939976686335442</v>
      </c>
      <c r="W57" s="20">
        <f t="shared" si="53"/>
        <v>2.419006787854125</v>
      </c>
      <c r="Z57" s="17" t="str">
        <f>+IF($B$3="esp","España","Spain")</f>
        <v>Spain</v>
      </c>
      <c r="AB57" s="18">
        <f>+[1]RADIO!K57</f>
        <v>79.722614610000107</v>
      </c>
      <c r="AC57" s="19">
        <f>+[1]RADIO!L57</f>
        <v>80.811746720000002</v>
      </c>
      <c r="AD57" s="20">
        <f t="shared" ref="AD57:AD60" si="54">IF(AC57=0,"---",IF(OR(ABS((AB57-AC57)/ABS(AC57))&gt;2,(AB57*AC57)&lt;0),"---",IF(AC57="0","---",((AB57-AC57)/ABS(AC57))*100)))</f>
        <v>-1.3477398450172922</v>
      </c>
      <c r="AF57" s="18">
        <f>+[1]RADIO!O57</f>
        <v>40.998377220000151</v>
      </c>
      <c r="AG57" s="19">
        <f>+[1]RADIO!P57</f>
        <v>42.430839990000017</v>
      </c>
      <c r="AH57" s="20">
        <f t="shared" ref="AH57:AH60" si="55">IF(AG57=0,"---",IF(OR(ABS((AF57-AG57)/ABS(AG57))&gt;2,(AF57*AG57)&lt;0),"---",IF(AG57="0","---",((AF57-AG57)/ABS(AG57))*100)))</f>
        <v>-3.3759943718707066</v>
      </c>
      <c r="AK57" s="13" t="str">
        <f>+IF($B$3="esp","EBIT","EBIT")</f>
        <v>EBIT</v>
      </c>
      <c r="AL57" s="13"/>
      <c r="AM57" s="14">
        <f>+[1]NOTICIAS!K29</f>
        <v>-0.95064987753644747</v>
      </c>
      <c r="AN57" s="15">
        <f>+[1]NOTICIAS!L29</f>
        <v>3.2812626852148701</v>
      </c>
      <c r="AO57" s="16" t="str">
        <f>IF(AN57=0,"---",IF(OR(ABS((AM57-AN57)/ABS(AN57))&gt;2,(AM57*AN57)&lt;0),"---",IF(AN57="0","---",((AM57-AN57)/ABS(AN57))*100)))</f>
        <v>---</v>
      </c>
      <c r="AQ57" s="14">
        <f>+[1]NOTICIAS!O29</f>
        <v>3.0145676986283427</v>
      </c>
      <c r="AR57" s="15">
        <f>+[1]NOTICIAS!P29</f>
        <v>5.11461400112794</v>
      </c>
      <c r="AS57" s="16">
        <f>IF(AR57=0,"---",IF(OR(ABS((AQ57-AR57)/ABS(AR57))&gt;2,(AQ57*AR57)&lt;0),"---",IF(AR57="0","---",((AQ57-AR57)/ABS(AR57))*100)))</f>
        <v>-41.059722239771531</v>
      </c>
      <c r="AV57" s="21" t="str">
        <f>+IF($B$3="esp","Margen EBIT ","EBIT Margin")</f>
        <v>EBIT Margin</v>
      </c>
      <c r="AW57" s="22"/>
      <c r="AX57" s="27">
        <f>+AX56/AX50</f>
        <v>0.17072717406708898</v>
      </c>
      <c r="AY57" s="28">
        <f>+AY56/AY50</f>
        <v>0.15283632335568814</v>
      </c>
      <c r="AZ57" s="29"/>
      <c r="BB57" s="27">
        <f>+BB56/BB50</f>
        <v>0.2353133005375026</v>
      </c>
      <c r="BC57" s="28">
        <f>+BC56/BC50</f>
        <v>0.20083318388314791</v>
      </c>
      <c r="BD57" s="29"/>
    </row>
    <row r="58" spans="4:56" ht="15" customHeight="1">
      <c r="D58" s="26" t="str">
        <f>+IF($B$3="esp","Portugal","Portugal")</f>
        <v>Portugal</v>
      </c>
      <c r="F58" s="18">
        <f>+[1]GRUPO!K58</f>
        <v>62.718119159442196</v>
      </c>
      <c r="G58" s="19">
        <f>+[1]GRUPO!L58</f>
        <v>69.306876520687396</v>
      </c>
      <c r="H58" s="20">
        <f t="shared" si="50"/>
        <v>-9.5066430519034046</v>
      </c>
      <c r="J58" s="18">
        <f>+[1]GRUPO!O58</f>
        <v>32.30211055989102</v>
      </c>
      <c r="K58" s="19">
        <f>+[1]GRUPO!P58</f>
        <v>35.661877026632503</v>
      </c>
      <c r="L58" s="20">
        <f t="shared" si="51"/>
        <v>-9.4211711409143994</v>
      </c>
      <c r="O58" s="26" t="str">
        <f>+IF($B$3="esp","Portugal","Portugal")</f>
        <v>Portugal</v>
      </c>
      <c r="Q58" s="18">
        <f>+[1]SANTILLANA!K58</f>
        <v>1.5907600000000002</v>
      </c>
      <c r="R58" s="19">
        <f>+[1]SANTILLANA!L58</f>
        <v>2.2747510000000002</v>
      </c>
      <c r="S58" s="20">
        <f t="shared" si="52"/>
        <v>-30.068829511449824</v>
      </c>
      <c r="U58" s="18">
        <f>+[1]SANTILLANA!O58</f>
        <v>0.91531200000000013</v>
      </c>
      <c r="V58" s="19">
        <f>+[1]SANTILLANA!P58</f>
        <v>1.3750250000000004</v>
      </c>
      <c r="W58" s="20">
        <f t="shared" si="53"/>
        <v>-33.433064853366311</v>
      </c>
      <c r="Z58" s="17" t="str">
        <f>+IF($B$3="esp","Latam","Latam")</f>
        <v>Latam</v>
      </c>
      <c r="AB58" s="18">
        <f>+[1]RADIO!K58</f>
        <v>37.639896705413584</v>
      </c>
      <c r="AC58" s="19">
        <f>+[1]RADIO!L58</f>
        <v>39.301019042284153</v>
      </c>
      <c r="AD58" s="20">
        <f t="shared" si="54"/>
        <v>-4.226664797376781</v>
      </c>
      <c r="AF58" s="18">
        <f>+[1]RADIO!O58</f>
        <v>18.267420971749125</v>
      </c>
      <c r="AG58" s="19">
        <f>+[1]RADIO!P58</f>
        <v>21.140126076389212</v>
      </c>
      <c r="AH58" s="20">
        <f t="shared" si="55"/>
        <v>-13.588874041051852</v>
      </c>
      <c r="AK58" s="21" t="str">
        <f>+IF($B$3="esp","Margen EBIT ","EBIT Margin")</f>
        <v>EBIT Margin</v>
      </c>
      <c r="AL58" s="22"/>
      <c r="AM58" s="27">
        <f>+AM57/AM50</f>
        <v>-8.7172466310872724E-3</v>
      </c>
      <c r="AN58" s="28">
        <f>+AN57/AN50</f>
        <v>2.6888561787059118E-2</v>
      </c>
      <c r="AO58" s="29"/>
      <c r="AQ58" s="27">
        <f>+AQ57/AQ50</f>
        <v>5.1391370291910592E-2</v>
      </c>
      <c r="AR58" s="28">
        <f>+AR57/AR50</f>
        <v>7.8935179982783946E-2</v>
      </c>
      <c r="AS58" s="29"/>
    </row>
    <row r="59" spans="4:56" ht="15" customHeight="1">
      <c r="D59" s="26" t="str">
        <f>+IF($B$3="esp","Latam","Latam")</f>
        <v>Latam</v>
      </c>
      <c r="F59" s="18">
        <f>+[1]GRUPO!K59</f>
        <v>234.77903849098982</v>
      </c>
      <c r="G59" s="19">
        <f>+[1]GRUPO!L59</f>
        <v>218.66263084552693</v>
      </c>
      <c r="H59" s="20">
        <f t="shared" si="50"/>
        <v>7.3704444070501642</v>
      </c>
      <c r="J59" s="18">
        <f>+[1]GRUPO!O59</f>
        <v>98.045311638511691</v>
      </c>
      <c r="K59" s="19">
        <f>+[1]GRUPO!P59</f>
        <v>99.788071190816325</v>
      </c>
      <c r="L59" s="20">
        <f t="shared" si="51"/>
        <v>-1.7464608058934232</v>
      </c>
      <c r="O59" s="26" t="str">
        <f>+IF($B$3="esp","Latam","Latam")</f>
        <v>Latam</v>
      </c>
      <c r="Q59" s="18">
        <f>+[1]SANTILLANA!K59</f>
        <v>189.5926392799164</v>
      </c>
      <c r="R59" s="19">
        <f>+[1]SANTILLANA!L59</f>
        <v>170.80002095789303</v>
      </c>
      <c r="S59" s="20">
        <f t="shared" si="52"/>
        <v>11.002702585532045</v>
      </c>
      <c r="U59" s="18">
        <f>+[1]SANTILLANA!O59</f>
        <v>75.837467809194152</v>
      </c>
      <c r="V59" s="19">
        <f>+[1]SANTILLANA!P59</f>
        <v>73.564951686335448</v>
      </c>
      <c r="W59" s="20">
        <f t="shared" si="53"/>
        <v>3.0891288185006989</v>
      </c>
      <c r="Z59" s="17" t="str">
        <f>+IF($B$3="esp","Música","Music")</f>
        <v>Music</v>
      </c>
      <c r="AB59" s="18">
        <f>+[1]RADIO!K59</f>
        <v>5.52831379320238</v>
      </c>
      <c r="AC59" s="19">
        <f>+[1]RADIO!L59</f>
        <v>8.8993429092176619</v>
      </c>
      <c r="AD59" s="20">
        <f t="shared" si="54"/>
        <v>-37.879528302293814</v>
      </c>
      <c r="AF59" s="18">
        <f>+[1]RADIO!O59</f>
        <v>3.5115709854748518</v>
      </c>
      <c r="AG59" s="19">
        <f>+[1]RADIO!P59</f>
        <v>6.0511572737061821</v>
      </c>
      <c r="AH59" s="20">
        <f t="shared" si="55"/>
        <v>-41.968604902511444</v>
      </c>
    </row>
    <row r="60" spans="4:56" s="13" customFormat="1" ht="15" customHeight="1">
      <c r="D60" s="13" t="str">
        <f>+IF($B$3="esp","EBITDA","EBITDA")</f>
        <v>EBITDA</v>
      </c>
      <c r="F60" s="14">
        <f>+[1]GRUPO!K60</f>
        <v>118.54934649393701</v>
      </c>
      <c r="G60" s="15">
        <f>+[1]GRUPO!L60</f>
        <v>86.474939563265508</v>
      </c>
      <c r="H60" s="16">
        <f>IF(G60=0,"---",IF(OR(ABS((F60-G60)/ABS(G60))&gt;2,(F60*G60)&lt;0),"---",IF(G60="0","---",((F60-G60)/ABS(G60))*100)))</f>
        <v>37.090985079215585</v>
      </c>
      <c r="J60" s="14">
        <f>+[1]GRUPO!O60</f>
        <v>35.718438639792396</v>
      </c>
      <c r="K60" s="15">
        <f>+[1]GRUPO!P60</f>
        <v>31.470028262100911</v>
      </c>
      <c r="L60" s="16">
        <f>IF(K60=0,"---",IF(OR(ABS((J60-K60)/ABS(K60))&gt;2,(J60*K60)&lt;0),"---",IF(K60="0","---",((J60-K60)/ABS(K60))*100)))</f>
        <v>13.499861971232512</v>
      </c>
      <c r="O60" s="13" t="str">
        <f>+IF($B$3="esp","EBITDA","EBITDA")</f>
        <v>EBITDA</v>
      </c>
      <c r="Q60" s="14">
        <f>+[1]SANTILLANA!K60</f>
        <v>91.89695832286921</v>
      </c>
      <c r="R60" s="15">
        <f>+[1]SANTILLANA!L60</f>
        <v>60.731049127301304</v>
      </c>
      <c r="S60" s="16">
        <f>IF(R60=0,"---",IF(OR(ABS((Q60-R60)/ABS(R60))&gt;2,(Q60*R60)&lt;0),"---",IF(R60="0","---",((Q60-R60)/ABS(R60))*100)))</f>
        <v>51.31791668910499</v>
      </c>
      <c r="U60" s="14">
        <f>+[1]SANTILLANA!O60</f>
        <v>10.310987541293201</v>
      </c>
      <c r="V60" s="15">
        <f>+[1]SANTILLANA!P60</f>
        <v>8.4980969106924036</v>
      </c>
      <c r="W60" s="16">
        <f>IF(V60=0,"---",IF(OR(ABS((U60-V60)/ABS(V60))&gt;2,(U60*V60)&lt;0),"---",IF(V60="0","---",((U60-V60)/ABS(V60))*100)))</f>
        <v>21.332901350181093</v>
      </c>
      <c r="Z60" s="17" t="str">
        <f>+IF($B$3="esp","Ajustes y Otros","Adjustments &amp; others")</f>
        <v>Adjustments &amp; others</v>
      </c>
      <c r="AA60" s="1"/>
      <c r="AB60" s="18">
        <f>+[1]RADIO!K60</f>
        <v>-4.4501739764752708</v>
      </c>
      <c r="AC60" s="19">
        <f>+[1]RADIO!L60</f>
        <v>-4.5878656034511032</v>
      </c>
      <c r="AD60" s="20">
        <f t="shared" si="54"/>
        <v>3.0012131757359546</v>
      </c>
      <c r="AF60" s="18">
        <f>+[1]RADIO!O60</f>
        <v>-2.4324455345943976</v>
      </c>
      <c r="AG60" s="19">
        <f>+[1]RADIO!P60</f>
        <v>-2.388445858989674</v>
      </c>
      <c r="AH60" s="20">
        <f t="shared" si="55"/>
        <v>-1.8421885277037735</v>
      </c>
      <c r="AK60" s="1"/>
      <c r="AL60" s="1"/>
      <c r="AM60" s="1"/>
      <c r="AN60" s="1"/>
      <c r="AO60" s="1"/>
      <c r="AQ60" s="1"/>
      <c r="AR60" s="1"/>
      <c r="AS60" s="1"/>
    </row>
    <row r="61" spans="4:56" ht="15" customHeight="1">
      <c r="D61" s="17" t="str">
        <f>+IF($B$3="esp","España","Spain")</f>
        <v>Spain</v>
      </c>
      <c r="F61" s="18">
        <f>+[1]GRUPO!K61</f>
        <v>5.9315603999992597</v>
      </c>
      <c r="G61" s="19">
        <f>+[1]GRUPO!L61</f>
        <v>0.41303227900779166</v>
      </c>
      <c r="H61" s="20" t="str">
        <f t="shared" ref="H61:H64" si="56">IF(G61=0,"---",IF(OR(ABS((F61-G61)/ABS(G61))&gt;2,(F61*G61)&lt;0),"---",IF(G61="0","---",((F61-G61)/ABS(G61))*100)))</f>
        <v>---</v>
      </c>
      <c r="J61" s="18">
        <f>+[1]GRUPO!O61</f>
        <v>25.23326029999982</v>
      </c>
      <c r="K61" s="19">
        <f>+[1]GRUPO!P61</f>
        <v>19.973060682166395</v>
      </c>
      <c r="L61" s="20">
        <f t="shared" ref="L61:L64" si="57">IF(K61=0,"---",IF(OR(ABS((J61-K61)/ABS(K61))&gt;2,(J61*K61)&lt;0),"---",IF(K61="0","---",((J61-K61)/ABS(K61))*100)))</f>
        <v>26.336472419223</v>
      </c>
      <c r="O61" s="17" t="str">
        <f>+IF($B$3="esp","España","Spain")</f>
        <v>Spain</v>
      </c>
      <c r="Q61" s="18">
        <f>+[1]SANTILLANA!K61</f>
        <v>1.6017105599990629</v>
      </c>
      <c r="R61" s="19">
        <f>+[1]SANTILLANA!L61</f>
        <v>-5.6690922107011232</v>
      </c>
      <c r="S61" s="20" t="str">
        <f t="shared" ref="S61:S64" si="58">IF(R61=0,"---",IF(OR(ABS((Q61-R61)/ABS(R61))&gt;2,(Q61*R61)&lt;0),"---",IF(R61="0","---",((Q61-R61)/ABS(R61))*100)))</f>
        <v>---</v>
      </c>
      <c r="U61" s="18">
        <f>+[1]SANTILLANA!O61</f>
        <v>17.497796369998923</v>
      </c>
      <c r="V61" s="19">
        <f>+[1]SANTILLANA!P61</f>
        <v>10.70748831336676</v>
      </c>
      <c r="W61" s="20">
        <f t="shared" ref="W61:W64" si="59">IF(V61=0,"---",IF(OR(ABS((U61-V61)/ABS(V61))&gt;2,(U61*V61)&lt;0),"---",IF(V61="0","---",((U61-V61)/ABS(V61))*100)))</f>
        <v>63.41644144645425</v>
      </c>
      <c r="Z61" s="13" t="str">
        <f>+IF($B$3="esp","EBITDA","EBITDA")</f>
        <v>EBITDA</v>
      </c>
      <c r="AA61" s="13"/>
      <c r="AB61" s="14">
        <f>+[1]RADIO!K61</f>
        <v>18.3272535598662</v>
      </c>
      <c r="AC61" s="15">
        <f>+[1]RADIO!L61</f>
        <v>13.375801893808301</v>
      </c>
      <c r="AD61" s="16">
        <f>IF(AC61=0,"---",IF(OR(ABS((AB61-AC61)/ABS(AC61))&gt;2,(AB61*AC61)&lt;0),"---",IF(AC61="0","---",((AB61-AC61)/ABS(AC61))*100)))</f>
        <v>37.017979971353647</v>
      </c>
      <c r="AF61" s="14">
        <f>+[1]RADIO!O61</f>
        <v>15.43831422741447</v>
      </c>
      <c r="AG61" s="15">
        <f>+[1]RADIO!P61</f>
        <v>10.68274788524668</v>
      </c>
      <c r="AH61" s="16">
        <f>IF(AG61=0,"---",IF(OR(ABS((AF61-AG61)/ABS(AG61))&gt;2,(AF61*AG61)&lt;0),"---",IF(AG61="0","---",((AF61-AG61)/ABS(AG61))*100)))</f>
        <v>44.516321018259958</v>
      </c>
    </row>
    <row r="62" spans="4:56" ht="15" customHeight="1">
      <c r="D62" s="17" t="str">
        <f>+IF($B$3="esp","Internacional","International")</f>
        <v>International</v>
      </c>
      <c r="F62" s="18">
        <f>+[1]GRUPO!K62</f>
        <v>112.61778609393774</v>
      </c>
      <c r="G62" s="19">
        <f>+[1]GRUPO!L62</f>
        <v>86.061907284257714</v>
      </c>
      <c r="H62" s="20">
        <f t="shared" si="56"/>
        <v>30.856716574927194</v>
      </c>
      <c r="J62" s="18">
        <f>+[1]GRUPO!O62</f>
        <v>10.485178339792569</v>
      </c>
      <c r="K62" s="19">
        <f>+[1]GRUPO!P62</f>
        <v>11.496967579934505</v>
      </c>
      <c r="L62" s="20">
        <f t="shared" si="57"/>
        <v>-8.8004878948062633</v>
      </c>
      <c r="O62" s="17" t="str">
        <f>+IF($B$3="esp","Internacional","International")</f>
        <v>International</v>
      </c>
      <c r="Q62" s="18">
        <f>+[1]SANTILLANA!K62</f>
        <v>90.295247762870147</v>
      </c>
      <c r="R62" s="19">
        <f>+[1]SANTILLANA!L62</f>
        <v>66.400141338002427</v>
      </c>
      <c r="S62" s="20">
        <f t="shared" si="58"/>
        <v>35.986529461183487</v>
      </c>
      <c r="U62" s="18">
        <f>+[1]SANTILLANA!O62</f>
        <v>-7.1868088287057219</v>
      </c>
      <c r="V62" s="19">
        <f>+[1]SANTILLANA!P62</f>
        <v>-2.2093914026743562</v>
      </c>
      <c r="W62" s="20" t="str">
        <f t="shared" si="59"/>
        <v>---</v>
      </c>
      <c r="Z62" s="17" t="str">
        <f>+IF($B$3="esp","España","Spain")</f>
        <v>Spain</v>
      </c>
      <c r="AB62" s="18">
        <f>+[1]RADIO!K62</f>
        <v>12.0597175799999</v>
      </c>
      <c r="AC62" s="19">
        <f>+[1]RADIO!L62</f>
        <v>9.1499827700000012</v>
      </c>
      <c r="AD62" s="20">
        <f t="shared" ref="AD62:AD65" si="60">IF(AC62=0,"---",IF(OR(ABS((AB62-AC62)/ABS(AC62))&gt;2,(AB62*AC62)&lt;0),"---",IF(AC62="0","---",((AB62-AC62)/ABS(AC62))*100)))</f>
        <v>31.80044031929798</v>
      </c>
      <c r="AF62" s="18">
        <f>+[1]RADIO!O62</f>
        <v>9.1095588599998596</v>
      </c>
      <c r="AG62" s="19">
        <f>+[1]RADIO!P62</f>
        <v>7.4683832399999908</v>
      </c>
      <c r="AH62" s="20">
        <f t="shared" ref="AH62:AH65" si="61">IF(AG62=0,"---",IF(OR(ABS((AF62-AG62)/ABS(AG62))&gt;2,(AF62*AG62)&lt;0),"---",IF(AG62="0","---",((AF62-AG62)/ABS(AG62))*100)))</f>
        <v>21.974978616655335</v>
      </c>
    </row>
    <row r="63" spans="4:56" ht="15" customHeight="1">
      <c r="D63" s="26" t="str">
        <f>+IF($B$3="esp","Portugal","Portugal")</f>
        <v>Portugal</v>
      </c>
      <c r="F63" s="18">
        <f>+[1]GRUPO!K63</f>
        <v>15.881384100557797</v>
      </c>
      <c r="G63" s="19">
        <f>+[1]GRUPO!L63</f>
        <v>14.916439639312605</v>
      </c>
      <c r="H63" s="20">
        <f t="shared" si="56"/>
        <v>6.4689998724766733</v>
      </c>
      <c r="J63" s="18">
        <f>+[1]GRUPO!O63</f>
        <v>11.401994440108977</v>
      </c>
      <c r="K63" s="19">
        <f>+[1]GRUPO!P63</f>
        <v>10.079311343367507</v>
      </c>
      <c r="L63" s="20">
        <f t="shared" si="57"/>
        <v>13.122752653253789</v>
      </c>
      <c r="O63" s="26" t="str">
        <f>+IF($B$3="esp","Portugal","Portugal")</f>
        <v>Portugal</v>
      </c>
      <c r="Q63" s="18">
        <f>+[1]SANTILLANA!K63</f>
        <v>-1.5226820000000001</v>
      </c>
      <c r="R63" s="19">
        <f>+[1]SANTILLANA!L63</f>
        <v>-2.2066210000000002</v>
      </c>
      <c r="S63" s="20">
        <f t="shared" si="58"/>
        <v>30.994855935840366</v>
      </c>
      <c r="U63" s="18">
        <f>+[1]SANTILLANA!O63</f>
        <v>-0.89378200000000008</v>
      </c>
      <c r="V63" s="19">
        <f>+[1]SANTILLANA!P63</f>
        <v>-1.3391630000000001</v>
      </c>
      <c r="W63" s="20">
        <f t="shared" si="59"/>
        <v>33.258162001190293</v>
      </c>
      <c r="Z63" s="17" t="str">
        <f>+IF($B$3="esp","Latam","Latam")</f>
        <v>Latam</v>
      </c>
      <c r="AB63" s="18">
        <f>+[1]RADIO!K63</f>
        <v>7.0699744915293108</v>
      </c>
      <c r="AC63" s="19">
        <f>+[1]RADIO!L63</f>
        <v>5.0387611807460395</v>
      </c>
      <c r="AD63" s="20">
        <f t="shared" si="60"/>
        <v>40.311759933074057</v>
      </c>
      <c r="AF63" s="18">
        <f>+[1]RADIO!O63</f>
        <v>6.4627989380204687</v>
      </c>
      <c r="AG63" s="19">
        <f>+[1]RADIO!P63</f>
        <v>3.3861533275138793</v>
      </c>
      <c r="AH63" s="20">
        <f t="shared" si="61"/>
        <v>90.859607139097534</v>
      </c>
    </row>
    <row r="64" spans="4:56" ht="15" customHeight="1">
      <c r="D64" s="26" t="str">
        <f>+IF($B$3="esp","Latam","Latam")</f>
        <v>Latam</v>
      </c>
      <c r="F64" s="18">
        <f>+[1]GRUPO!K64</f>
        <v>96.736401993379943</v>
      </c>
      <c r="G64" s="19">
        <f>+[1]GRUPO!L64</f>
        <v>71.145467644945114</v>
      </c>
      <c r="H64" s="20">
        <f t="shared" si="56"/>
        <v>35.969872987760262</v>
      </c>
      <c r="J64" s="18">
        <f>+[1]GRUPO!O64</f>
        <v>-0.91681610031639593</v>
      </c>
      <c r="K64" s="19">
        <f>+[1]GRUPO!P64</f>
        <v>1.417656236566998</v>
      </c>
      <c r="L64" s="20" t="str">
        <f t="shared" si="57"/>
        <v>---</v>
      </c>
      <c r="O64" s="26" t="str">
        <f>+IF($B$3="esp","Latam","Latam")</f>
        <v>Latam</v>
      </c>
      <c r="Q64" s="18">
        <f>+[1]SANTILLANA!K64</f>
        <v>91.817929762870151</v>
      </c>
      <c r="R64" s="19">
        <f>+[1]SANTILLANA!L64</f>
        <v>68.606762338002426</v>
      </c>
      <c r="S64" s="20">
        <f t="shared" si="58"/>
        <v>33.832185973904608</v>
      </c>
      <c r="U64" s="18">
        <f>+[1]SANTILLANA!O64</f>
        <v>-6.2930268287057203</v>
      </c>
      <c r="V64" s="19">
        <f>+[1]SANTILLANA!P64</f>
        <v>-0.87022840267435697</v>
      </c>
      <c r="W64" s="20" t="str">
        <f t="shared" si="59"/>
        <v>---</v>
      </c>
      <c r="Z64" s="17" t="str">
        <f>+IF($B$3="esp","Música","Music")</f>
        <v>Music</v>
      </c>
      <c r="AB64" s="18">
        <f>+[1]RADIO!K64</f>
        <v>-0.80243851166303004</v>
      </c>
      <c r="AC64" s="19">
        <f>+[1]RADIO!L64</f>
        <v>-0.81130623693798098</v>
      </c>
      <c r="AD64" s="20">
        <f t="shared" si="60"/>
        <v>1.0930182551559533</v>
      </c>
      <c r="AF64" s="18">
        <f>+[1]RADIO!O64</f>
        <v>-0.134043570605892</v>
      </c>
      <c r="AG64" s="19">
        <f>+[1]RADIO!P64</f>
        <v>-0.17116956226749092</v>
      </c>
      <c r="AH64" s="20">
        <f t="shared" si="61"/>
        <v>21.689598997502372</v>
      </c>
    </row>
    <row r="65" spans="4:34" s="22" customFormat="1" ht="15" customHeight="1">
      <c r="D65" s="21" t="str">
        <f>+IF($B$3="esp","Margen EBITDA ","EBITDA Margin")</f>
        <v>EBITDA Margin</v>
      </c>
      <c r="F65" s="27">
        <f>+F60/F50</f>
        <v>0.18098463757779956</v>
      </c>
      <c r="G65" s="28">
        <f>+G60/G50</f>
        <v>0.13848091253305717</v>
      </c>
      <c r="H65" s="29"/>
      <c r="J65" s="27">
        <f>+J60/J50</f>
        <v>0.12211276957189569</v>
      </c>
      <c r="K65" s="28">
        <f>+K60/K50</f>
        <v>0.10493261954959761</v>
      </c>
      <c r="L65" s="29"/>
      <c r="O65" s="21" t="str">
        <f>+IF($B$3="esp","Margen EBITDA ","EBITDA Margin")</f>
        <v>EBITDA Margin</v>
      </c>
      <c r="Q65" s="27">
        <f>+Q60/Q50</f>
        <v>0.28015530373811631</v>
      </c>
      <c r="R65" s="28">
        <f>+R60/R50</f>
        <v>0.21723745183186532</v>
      </c>
      <c r="S65" s="29"/>
      <c r="U65" s="27">
        <f>+U60/U50</f>
        <v>9.1717866008943702E-2</v>
      </c>
      <c r="V65" s="28">
        <f>+V60/V50</f>
        <v>7.6396052455660515E-2</v>
      </c>
      <c r="W65" s="29"/>
      <c r="Z65" s="17" t="str">
        <f>+IF($B$3="esp","Ajustes y Otros","Adjustments &amp; others")</f>
        <v>Adjustments &amp; others</v>
      </c>
      <c r="AA65" s="1"/>
      <c r="AB65" s="18">
        <f>+[1]RADIO!K65</f>
        <v>1.9872992140790302E-14</v>
      </c>
      <c r="AC65" s="19">
        <f>+[1]RADIO!L65</f>
        <v>-1.635819999758481E-3</v>
      </c>
      <c r="AD65" s="20" t="str">
        <f t="shared" si="60"/>
        <v>---</v>
      </c>
      <c r="AF65" s="18">
        <f>+[1]RADIO!O65</f>
        <v>3.4527936065842368E-14</v>
      </c>
      <c r="AG65" s="19">
        <f>+[1]RADIO!P65</f>
        <v>-6.1911999969832543E-4</v>
      </c>
      <c r="AH65" s="20" t="str">
        <f t="shared" si="61"/>
        <v>---</v>
      </c>
    </row>
    <row r="66" spans="4:34" s="13" customFormat="1" ht="15" customHeight="1">
      <c r="D66" s="13" t="str">
        <f>+IF($B$3="esp","EBIT","EBIT")</f>
        <v>EBIT</v>
      </c>
      <c r="F66" s="14">
        <f>+[1]GRUPO!K66</f>
        <v>79.86789199897882</v>
      </c>
      <c r="G66" s="15">
        <f>+[1]GRUPO!L66</f>
        <v>44.943881743738388</v>
      </c>
      <c r="H66" s="16">
        <f>IF(G66=0,"---",IF(OR(ABS((F66-G66)/ABS(G66))&gt;2,(F66*G66)&lt;0),"---",IF(G66="0","---",((F66-G66)/ABS(G66))*100)))</f>
        <v>77.705816454329891</v>
      </c>
      <c r="J66" s="14">
        <f>+[1]GRUPO!O66</f>
        <v>17.930958058254497</v>
      </c>
      <c r="K66" s="15">
        <f>+[1]GRUPO!P66</f>
        <v>5.8989363932251919</v>
      </c>
      <c r="L66" s="16" t="str">
        <f>IF(K66=0,"---",IF(OR(ABS((J66-K66)/ABS(K66))&gt;2,(J66*K66)&lt;0),"---",IF(K66="0","---",((J66-K66)/ABS(K66))*100)))</f>
        <v>---</v>
      </c>
      <c r="O66" s="13" t="str">
        <f>+IF($B$3="esp","EBIT","EBIT")</f>
        <v>EBIT</v>
      </c>
      <c r="Q66" s="14">
        <f>+[1]SANTILLANA!K66</f>
        <v>68.482942476266004</v>
      </c>
      <c r="R66" s="15">
        <f>+[1]SANTILLANA!L66</f>
        <v>35.335511206258403</v>
      </c>
      <c r="S66" s="16">
        <f>IF(R66=0,"---",IF(OR(ABS((Q66-R66)/ABS(R66))&gt;2,(Q66*R66)&lt;0),"---",IF(R66="0","---",((Q66-R66)/ABS(R66))*100)))</f>
        <v>93.807702615426535</v>
      </c>
      <c r="U66" s="14">
        <f>+[1]SANTILLANA!O66</f>
        <v>-0.81843548850069681</v>
      </c>
      <c r="V66" s="15">
        <f>+[1]SANTILLANA!P66</f>
        <v>-9.0732374644917968</v>
      </c>
      <c r="W66" s="16">
        <f>IF(V66=0,"---",IF(OR(ABS((U66-V66)/ABS(V66))&gt;2,(U66*V66)&lt;0),"---",IF(V66="0","---",((U66-V66)/ABS(V66))*100)))</f>
        <v>90.979675207403616</v>
      </c>
      <c r="Z66" s="21" t="str">
        <f>+IF($B$3="esp","Margen EBITDA ","EBITDA Margin")</f>
        <v>EBITDA Margin</v>
      </c>
      <c r="AA66" s="22"/>
      <c r="AB66" s="27">
        <f>+AB61/AB50</f>
        <v>0.13400259074772009</v>
      </c>
      <c r="AC66" s="28">
        <f>+AC61/AC50</f>
        <v>9.706674549714786E-2</v>
      </c>
      <c r="AD66" s="29"/>
      <c r="AF66" s="27">
        <f>+AF61/AF50</f>
        <v>0.2037167408165991</v>
      </c>
      <c r="AG66" s="28">
        <f>+AG61/AG50</f>
        <v>0.13710521029446429</v>
      </c>
      <c r="AH66" s="29"/>
    </row>
    <row r="67" spans="4:34" ht="15" customHeight="1">
      <c r="D67" s="17" t="str">
        <f>+IF($B$3="esp","España","Spain")</f>
        <v>Spain</v>
      </c>
      <c r="F67" s="18">
        <f>+[1]GRUPO!K67</f>
        <v>-4.1566002286838337</v>
      </c>
      <c r="G67" s="19">
        <f>+[1]GRUPO!L67</f>
        <v>-12.811143804719643</v>
      </c>
      <c r="H67" s="20">
        <f t="shared" ref="H67:H70" si="62">IF(G67=0,"---",IF(OR(ABS((F67-G67)/ABS(G67))&gt;2,(F67*G67)&lt;0),"---",IF(G67="0","---",((F67-G67)/ABS(G67))*100)))</f>
        <v>67.554807813861743</v>
      </c>
      <c r="J67" s="18">
        <f>+[1]GRUPO!O67</f>
        <v>20.591590909999908</v>
      </c>
      <c r="K67" s="19">
        <f>+[1]GRUPO!P67</f>
        <v>12.823201598438827</v>
      </c>
      <c r="L67" s="20">
        <f t="shared" ref="L67:L70" si="63">IF(K67=0,"---",IF(OR(ABS((J67-K67)/ABS(K67))&gt;2,(J67*K67)&lt;0),"---",IF(K67="0","---",((J67-K67)/ABS(K67))*100)))</f>
        <v>60.580731355786</v>
      </c>
      <c r="O67" s="17" t="str">
        <f>+IF($B$3="esp","España","Spain")</f>
        <v>Spain</v>
      </c>
      <c r="Q67" s="18">
        <f>+[1]SANTILLANA!K67</f>
        <v>0.15957202999891251</v>
      </c>
      <c r="R67" s="19">
        <f>+[1]SANTILLANA!L67</f>
        <v>-7.8787080107012812</v>
      </c>
      <c r="S67" s="20" t="str">
        <f t="shared" ref="S67:S70" si="64">IF(R67=0,"---",IF(OR(ABS((Q67-R67)/ABS(R67))&gt;2,(Q67*R67)&lt;0),"---",IF(R67="0","---",((Q67-R67)/ABS(R67))*100)))</f>
        <v>---</v>
      </c>
      <c r="U67" s="18">
        <f>+[1]SANTILLANA!O67</f>
        <v>16.780393569998878</v>
      </c>
      <c r="V67" s="19">
        <f>+[1]SANTILLANA!P67</f>
        <v>8.828932393366614</v>
      </c>
      <c r="W67" s="20">
        <f t="shared" ref="W67:W70" si="65">IF(V67=0,"---",IF(OR(ABS((U67-V67)/ABS(V67))&gt;2,(U67*V67)&lt;0),"---",IF(V67="0","---",((U67-V67)/ABS(V67))*100)))</f>
        <v>90.061411984606266</v>
      </c>
      <c r="Z67" s="13" t="str">
        <f>+IF($B$3="esp","EBIT","EBIT")</f>
        <v>EBIT</v>
      </c>
      <c r="AA67" s="13"/>
      <c r="AB67" s="14">
        <f>+[1]RADIO!K67</f>
        <v>12.210648026501524</v>
      </c>
      <c r="AC67" s="15">
        <f>+[1]RADIO!L67</f>
        <v>8.0506385823021809</v>
      </c>
      <c r="AD67" s="16">
        <f>IF(AC67=0,"---",IF(OR(ABS((AB67-AC67)/ABS(AC67))&gt;2,(AB67*AC67)&lt;0),"---",IF(AC67="0","---",((AB67-AC67)/ABS(AC67))*100)))</f>
        <v>51.67303688609676</v>
      </c>
      <c r="AF67" s="14">
        <f>+[1]RADIO!O67</f>
        <v>13.30748205818181</v>
      </c>
      <c r="AG67" s="15">
        <f>+[1]RADIO!P67</f>
        <v>7.5183401942036605</v>
      </c>
      <c r="AH67" s="16">
        <f>IF(AG67=0,"---",IF(OR(ABS((AF67-AG67)/ABS(AG67))&gt;2,(AF67*AG67)&lt;0),"---",IF(AG67="0","---",((AF67-AG67)/ABS(AG67))*100)))</f>
        <v>77.000264878162156</v>
      </c>
    </row>
    <row r="68" spans="4:34" ht="15" customHeight="1">
      <c r="D68" s="17" t="str">
        <f>+IF($B$3="esp","Internacional","International")</f>
        <v>International</v>
      </c>
      <c r="F68" s="18">
        <f>+[1]GRUPO!K68</f>
        <v>84.024492227662662</v>
      </c>
      <c r="G68" s="19">
        <f>+[1]GRUPO!L68</f>
        <v>57.755025548458029</v>
      </c>
      <c r="H68" s="20">
        <f t="shared" si="62"/>
        <v>45.484295833552771</v>
      </c>
      <c r="J68" s="18">
        <f>+[1]GRUPO!O68</f>
        <v>-2.6606328517454045</v>
      </c>
      <c r="K68" s="19">
        <f>+[1]GRUPO!P68</f>
        <v>-6.9242652052136364</v>
      </c>
      <c r="L68" s="20">
        <f t="shared" si="63"/>
        <v>61.575231842043301</v>
      </c>
      <c r="O68" s="17" t="str">
        <f>+IF($B$3="esp","Internacional","International")</f>
        <v>International</v>
      </c>
      <c r="Q68" s="18">
        <f>+[1]SANTILLANA!K68</f>
        <v>68.323370446267091</v>
      </c>
      <c r="R68" s="19">
        <f>+[1]SANTILLANA!L68</f>
        <v>43.214219216959684</v>
      </c>
      <c r="S68" s="20">
        <f t="shared" si="64"/>
        <v>58.103910435695596</v>
      </c>
      <c r="U68" s="18">
        <f>+[1]SANTILLANA!O68</f>
        <v>-17.598829058499575</v>
      </c>
      <c r="V68" s="19">
        <f>+[1]SANTILLANA!P68</f>
        <v>-17.902169857858411</v>
      </c>
      <c r="W68" s="20">
        <f t="shared" si="65"/>
        <v>1.6944359357962397</v>
      </c>
      <c r="Z68" s="17" t="str">
        <f>+IF($B$3="esp","España","Spain")</f>
        <v>Spain</v>
      </c>
      <c r="AB68" s="18">
        <f>+[1]RADIO!K68</f>
        <v>9.2678963299998998</v>
      </c>
      <c r="AC68" s="19">
        <f>+[1]RADIO!L68</f>
        <v>5.9747585199999991</v>
      </c>
      <c r="AD68" s="20">
        <f t="shared" ref="AD68:AD71" si="66">IF(AC68=0,"---",IF(OR(ABS((AB68-AC68)/ABS(AC68))&gt;2,(AB68*AC68)&lt;0),"---",IF(AC68="0","---",((AB68-AC68)/ABS(AC68))*100)))</f>
        <v>55.117504732223075</v>
      </c>
      <c r="AF68" s="18">
        <f>+[1]RADIO!O68</f>
        <v>7.9930612999998303</v>
      </c>
      <c r="AG68" s="19">
        <f>+[1]RADIO!P68</f>
        <v>5.8935098599999689</v>
      </c>
      <c r="AH68" s="20">
        <f t="shared" ref="AH68:AH71" si="67">IF(AG68=0,"---",IF(OR(ABS((AF68-AG68)/ABS(AG68))&gt;2,(AF68*AG68)&lt;0),"---",IF(AG68="0","---",((AF68-AG68)/ABS(AG68))*100)))</f>
        <v>35.62480575878552</v>
      </c>
    </row>
    <row r="69" spans="4:34" ht="15" customHeight="1">
      <c r="D69" s="26" t="str">
        <f>+IF($B$3="esp","Portugal","Portugal")</f>
        <v>Portugal</v>
      </c>
      <c r="F69" s="18">
        <f>+[1]GRUPO!K69</f>
        <v>12.675174080557799</v>
      </c>
      <c r="G69" s="19">
        <f>+[1]GRUPO!L69</f>
        <v>11.172230429312599</v>
      </c>
      <c r="H69" s="20">
        <f t="shared" si="62"/>
        <v>13.452494206545584</v>
      </c>
      <c r="J69" s="18">
        <f>+[1]GRUPO!O69</f>
        <v>9.7316903901089784</v>
      </c>
      <c r="K69" s="19">
        <f>+[1]GRUPO!P69</f>
        <v>8.0973579833675018</v>
      </c>
      <c r="L69" s="20">
        <f t="shared" si="63"/>
        <v>20.183526652748977</v>
      </c>
      <c r="O69" s="26" t="str">
        <f>+IF($B$3="esp","Portugal","Portugal")</f>
        <v>Portugal</v>
      </c>
      <c r="Q69" s="18">
        <f>+[1]SANTILLANA!K69</f>
        <v>-1.527415</v>
      </c>
      <c r="R69" s="19">
        <f>+[1]SANTILLANA!L69</f>
        <v>-2.1968350000000001</v>
      </c>
      <c r="S69" s="20">
        <f t="shared" si="64"/>
        <v>30.472019974190147</v>
      </c>
      <c r="U69" s="18">
        <f>+[1]SANTILLANA!O69</f>
        <v>-0.89630599999999994</v>
      </c>
      <c r="V69" s="19">
        <f>+[1]SANTILLANA!P69</f>
        <v>-1.345316</v>
      </c>
      <c r="W69" s="20">
        <f t="shared" si="65"/>
        <v>33.375801670388221</v>
      </c>
      <c r="Z69" s="17" t="str">
        <f>+IF($B$3="esp","Latam","Latam")</f>
        <v>Latam</v>
      </c>
      <c r="AB69" s="18">
        <f>+[1]RADIO!K69</f>
        <v>4.1309946634057342</v>
      </c>
      <c r="AC69" s="19">
        <f>+[1]RADIO!L69</f>
        <v>3.8240177972399696</v>
      </c>
      <c r="AD69" s="20">
        <f t="shared" si="66"/>
        <v>8.0276003523657451</v>
      </c>
      <c r="AF69" s="18">
        <f>+[1]RADIO!O69</f>
        <v>5.5256530348437005</v>
      </c>
      <c r="AG69" s="19">
        <f>+[1]RADIO!P69</f>
        <v>2.7168576344709194</v>
      </c>
      <c r="AH69" s="20">
        <f t="shared" si="67"/>
        <v>103.38397436565592</v>
      </c>
    </row>
    <row r="70" spans="4:34" ht="15" customHeight="1">
      <c r="D70" s="26" t="str">
        <f>+IF($B$3="esp","Latam","Latam")</f>
        <v>Latam</v>
      </c>
      <c r="F70" s="18">
        <f>+[1]GRUPO!K70</f>
        <v>71.349318147104853</v>
      </c>
      <c r="G70" s="19">
        <f>+[1]GRUPO!L70</f>
        <v>46.582795119145423</v>
      </c>
      <c r="H70" s="20">
        <f t="shared" si="62"/>
        <v>53.166674444102746</v>
      </c>
      <c r="J70" s="18">
        <f>+[1]GRUPO!O70</f>
        <v>-12.392323241854399</v>
      </c>
      <c r="K70" s="19">
        <f>+[1]GRUPO!P70</f>
        <v>-15.021623188581145</v>
      </c>
      <c r="L70" s="20">
        <f t="shared" si="63"/>
        <v>17.503434307455123</v>
      </c>
      <c r="O70" s="26" t="str">
        <f>+IF($B$3="esp","Latam","Latam")</f>
        <v>Latam</v>
      </c>
      <c r="Q70" s="18">
        <f>+[1]SANTILLANA!K70</f>
        <v>69.850785446267096</v>
      </c>
      <c r="R70" s="19">
        <f>+[1]SANTILLANA!L70</f>
        <v>45.411054216959684</v>
      </c>
      <c r="S70" s="20">
        <f t="shared" si="64"/>
        <v>53.818903019828809</v>
      </c>
      <c r="U70" s="18">
        <f>+[1]SANTILLANA!O70</f>
        <v>-16.702523058499565</v>
      </c>
      <c r="V70" s="19">
        <f>+[1]SANTILLANA!P70</f>
        <v>-16.556853857858414</v>
      </c>
      <c r="W70" s="20">
        <f t="shared" si="65"/>
        <v>-0.87981208200380556</v>
      </c>
      <c r="Z70" s="17" t="str">
        <f>+IF($B$3="esp","Música","Music")</f>
        <v>Music</v>
      </c>
      <c r="AB70" s="18">
        <f>+[1]RADIO!K70</f>
        <v>-1.1882429669041601</v>
      </c>
      <c r="AC70" s="19">
        <f>+[1]RADIO!L70</f>
        <v>-1.7465019149379801</v>
      </c>
      <c r="AD70" s="20">
        <f t="shared" si="66"/>
        <v>31.964405149458099</v>
      </c>
      <c r="AF70" s="18">
        <f>+[1]RADIO!O70</f>
        <v>-0.2112322766618131</v>
      </c>
      <c r="AG70" s="19">
        <f>+[1]RADIO!P70</f>
        <v>-1.0914081802674911</v>
      </c>
      <c r="AH70" s="20">
        <f t="shared" si="67"/>
        <v>80.645895781169372</v>
      </c>
    </row>
    <row r="71" spans="4:34" s="22" customFormat="1" ht="15" customHeight="1">
      <c r="D71" s="21" t="str">
        <f>+IF($B$3="esp","Margen EBIT ","EBIT Margin")</f>
        <v>EBIT Margin</v>
      </c>
      <c r="F71" s="27">
        <f>+F66/F50</f>
        <v>0.12193117815522742</v>
      </c>
      <c r="G71" s="28">
        <f>+G66/G50</f>
        <v>7.1973103283839657E-2</v>
      </c>
      <c r="H71" s="29"/>
      <c r="J71" s="27">
        <f>+J66/J50</f>
        <v>6.1301642315675538E-2</v>
      </c>
      <c r="K71" s="28">
        <f>+K66/K50</f>
        <v>1.9669218061777849E-2</v>
      </c>
      <c r="L71" s="29"/>
      <c r="O71" s="21" t="str">
        <f>+IF($B$3="esp","Margen EBIT ","EBIT Margin")</f>
        <v>EBIT Margin</v>
      </c>
      <c r="Q71" s="27">
        <f>+Q66/Q50</f>
        <v>0.20877578431824673</v>
      </c>
      <c r="R71" s="28">
        <f>+R66/R50</f>
        <v>0.12639657183483607</v>
      </c>
      <c r="S71" s="29"/>
      <c r="U71" s="27">
        <f>+U66/U50</f>
        <v>-7.2801131967866429E-3</v>
      </c>
      <c r="V71" s="28">
        <f>+V66/V50</f>
        <v>-8.1566441588567684E-2</v>
      </c>
      <c r="W71" s="29"/>
      <c r="Z71" s="17" t="str">
        <f>+IF($B$3="esp","Ajustes y Otros","Adjustments &amp; others")</f>
        <v>Adjustments &amp; others</v>
      </c>
      <c r="AA71" s="1"/>
      <c r="AB71" s="18">
        <f>+[1]RADIO!K71</f>
        <v>4.9737991503207013E-14</v>
      </c>
      <c r="AC71" s="19">
        <f>+[1]RADIO!L71</f>
        <v>-1.6358199998076639E-3</v>
      </c>
      <c r="AD71" s="20" t="str">
        <f t="shared" si="66"/>
        <v>---</v>
      </c>
      <c r="AF71" s="18">
        <f>+[1]RADIO!O71</f>
        <v>9.2592600253738055E-14</v>
      </c>
      <c r="AG71" s="19">
        <f>+[1]RADIO!P71</f>
        <v>-6.1911999973762732E-4</v>
      </c>
      <c r="AH71" s="20" t="str">
        <f t="shared" si="67"/>
        <v>---</v>
      </c>
    </row>
    <row r="72" spans="4:34" s="13" customFormat="1" ht="15" customHeight="1">
      <c r="D72" s="13" t="str">
        <f>+IF($B$3="esp","Resultado Financiero","Financial Result")</f>
        <v>Financial Result</v>
      </c>
      <c r="F72" s="14">
        <f>+[1]GRUPO!K72</f>
        <v>-26.285350286502101</v>
      </c>
      <c r="G72" s="15">
        <f>+[1]GRUPO!L72</f>
        <v>-25.992959107227499</v>
      </c>
      <c r="H72" s="16">
        <f>IF(G72=0,"---",IF(OR(ABS((F72-G72)/ABS(G72))&gt;2,(F72*G72)&lt;0),"---",IF(G72="0","---",((F72-G72)/ABS(G72))*100)))</f>
        <v>-1.1248860819132418</v>
      </c>
      <c r="J72" s="14">
        <f>+[1]GRUPO!O72</f>
        <v>-8.9409216238066023</v>
      </c>
      <c r="K72" s="15">
        <f>+[1]GRUPO!P72</f>
        <v>-18.517245828272269</v>
      </c>
      <c r="L72" s="16">
        <f>IF(K72=0,"---",IF(OR(ABS((J72-K72)/ABS(K72))&gt;2,(J72*K72)&lt;0),"---",IF(K72="0","---",((J72-K72)/ABS(K72))*100)))</f>
        <v>51.715704880066262</v>
      </c>
      <c r="O72" s="1"/>
      <c r="P72" s="1"/>
      <c r="Q72" s="1"/>
      <c r="R72" s="1"/>
      <c r="S72" s="1"/>
      <c r="U72" s="1"/>
      <c r="V72" s="1"/>
      <c r="W72" s="1"/>
      <c r="Z72" s="21" t="str">
        <f>+IF($B$3="esp","Margen EBIT ","EBIT Margin")</f>
        <v>EBIT Margin</v>
      </c>
      <c r="AA72" s="22"/>
      <c r="AB72" s="27">
        <f>+AB67/AB50</f>
        <v>8.9280069428563383E-2</v>
      </c>
      <c r="AC72" s="28">
        <f>+AC67/AC50</f>
        <v>5.842261215901981E-2</v>
      </c>
      <c r="AD72" s="29"/>
      <c r="AF72" s="27">
        <f>+AF67/AF50</f>
        <v>0.17559928068792674</v>
      </c>
      <c r="AG72" s="28">
        <f>+AG67/AG50</f>
        <v>9.6492365491017459E-2</v>
      </c>
      <c r="AH72" s="29"/>
    </row>
    <row r="73" spans="4:34" ht="15" customHeight="1">
      <c r="D73" s="17" t="str">
        <f>+IF($B$3="esp","Gastos por intereses de financiación","Interests on debt")</f>
        <v>Interests on debt</v>
      </c>
      <c r="F73" s="18">
        <f>+[1]GRUPO!K73</f>
        <v>-26.941771149725302</v>
      </c>
      <c r="G73" s="19">
        <f>+[1]GRUPO!L73</f>
        <v>-31.347104710562199</v>
      </c>
      <c r="H73" s="20">
        <f t="shared" ref="H73:H74" si="68">IF(G73=0,"---",IF(OR(ABS((F73-G73)/ABS(G73))&gt;2,(F73*G73)&lt;0),"---",IF(G73="0","---",((F73-G73)/ABS(G73))*100)))</f>
        <v>14.05339855630287</v>
      </c>
      <c r="J73" s="18">
        <f>+[1]GRUPO!O73</f>
        <v>-12.546428506694902</v>
      </c>
      <c r="K73" s="19">
        <f>+[1]GRUPO!P73</f>
        <v>-14.547294265246698</v>
      </c>
      <c r="L73" s="20">
        <f t="shared" ref="L73:L74" si="69">IF(K73=0,"---",IF(OR(ABS((J73-K73)/ABS(K73))&gt;2,(J73*K73)&lt;0),"---",IF(K73="0","---",((J73-K73)/ABS(K73))*100)))</f>
        <v>13.75421244713417</v>
      </c>
    </row>
    <row r="74" spans="4:34" ht="15" customHeight="1">
      <c r="D74" s="17" t="str">
        <f>+IF($B$3="esp","Otros resultados financieros","Other financial results")</f>
        <v>Other financial results</v>
      </c>
      <c r="F74" s="18">
        <f>+[1]GRUPO!K74</f>
        <v>0.65642086322320026</v>
      </c>
      <c r="G74" s="19">
        <f>+[1]GRUPO!L74</f>
        <v>5.3541456033347004</v>
      </c>
      <c r="H74" s="20">
        <f t="shared" si="68"/>
        <v>-87.739951210621456</v>
      </c>
      <c r="J74" s="18">
        <f>+[1]GRUPO!O74</f>
        <v>3.6055068828882995</v>
      </c>
      <c r="K74" s="19">
        <f>+[1]GRUPO!P74</f>
        <v>-3.9699515630255711</v>
      </c>
      <c r="L74" s="20" t="str">
        <f t="shared" si="69"/>
        <v>---</v>
      </c>
    </row>
    <row r="75" spans="4:34" s="13" customFormat="1" ht="15" customHeight="1">
      <c r="D75" s="13" t="str">
        <f>+IF($B$3="esp","Resultado puesta en equivalencia","Result from associates")</f>
        <v>Result from associates</v>
      </c>
      <c r="F75" s="14">
        <f>+[1]GRUPO!K75</f>
        <v>0.55638216376572303</v>
      </c>
      <c r="G75" s="15">
        <f>+[1]GRUPO!L75</f>
        <v>1.95336109594814</v>
      </c>
      <c r="H75" s="16">
        <f>IF(G75=0,"---",IF(OR(ABS((F75-G75)/ABS(G75))&gt;2,(F75*G75)&lt;0),"---",IF(G75="0","---",((F75-G75)/ABS(G75))*100)))</f>
        <v>-71.516676311418934</v>
      </c>
      <c r="J75" s="14">
        <f>+[1]GRUPO!O75</f>
        <v>0.28750463374097202</v>
      </c>
      <c r="K75" s="15">
        <f>+[1]GRUPO!P75</f>
        <v>1.2957750703299489</v>
      </c>
      <c r="L75" s="16">
        <f>IF(K75=0,"---",IF(OR(ABS((J75-K75)/ABS(K75))&gt;2,(J75*K75)&lt;0),"---",IF(K75="0","---",((J75-K75)/ABS(K75))*100)))</f>
        <v>-77.812149629660382</v>
      </c>
    </row>
    <row r="76" spans="4:34" s="13" customFormat="1" ht="15" customHeight="1">
      <c r="D76" s="13" t="str">
        <f>+IF($B$3="esp","Resultado antes de impuestos","Profit before tax")</f>
        <v>Profit before tax</v>
      </c>
      <c r="F76" s="14">
        <f>+[1]GRUPO!K76</f>
        <v>54.138923876242444</v>
      </c>
      <c r="G76" s="15">
        <f>+[1]GRUPO!L76</f>
        <v>20.904283732459028</v>
      </c>
      <c r="H76" s="16">
        <f>IF(G76=0,"---",IF(OR(ABS((F76-G76)/ABS(G76))&gt;2,(F76*G76)&lt;0),"---",IF(G76="0","---",((F76-G76)/ABS(G76))*100)))</f>
        <v>158.98483090419637</v>
      </c>
      <c r="J76" s="14">
        <f>+[1]GRUPO!O76</f>
        <v>9.2775410681888673</v>
      </c>
      <c r="K76" s="15">
        <f>+[1]GRUPO!P76</f>
        <v>-11.322534364717129</v>
      </c>
      <c r="L76" s="16" t="str">
        <f>IF(K76=0,"---",IF(OR(ABS((J76-K76)/ABS(K76))&gt;2,(J76*K76)&lt;0),"---",IF(K76="0","---",((J76-K76)/ABS(K76))*100)))</f>
        <v>---</v>
      </c>
    </row>
    <row r="77" spans="4:34" ht="15" customHeight="1">
      <c r="D77" s="17" t="str">
        <f>+IF($B$3="esp","Impuesto sobre sociedades","Income tax expense")</f>
        <v>Income tax expense</v>
      </c>
      <c r="F77" s="18">
        <f>+[1]GRUPO!K77</f>
        <v>25.068128427510509</v>
      </c>
      <c r="G77" s="19">
        <f>+[1]GRUPO!L77</f>
        <v>17.752195792951849</v>
      </c>
      <c r="H77" s="20">
        <f t="shared" ref="H77" si="70">IF(G77=0,"---",IF(OR(ABS((F77-G77)/ABS(G77))&gt;2,(F77*G77)&lt;0),"---",IF(G77="0","---",((F77-G77)/ABS(G77))*100)))</f>
        <v>41.211423757861567</v>
      </c>
      <c r="J77" s="18">
        <f>+[1]GRUPO!O77</f>
        <v>8.6895555973894218</v>
      </c>
      <c r="K77" s="19">
        <f>+[1]GRUPO!P77</f>
        <v>4.0637098858517895</v>
      </c>
      <c r="L77" s="20">
        <f t="shared" ref="L77" si="71">IF(K77=0,"---",IF(OR(ABS((J77-K77)/ABS(K77))&gt;2,(J77*K77)&lt;0),"---",IF(K77="0","---",((J77-K77)/ABS(K77))*100)))</f>
        <v>113.83306981738473</v>
      </c>
    </row>
    <row r="78" spans="4:34" s="13" customFormat="1" ht="15" customHeight="1">
      <c r="D78" s="13" t="str">
        <f>+IF($B$3="esp","Resultado operaciones en discontinuación","Results from discontinued activities")</f>
        <v>Results from discontinued activities</v>
      </c>
      <c r="F78" s="14">
        <f>+[1]GRUPO!K78</f>
        <v>-0.98498400000000008</v>
      </c>
      <c r="G78" s="15">
        <f>+[1]GRUPO!L78</f>
        <v>-0.28732756999999998</v>
      </c>
      <c r="H78" s="16" t="str">
        <f>IF(G78=0,"---",IF(OR(ABS((F78-G78)/ABS(G78))&gt;2,(F78*G78)&lt;0),"---",IF(G78="0","---",((F78-G78)/ABS(G78))*100)))</f>
        <v>---</v>
      </c>
      <c r="J78" s="14">
        <f>+[1]GRUPO!O78</f>
        <v>0</v>
      </c>
      <c r="K78" s="15">
        <f>+[1]GRUPO!P78</f>
        <v>-0.34288195999999999</v>
      </c>
      <c r="L78" s="16">
        <f>IF(K78=0,"---",IF(OR(ABS((J78-K78)/ABS(K78))&gt;2,(J78*K78)&lt;0),"---",IF(K78="0","---",((J78-K78)/ABS(K78))*100)))</f>
        <v>100</v>
      </c>
    </row>
    <row r="79" spans="4:34" s="13" customFormat="1" ht="15" customHeight="1">
      <c r="D79" s="13" t="str">
        <f>+IF($B$3="esp","Resultado atribuido a socios externos","Minority interest")</f>
        <v>Minority interest</v>
      </c>
      <c r="F79" s="14">
        <f>+[1]GRUPO!K79</f>
        <v>-14.1863517447741</v>
      </c>
      <c r="G79" s="15">
        <f>+[1]GRUPO!L79</f>
        <v>-13.349145868998001</v>
      </c>
      <c r="H79" s="16">
        <f>IF(G79=0,"---",IF(OR(ABS((F79-G79)/ABS(G79))&gt;2,(F79*G79)&lt;0),"---",IF(G79="0","---",((F79-G79)/ABS(G79))*100)))</f>
        <v>-6.2716063184268815</v>
      </c>
      <c r="J79" s="14">
        <f>+[1]GRUPO!O79</f>
        <v>-8.6073003069221095</v>
      </c>
      <c r="K79" s="15">
        <f>+[1]GRUPO!P79</f>
        <v>-7.7057310404963806</v>
      </c>
      <c r="L79" s="16">
        <f>IF(K79=0,"---",IF(OR(ABS((J79-K79)/ABS(K79))&gt;2,(J79*K79)&lt;0),"---",IF(K79="0","---",((J79-K79)/ABS(K79))*100)))</f>
        <v>-11.699983579593669</v>
      </c>
    </row>
    <row r="80" spans="4:34" s="13" customFormat="1" ht="15" customHeight="1">
      <c r="D80" s="13" t="str">
        <f>+IF($B$3="esp","Resultado Neto","Net Profit")</f>
        <v>Net Profit</v>
      </c>
      <c r="F80" s="14">
        <f>+[1]GRUPO!K80</f>
        <v>13.899459702642259</v>
      </c>
      <c r="G80" s="15">
        <f>+[1]GRUPO!L80</f>
        <v>-10.484156013763052</v>
      </c>
      <c r="H80" s="16" t="str">
        <f>IF(G80=0,"---",IF(OR(ABS((F80-G80)/ABS(G80))&gt;2,(F80*G80)&lt;0),"---",IF(G80="0","---",((F80-G80)/ABS(G80))*100)))</f>
        <v>---</v>
      </c>
      <c r="J80" s="14">
        <f>+[1]GRUPO!O80</f>
        <v>-8.0193148361219873</v>
      </c>
      <c r="K80" s="15">
        <f>+[1]GRUPO!P80</f>
        <v>-23.434627765336273</v>
      </c>
      <c r="L80" s="16">
        <f>IF(K80=0,"---",IF(OR(ABS((J80-K80)/ABS(K80))&gt;2,(J80*K80)&lt;0),"---",IF(K80="0","---",((J80-K80)/ABS(K80))*100)))</f>
        <v>65.7800630911497</v>
      </c>
    </row>
    <row r="83" spans="4:56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B83" s="35"/>
      <c r="BC83" s="35"/>
      <c r="BD83" s="35"/>
    </row>
    <row r="86" spans="4:56">
      <c r="D86" s="9" t="str">
        <f>+IF($B$3="esp","Millones de €","€ Millions")</f>
        <v>€ Millions</v>
      </c>
      <c r="F86" s="10">
        <v>2017</v>
      </c>
      <c r="G86" s="10">
        <v>2016</v>
      </c>
      <c r="H86" s="10" t="str">
        <f>+IF($B$3="esp","Var.%","% Chg.")</f>
        <v>% Chg.</v>
      </c>
      <c r="J86" s="10">
        <v>2017</v>
      </c>
      <c r="K86" s="10">
        <v>2016</v>
      </c>
      <c r="L86" s="10" t="str">
        <f>+IF($B$3="esp","Var.%","% Chg.")</f>
        <v>% Chg.</v>
      </c>
      <c r="O86" s="9" t="str">
        <f>+IF($B$3="esp","Millones de €","€ Millions")</f>
        <v>€ Millions</v>
      </c>
      <c r="Q86" s="10">
        <v>2017</v>
      </c>
      <c r="R86" s="10">
        <v>2016</v>
      </c>
      <c r="S86" s="10" t="str">
        <f>+IF($B$3="esp","Var.%","% Chg.")</f>
        <v>% Chg.</v>
      </c>
      <c r="U86" s="10">
        <v>2017</v>
      </c>
      <c r="V86" s="10">
        <v>2016</v>
      </c>
      <c r="W86" s="10" t="str">
        <f>+IF($B$3="esp","Var.%","% Chg.")</f>
        <v>% Chg.</v>
      </c>
      <c r="Z86" s="9" t="str">
        <f>+IF($B$3="esp","Millones de €","€ Millions")</f>
        <v>€ Millions</v>
      </c>
      <c r="AB86" s="10">
        <v>2017</v>
      </c>
      <c r="AC86" s="10">
        <v>2016</v>
      </c>
      <c r="AD86" s="10" t="str">
        <f>+IF($B$3="esp","Var.%","% Chg.")</f>
        <v>% Chg.</v>
      </c>
      <c r="AF86" s="10">
        <v>2017</v>
      </c>
      <c r="AG86" s="10">
        <v>2016</v>
      </c>
      <c r="AH86" s="10" t="str">
        <f>+IF($B$3="esp","Var.%","% Chg.")</f>
        <v>% Chg.</v>
      </c>
      <c r="AK86" s="9" t="str">
        <f>+IF($B$3="esp","Millones de €","€ Millions")</f>
        <v>€ Millions</v>
      </c>
      <c r="AM86" s="10">
        <v>2017</v>
      </c>
      <c r="AN86" s="10">
        <v>2016</v>
      </c>
      <c r="AO86" s="10" t="str">
        <f>+IF($B$3="esp","Var.%","% Chg.")</f>
        <v>% Chg.</v>
      </c>
      <c r="AQ86" s="10">
        <v>2017</v>
      </c>
      <c r="AR86" s="10">
        <v>2016</v>
      </c>
      <c r="AS86" s="10" t="str">
        <f>+IF($B$3="esp","Var.%","% Chg.")</f>
        <v>% Chg.</v>
      </c>
      <c r="AV86" s="9" t="str">
        <f>+IF($B$3="esp","Millones de €","€ Millions")</f>
        <v>€ Millions</v>
      </c>
      <c r="AX86" s="10">
        <v>2017</v>
      </c>
      <c r="AY86" s="10">
        <v>2016</v>
      </c>
      <c r="AZ86" s="10" t="str">
        <f>+IF($B$3="esp","Var.%","% Chg.")</f>
        <v>% Chg.</v>
      </c>
      <c r="BB86" s="10">
        <v>2017</v>
      </c>
      <c r="BC86" s="10">
        <v>2016</v>
      </c>
      <c r="BD86" s="10" t="str">
        <f>+IF($B$3="esp","Var.%","% Chg.")</f>
        <v>% Chg.</v>
      </c>
    </row>
    <row r="87" spans="4:56" ht="15.75" customHeight="1">
      <c r="D87" s="11" t="str">
        <f>+IF($B$3="esp","Efectos Extraordinarios","Extraordinary Effects")</f>
        <v>Extraordinary Effects</v>
      </c>
      <c r="F87" s="12"/>
      <c r="G87" s="12"/>
      <c r="H87" s="12"/>
      <c r="J87" s="12"/>
      <c r="K87" s="12"/>
      <c r="L87" s="12"/>
      <c r="O87" s="11" t="str">
        <f>+IF($B$3="esp","Efectos Extraordinarios","Extraordinary Effects")</f>
        <v>Extraordinary Effects</v>
      </c>
      <c r="Q87" s="12"/>
      <c r="R87" s="12"/>
      <c r="S87" s="12"/>
      <c r="U87" s="12"/>
      <c r="V87" s="12"/>
      <c r="W87" s="12"/>
      <c r="Z87" s="11" t="str">
        <f>+IF($B$3="esp","Efectos Extraordinarios","Extraordinary Effects")</f>
        <v>Extraordinary Effects</v>
      </c>
      <c r="AB87" s="12"/>
      <c r="AC87" s="12"/>
      <c r="AD87" s="12"/>
      <c r="AF87" s="12"/>
      <c r="AG87" s="12"/>
      <c r="AH87" s="12"/>
      <c r="AK87" s="11" t="str">
        <f>+IF($B$3="esp","Efectos Extraordinarios","Extraordinary Effects")</f>
        <v>Extraordinary Effects</v>
      </c>
      <c r="AM87" s="12"/>
      <c r="AN87" s="12"/>
      <c r="AO87" s="12"/>
      <c r="AQ87" s="12"/>
      <c r="AR87" s="12"/>
      <c r="AS87" s="12"/>
      <c r="AV87" s="11" t="str">
        <f>+IF($B$3="esp","Efectos Extraordinarios","Extraordinary Effects")</f>
        <v>Extraordinary Effects</v>
      </c>
      <c r="AX87" s="12"/>
      <c r="AY87" s="12"/>
      <c r="AZ87" s="12"/>
      <c r="BB87" s="12"/>
      <c r="BC87" s="12"/>
      <c r="BD87" s="12"/>
    </row>
    <row r="88" spans="4:56" s="13" customFormat="1" ht="15" customHeight="1">
      <c r="D88" s="13" t="str">
        <f>+IF($B$3="esp","Efectos extraordinarios en Ingresos","One-offs in Operating Revenues")</f>
        <v>One-offs in Operating Revenues</v>
      </c>
      <c r="F88" s="14">
        <f>+[1]GRUPO!K90</f>
        <v>10.014306796042305</v>
      </c>
      <c r="G88" s="15">
        <f>+[1]GRUPO!L90</f>
        <v>9.7574289723922352</v>
      </c>
      <c r="H88" s="16">
        <f>IF(G88=0,"---",IF(OR(ABS((F88-G88)/ABS(G88))&gt;2,(F88*G88)&lt;0),"---",IF(G88="0","---",((F88-G88)/ABS(G88))*100)))</f>
        <v>2.6326384171166688</v>
      </c>
      <c r="J88" s="14">
        <f>+[1]GRUPO!O90</f>
        <v>5.3265093944486379</v>
      </c>
      <c r="K88" s="15">
        <f>+[1]GRUPO!P90</f>
        <v>5.2394397348144288</v>
      </c>
      <c r="L88" s="16">
        <f>IF(K88=0,"---",IF(OR(ABS((J88-K88)/ABS(K88))&gt;2,(J88*K88)&lt;0),"---",IF(K88="0","---",((J88-K88)/ABS(K88))*100)))</f>
        <v>1.6618124082172108</v>
      </c>
      <c r="O88" s="13" t="str">
        <f>+IF($B$3="esp","Efectos extraordinarios en Ingresos","One-offs in Operating Revenues")</f>
        <v>One-offs in Operating Revenues</v>
      </c>
      <c r="Q88" s="14">
        <f>+[1]SANTILLANA!K79</f>
        <v>0</v>
      </c>
      <c r="R88" s="15">
        <f>+[1]SANTILLANA!L79</f>
        <v>0</v>
      </c>
      <c r="S88" s="16" t="str">
        <f>IF(R88=0,"---",IF(OR(ABS((Q88-R88)/ABS(R88))&gt;2,(Q88*R88)&lt;0),"---",IF(R88="0","---",((Q88-R88)/ABS(R88))*100)))</f>
        <v>---</v>
      </c>
      <c r="U88" s="14">
        <f>+[1]SANTILLANA!O79</f>
        <v>0</v>
      </c>
      <c r="V88" s="15">
        <f>+[1]SANTILLANA!P79</f>
        <v>0</v>
      </c>
      <c r="W88" s="16" t="str">
        <f>IF(V88=0,"---",IF(OR(ABS((U88-V88)/ABS(V88))&gt;2,(U88*V88)&lt;0),"---",IF(V88="0","---",((U88-V88)/ABS(V88))*100)))</f>
        <v>---</v>
      </c>
      <c r="Z88" s="13" t="str">
        <f>+IF($B$3="esp","Efectos extraordinarios en Ingresos","One-offs in Operating Revenues")</f>
        <v>One-offs in Operating Revenues</v>
      </c>
      <c r="AB88" s="14">
        <f>+[1]RADIO!K80</f>
        <v>10.014306796042305</v>
      </c>
      <c r="AC88" s="15">
        <f>+[1]RADIO!L80</f>
        <v>9.7574289723922352</v>
      </c>
      <c r="AD88" s="16">
        <f>IF(AC88=0,"---",IF(OR(ABS((AB88-AC88)/ABS(AC88))&gt;2,(AB88*AC88)&lt;0),"---",IF(AC88="0","---",((AB88-AC88)/ABS(AC88))*100)))</f>
        <v>2.6326384171166688</v>
      </c>
      <c r="AF88" s="14">
        <f>+[1]RADIO!O80</f>
        <v>5.3265093944486379</v>
      </c>
      <c r="AG88" s="15">
        <f>+[1]RADIO!P80</f>
        <v>5.2394397348144288</v>
      </c>
      <c r="AH88" s="16">
        <f>IF(AG88=0,"---",IF(OR(ABS((AF88-AG88)/ABS(AG88))&gt;2,(AF88*AG88)&lt;0),"---",IF(AG88="0","---",((AF88-AG88)/ABS(AG88))*100)))</f>
        <v>1.6618124082172108</v>
      </c>
      <c r="AK88" s="13" t="str">
        <f>+IF($B$3="esp","Efectos extraordinarios en Ingresos","One-offs in Operating Revenues")</f>
        <v>One-offs in Operating Revenues</v>
      </c>
      <c r="AM88" s="14">
        <f>+[1]NOTICIAS!K38</f>
        <v>0</v>
      </c>
      <c r="AN88" s="15">
        <f>+[1]NOTICIAS!L38</f>
        <v>0</v>
      </c>
      <c r="AO88" s="16" t="str">
        <f>IF(AN88=0,"---",IF(OR(ABS((AM88-AN88)/ABS(AN88))&gt;2,(AM88*AN88)&lt;0),"---",IF(AN88="0","---",((AM88-AN88)/ABS(AN88))*100)))</f>
        <v>---</v>
      </c>
      <c r="AQ88" s="14">
        <f>+[1]NOTICIAS!O38</f>
        <v>0</v>
      </c>
      <c r="AR88" s="15">
        <f>+[1]NOTICIAS!P38</f>
        <v>0</v>
      </c>
      <c r="AS88" s="16" t="str">
        <f>IF(AR88=0,"---",IF(OR(ABS((AQ88-AR88)/ABS(AR88))&gt;2,(AQ88*AR88)&lt;0),"---",IF(AR88="0","---",((AQ88-AR88)/ABS(AR88))*100)))</f>
        <v>---</v>
      </c>
      <c r="AV88" s="13" t="str">
        <f>+IF($B$3="esp","Efectos extraordinarios en Ingresos","One-offs in Operating Revenues")</f>
        <v>One-offs in Operating Revenues</v>
      </c>
      <c r="AX88" s="14">
        <f>+'[1]MEDIA CAPITAL'!K36</f>
        <v>0</v>
      </c>
      <c r="AY88" s="15">
        <f>+'[1]MEDIA CAPITAL'!L36</f>
        <v>0</v>
      </c>
      <c r="AZ88" s="16" t="str">
        <f>IF(AY88=0,"---",IF(OR(ABS((AX88-AY88)/ABS(AY88))&gt;2,(AX88*AY88)&lt;0),"---",IF(AY88="0","---",((AX88-AY88)/ABS(AY88))*100)))</f>
        <v>---</v>
      </c>
      <c r="BB88" s="14">
        <f>+'[1]MEDIA CAPITAL'!O36</f>
        <v>0</v>
      </c>
      <c r="BC88" s="15">
        <f>+'[1]MEDIA CAPITAL'!P36</f>
        <v>0</v>
      </c>
      <c r="BD88" s="16" t="str">
        <f>IF(BC88=0,"---",IF(OR(ABS((BB88-BC88)/ABS(BC88))&gt;2,(BB88*BC88)&lt;0),"---",IF(BC88="0","---",((BB88-BC88)/ABS(BC88))*100)))</f>
        <v>---</v>
      </c>
    </row>
    <row r="89" spans="4:56" ht="15" customHeight="1">
      <c r="D89" s="17" t="str">
        <f>+IF($B$3="esp","Ajuste perímetro consolidación MX&amp;CR","Consolidation perimeter adjustment MX&amp;CR")</f>
        <v>Consolidation perimeter adjustment MX&amp;CR</v>
      </c>
      <c r="F89" s="18">
        <f>+[1]GRUPO!K91</f>
        <v>10.014306796042305</v>
      </c>
      <c r="G89" s="19">
        <f>+[1]GRUPO!L91</f>
        <v>9.7574289723922352</v>
      </c>
      <c r="H89" s="20">
        <f t="shared" ref="H89" si="72">IF(G89=0,"---",IF(OR(ABS((F89-G89)/ABS(G89))&gt;2,(F89*G89)&lt;0),"---",IF(G89="0","---",((F89-G89)/ABS(G89))*100)))</f>
        <v>2.6326384171166688</v>
      </c>
      <c r="J89" s="18">
        <f>+[1]GRUPO!O91</f>
        <v>5.3265093944486379</v>
      </c>
      <c r="K89" s="19">
        <f>+[1]GRUPO!P91</f>
        <v>5.2394397348144288</v>
      </c>
      <c r="L89" s="20">
        <f t="shared" ref="L89" si="73">IF(K89=0,"---",IF(OR(ABS((J89-K89)/ABS(K89))&gt;2,(J89*K89)&lt;0),"---",IF(K89="0","---",((J89-K89)/ABS(K89))*100)))</f>
        <v>1.6618124082172108</v>
      </c>
      <c r="O89" s="17"/>
      <c r="Q89" s="18"/>
      <c r="R89" s="19"/>
      <c r="S89" s="20" t="str">
        <f t="shared" ref="S89" si="74">IF(R89=0,"---",IF(OR(ABS((Q89-R89)/ABS(R89))&gt;2,(Q89*R89)&lt;0),"---",IF(R89="0","---",((Q89-R89)/ABS(R89))*100)))</f>
        <v>---</v>
      </c>
      <c r="U89" s="18"/>
      <c r="V89" s="19"/>
      <c r="W89" s="20" t="str">
        <f t="shared" ref="W89" si="75">IF(V89=0,"---",IF(OR(ABS((U89-V89)/ABS(V89))&gt;2,(U89*V89)&lt;0),"---",IF(V89="0","---",((U89-V89)/ABS(V89))*100)))</f>
        <v>---</v>
      </c>
      <c r="Z89" s="17" t="str">
        <f>+IF($B$3="esp","Ajuste perímetro consolidación MX&amp;CR","Consolidation perimeter adjustment MX&amp;CR")</f>
        <v>Consolidation perimeter adjustment MX&amp;CR</v>
      </c>
      <c r="AB89" s="18">
        <f>+[1]RADIO!K81</f>
        <v>10.014306796042305</v>
      </c>
      <c r="AC89" s="19">
        <f>+[1]RADIO!L81</f>
        <v>9.7574289723922352</v>
      </c>
      <c r="AD89" s="20">
        <f t="shared" ref="AD89" si="76">IF(AC89=0,"---",IF(OR(ABS((AB89-AC89)/ABS(AC89))&gt;2,(AB89*AC89)&lt;0),"---",IF(AC89="0","---",((AB89-AC89)/ABS(AC89))*100)))</f>
        <v>2.6326384171166688</v>
      </c>
      <c r="AF89" s="18">
        <f>+[1]RADIO!O81</f>
        <v>5.3265093944486379</v>
      </c>
      <c r="AG89" s="19">
        <f>+[1]RADIO!P81</f>
        <v>5.2394397348144288</v>
      </c>
      <c r="AH89" s="20">
        <f t="shared" ref="AH89" si="77">IF(AG89=0,"---",IF(OR(ABS((AF89-AG89)/ABS(AG89))&gt;2,(AF89*AG89)&lt;0),"---",IF(AG89="0","---",((AF89-AG89)/ABS(AG89))*100)))</f>
        <v>1.6618124082172108</v>
      </c>
      <c r="AK89" s="17"/>
      <c r="AM89" s="18"/>
      <c r="AN89" s="19"/>
      <c r="AO89" s="20"/>
      <c r="AQ89" s="18"/>
      <c r="AR89" s="19"/>
      <c r="AS89" s="20"/>
      <c r="AV89" s="17"/>
      <c r="AX89" s="18"/>
      <c r="AY89" s="19"/>
      <c r="AZ89" s="20" t="str">
        <f t="shared" ref="AZ89:AZ93" si="78">IF(AY89=0,"---",IF(OR(ABS((AX89-AY89)/ABS(AY89))&gt;2,(AX89*AY89)&lt;0),"---",IF(AY89="0","---",((AX89-AY89)/ABS(AY89))*100)))</f>
        <v>---</v>
      </c>
      <c r="BB89" s="18"/>
      <c r="BC89" s="19"/>
      <c r="BD89" s="20" t="str">
        <f t="shared" ref="BD89:BD93" si="79">IF(BC89=0,"---",IF(OR(ABS((BB89-BC89)/ABS(BC89))&gt;2,(BB89*BC89)&lt;0),"---",IF(BC89="0","---",((BB89-BC89)/ABS(BC89))*100)))</f>
        <v>---</v>
      </c>
    </row>
    <row r="90" spans="4:56" ht="15" customHeight="1">
      <c r="D90" s="17"/>
      <c r="F90" s="18"/>
      <c r="G90" s="19"/>
      <c r="H90" s="20"/>
      <c r="J90" s="18"/>
      <c r="K90" s="19"/>
      <c r="L90" s="20"/>
      <c r="O90" s="17"/>
      <c r="Q90" s="18"/>
      <c r="R90" s="19"/>
      <c r="S90" s="20"/>
      <c r="U90" s="18"/>
      <c r="V90" s="19"/>
      <c r="W90" s="20"/>
      <c r="Z90" s="17"/>
      <c r="AB90" s="18"/>
      <c r="AC90" s="19"/>
      <c r="AD90" s="20"/>
      <c r="AF90" s="18"/>
      <c r="AG90" s="19"/>
      <c r="AH90" s="20"/>
      <c r="AK90" s="17"/>
      <c r="AM90" s="18"/>
      <c r="AN90" s="19"/>
      <c r="AO90" s="20"/>
      <c r="AQ90" s="18"/>
      <c r="AR90" s="19"/>
      <c r="AS90" s="20"/>
      <c r="AV90" s="17"/>
      <c r="AX90" s="18"/>
      <c r="AY90" s="19"/>
      <c r="AZ90" s="20" t="str">
        <f t="shared" si="78"/>
        <v>---</v>
      </c>
      <c r="BB90" s="18"/>
      <c r="BC90" s="19"/>
      <c r="BD90" s="20" t="str">
        <f t="shared" si="79"/>
        <v>---</v>
      </c>
    </row>
    <row r="91" spans="4:56" ht="15" customHeight="1">
      <c r="D91" s="17"/>
      <c r="F91" s="18"/>
      <c r="G91" s="19"/>
      <c r="H91" s="20"/>
      <c r="J91" s="18"/>
      <c r="K91" s="19"/>
      <c r="L91" s="20"/>
      <c r="O91" s="17"/>
      <c r="Q91" s="18"/>
      <c r="R91" s="19"/>
      <c r="S91" s="20"/>
      <c r="U91" s="18"/>
      <c r="V91" s="19"/>
      <c r="W91" s="20"/>
      <c r="Z91" s="17"/>
      <c r="AB91" s="18"/>
      <c r="AC91" s="19"/>
      <c r="AD91" s="20"/>
      <c r="AF91" s="18"/>
      <c r="AG91" s="19"/>
      <c r="AH91" s="20"/>
      <c r="AK91" s="17"/>
      <c r="AM91" s="18"/>
      <c r="AN91" s="19"/>
      <c r="AO91" s="20"/>
      <c r="AQ91" s="18"/>
      <c r="AR91" s="19"/>
      <c r="AS91" s="20"/>
      <c r="AV91" s="17"/>
      <c r="AX91" s="18"/>
      <c r="AY91" s="19"/>
      <c r="AZ91" s="20" t="str">
        <f t="shared" si="78"/>
        <v>---</v>
      </c>
      <c r="BB91" s="18"/>
      <c r="BC91" s="19"/>
      <c r="BD91" s="20" t="str">
        <f t="shared" si="79"/>
        <v>---</v>
      </c>
    </row>
    <row r="92" spans="4:56" ht="15" customHeight="1">
      <c r="D92" s="17"/>
      <c r="F92" s="18"/>
      <c r="G92" s="19"/>
      <c r="H92" s="20"/>
      <c r="J92" s="18"/>
      <c r="K92" s="19"/>
      <c r="L92" s="20"/>
      <c r="O92" s="17"/>
      <c r="Q92" s="18"/>
      <c r="R92" s="19"/>
      <c r="S92" s="20"/>
      <c r="U92" s="18"/>
      <c r="V92" s="19"/>
      <c r="W92" s="20"/>
      <c r="Z92" s="17"/>
      <c r="AB92" s="18"/>
      <c r="AC92" s="19"/>
      <c r="AD92" s="20"/>
      <c r="AF92" s="18"/>
      <c r="AG92" s="19"/>
      <c r="AH92" s="20"/>
      <c r="AK92" s="17"/>
      <c r="AM92" s="18"/>
      <c r="AN92" s="19"/>
      <c r="AO92" s="20"/>
      <c r="AQ92" s="18"/>
      <c r="AR92" s="19"/>
      <c r="AS92" s="20"/>
      <c r="AV92" s="17"/>
      <c r="AX92" s="18"/>
      <c r="AY92" s="19"/>
      <c r="AZ92" s="20" t="str">
        <f t="shared" si="78"/>
        <v>---</v>
      </c>
      <c r="BB92" s="18"/>
      <c r="BC92" s="19"/>
      <c r="BD92" s="20" t="str">
        <f t="shared" si="79"/>
        <v>---</v>
      </c>
    </row>
    <row r="93" spans="4:56" ht="15" customHeight="1">
      <c r="D93" s="17"/>
      <c r="F93" s="18"/>
      <c r="G93" s="19"/>
      <c r="H93" s="20"/>
      <c r="J93" s="18"/>
      <c r="K93" s="19"/>
      <c r="L93" s="20"/>
      <c r="O93" s="17"/>
      <c r="Q93" s="18"/>
      <c r="R93" s="19"/>
      <c r="S93" s="20"/>
      <c r="U93" s="18"/>
      <c r="V93" s="19"/>
      <c r="W93" s="20"/>
      <c r="Z93" s="17"/>
      <c r="AB93" s="18"/>
      <c r="AC93" s="19"/>
      <c r="AD93" s="20"/>
      <c r="AF93" s="18"/>
      <c r="AG93" s="19"/>
      <c r="AH93" s="20"/>
      <c r="AK93" s="17"/>
      <c r="AM93" s="18"/>
      <c r="AN93" s="19"/>
      <c r="AO93" s="20"/>
      <c r="AQ93" s="18"/>
      <c r="AR93" s="19"/>
      <c r="AS93" s="20"/>
      <c r="AV93" s="17"/>
      <c r="AX93" s="18"/>
      <c r="AY93" s="19"/>
      <c r="AZ93" s="20" t="str">
        <f t="shared" si="78"/>
        <v>---</v>
      </c>
      <c r="BB93" s="18"/>
      <c r="BC93" s="19"/>
      <c r="BD93" s="20" t="str">
        <f t="shared" si="79"/>
        <v>---</v>
      </c>
    </row>
    <row r="94" spans="4:56" ht="15" customHeight="1">
      <c r="D94" s="13" t="str">
        <f>+IF($B$3="esp","Efectos extraordinarios en Gastos","One-offs in Operating Expenses")</f>
        <v>One-offs in Operating Expenses</v>
      </c>
      <c r="E94" s="13"/>
      <c r="F94" s="14">
        <f>+[1]GRUPO!K97</f>
        <v>-7.1264980545577208</v>
      </c>
      <c r="G94" s="15">
        <f>+[1]GRUPO!L97</f>
        <v>-0.78474713145042863</v>
      </c>
      <c r="H94" s="16" t="str">
        <f>IF(G94=0,"---",IF(OR(ABS((F94-G94)/ABS(G94))&gt;2,(F94*G94)&lt;0),"---",IF(G94="0","---",((F94-G94)/ABS(G94))*100)))</f>
        <v>---</v>
      </c>
      <c r="J94" s="14">
        <f>+[1]GRUPO!O97</f>
        <v>-2.1661528253515829</v>
      </c>
      <c r="K94" s="15">
        <f>+[1]GRUPO!P97</f>
        <v>-0.6393430122526147</v>
      </c>
      <c r="L94" s="16" t="str">
        <f>IF(K94=0,"---",IF(OR(ABS((J94-K94)/ABS(K94))&gt;2,(J94*K94)&lt;0),"---",IF(K94="0","---",((J94-K94)/ABS(K94))*100)))</f>
        <v>---</v>
      </c>
      <c r="O94" s="13" t="str">
        <f>+IF($B$3="esp","Efectos extraordinarios en Gastos","One-offs in Operating Expenses")</f>
        <v>One-offs in Operating Expenses</v>
      </c>
      <c r="P94" s="13"/>
      <c r="Q94" s="14">
        <f>+[1]SANTILLANA!K85</f>
        <v>-2.3065171510605103</v>
      </c>
      <c r="R94" s="15">
        <f>+[1]SANTILLANA!L85</f>
        <v>-2.0793883538714297</v>
      </c>
      <c r="S94" s="16">
        <f>IF(R94=0,"---",IF(OR(ABS((Q94-R94)/ABS(R94))&gt;2,(Q94*R94)&lt;0),"---",IF(R94="0","---",((Q94-R94)/ABS(R94))*100)))</f>
        <v>-10.92286569587684</v>
      </c>
      <c r="U94" s="14">
        <f>+[1]SANTILLANA!O85</f>
        <v>-0.8894452012549503</v>
      </c>
      <c r="V94" s="15">
        <f>+[1]SANTILLANA!P85</f>
        <v>-1.4438154633789317</v>
      </c>
      <c r="W94" s="16">
        <f>IF(V94=0,"---",IF(OR(ABS((U94-V94)/ABS(V94))&gt;2,(U94*V94)&lt;0),"---",IF(V94="0","---",((U94-V94)/ABS(V94))*100)))</f>
        <v>38.396199250186733</v>
      </c>
      <c r="Z94" s="13" t="str">
        <f>+IF($B$3="esp","Efectos extraordinarios en Gastos","One-offs in Operating Expenses")</f>
        <v>One-offs in Operating Expenses</v>
      </c>
      <c r="AA94" s="13"/>
      <c r="AB94" s="14">
        <f>+[1]RADIO!K86</f>
        <v>2.43276367650282</v>
      </c>
      <c r="AC94" s="15">
        <f>+[1]RADIO!L86</f>
        <v>2.5996785262547109</v>
      </c>
      <c r="AD94" s="16">
        <f>IF(AC94=0,"---",IF(OR(ABS((AB94-AC94)/ABS(AC94))&gt;2,(AB94*AC94)&lt;0),"---",IF(AC94="0","---",((AB94-AC94)/ABS(AC94))*100)))</f>
        <v>-6.4205957800621123</v>
      </c>
      <c r="AF94" s="14">
        <f>+[1]RADIO!O86</f>
        <v>2.1247711159033971</v>
      </c>
      <c r="AG94" s="15">
        <f>+[1]RADIO!P86</f>
        <v>0.49070270048464559</v>
      </c>
      <c r="AH94" s="16" t="str">
        <f>IF(AG94=0,"---",IF(OR(ABS((AF94-AG94)/ABS(AG94))&gt;2,(AF94*AG94)&lt;0),"---",IF(AG94="0","---",((AF94-AG94)/ABS(AG94))*100)))</f>
        <v>---</v>
      </c>
      <c r="AK94" s="13" t="str">
        <f>+IF($B$3="esp","Efectos extraordinarios en Gastos","One-offs in Operating Expenses")</f>
        <v>One-offs in Operating Expenses</v>
      </c>
      <c r="AL94" s="13"/>
      <c r="AM94" s="14">
        <f>+[1]NOTICIAS!K44</f>
        <v>-2.3026233499999997</v>
      </c>
      <c r="AN94" s="15">
        <f>+[1]NOTICIAS!L44</f>
        <v>-0.25413110269203498</v>
      </c>
      <c r="AO94" s="16" t="str">
        <f>IF(AN94=0,"---",IF(OR(ABS((AM94-AN94)/ABS(AN94))&gt;2,(AM94*AN94)&lt;0),"---",IF(AN94="0","---",((AM94-AN94)/ABS(AN94))*100)))</f>
        <v>---</v>
      </c>
      <c r="AQ94" s="14">
        <f>+[1]NOTICIAS!O44</f>
        <v>8.4365740000000411E-2</v>
      </c>
      <c r="AR94" s="15">
        <f>+[1]NOTICIAS!P44</f>
        <v>0.595787702954517</v>
      </c>
      <c r="AS94" s="16">
        <f>IF(AR94=0,"---",IF(OR(ABS((AQ94-AR94)/ABS(AR94))&gt;2,(AQ94*AR94)&lt;0),"---",IF(AR94="0","---",((AQ94-AR94)/ABS(AR94))*100)))</f>
        <v>-85.839630529191879</v>
      </c>
      <c r="AV94" s="13" t="str">
        <f>+IF($B$3="esp","Efectos extraordinarios en Gastos","One-offs in Operating Expenses")</f>
        <v>One-offs in Operating Expenses</v>
      </c>
      <c r="AW94" s="13"/>
      <c r="AX94" s="14">
        <f>+'[1]MEDIA CAPITAL'!K42</f>
        <v>-0.833066689999999</v>
      </c>
      <c r="AY94" s="15">
        <f>+'[1]MEDIA CAPITAL'!L42</f>
        <v>-0.41745438999999962</v>
      </c>
      <c r="AZ94" s="16">
        <f>IF(AY94=0,"---",IF(OR(ABS((AX94-AY94)/ABS(AY94))&gt;2,(AX94*AY94)&lt;0),"---",IF(AY94="0","---",((AX94-AY94)/ABS(AY94))*100)))</f>
        <v>-99.558732631845061</v>
      </c>
      <c r="BB94" s="14">
        <f>+'[1]MEDIA CAPITAL'!O42</f>
        <v>-0.24903807999999916</v>
      </c>
      <c r="BC94" s="15">
        <f>+'[1]MEDIA CAPITAL'!P42</f>
        <v>-2.1401959999999498E-2</v>
      </c>
      <c r="BD94" s="16" t="str">
        <f>IF(BC94=0,"---",IF(OR(ABS((BB94-BC94)/ABS(BC94))&gt;2,(BB94*BC94)&lt;0),"---",IF(BC94="0","---",((BB94-BC94)/ABS(BC94))*100)))</f>
        <v>---</v>
      </c>
    </row>
    <row r="95" spans="4:56" s="13" customFormat="1" ht="15" customHeight="1">
      <c r="D95" s="17" t="str">
        <f>+IF($B$3="esp","Indemnizaciones y otros no recurrentes","Redundancies and other non-recurrent")</f>
        <v>Redundancies and other non-recurrent</v>
      </c>
      <c r="E95" s="1"/>
      <c r="F95" s="18">
        <f>+[1]GRUPO!K98</f>
        <v>-13.24571388736714</v>
      </c>
      <c r="G95" s="19">
        <f>+[1]GRUPO!L98</f>
        <v>-6.9713224417284598</v>
      </c>
      <c r="H95" s="20">
        <f t="shared" ref="H95:H96" si="80">IF(G95=0,"---",IF(OR(ABS((F95-G95)/ABS(G95))&gt;2,(F95*G95)&lt;0),"---",IF(G95="0","---",((F95-G95)/ABS(G95))*100)))</f>
        <v>-90.002886799237132</v>
      </c>
      <c r="J95" s="18">
        <f>+[1]GRUPO!O98</f>
        <v>-5.1880631471681902</v>
      </c>
      <c r="K95" s="19">
        <f>+[1]GRUPO!P98</f>
        <v>-3.8447206594115997</v>
      </c>
      <c r="L95" s="20">
        <f t="shared" ref="L95:L96" si="81">IF(K95=0,"---",IF(OR(ABS((J95-K95)/ABS(K95))&gt;2,(J95*K95)&lt;0),"---",IF(K95="0","---",((J95-K95)/ABS(K95))*100)))</f>
        <v>-34.939924295102806</v>
      </c>
      <c r="O95" s="17" t="str">
        <f>+IF($B$3="esp","Indemnizaciones","Redundancies")</f>
        <v>Redundancies</v>
      </c>
      <c r="P95" s="1"/>
      <c r="Q95" s="18">
        <f>+[1]SANTILLANA!K86</f>
        <v>-2.3065171510605103</v>
      </c>
      <c r="R95" s="19">
        <f>+[1]SANTILLANA!L86</f>
        <v>-2.0793883538714297</v>
      </c>
      <c r="S95" s="20">
        <f t="shared" ref="S95:S97" si="82">IF(R95=0,"---",IF(OR(ABS((Q95-R95)/ABS(R95))&gt;2,(Q95*R95)&lt;0),"---",IF(R95="0","---",((Q95-R95)/ABS(R95))*100)))</f>
        <v>-10.92286569587684</v>
      </c>
      <c r="U95" s="18">
        <f>+[1]SANTILLANA!O86</f>
        <v>-0.8894452012549503</v>
      </c>
      <c r="V95" s="19">
        <f>+[1]SANTILLANA!P86</f>
        <v>-1.4438154633789317</v>
      </c>
      <c r="W95" s="20">
        <f t="shared" ref="W95:W97" si="83">IF(V95=0,"---",IF(OR(ABS((U95-V95)/ABS(V95))&gt;2,(U95*V95)&lt;0),"---",IF(V95="0","---",((U95-V95)/ABS(V95))*100)))</f>
        <v>38.396199250186733</v>
      </c>
      <c r="Z95" s="17" t="str">
        <f>+IF($B$3="esp","Indemnizaciones","Redundancies")</f>
        <v>Redundancies</v>
      </c>
      <c r="AA95" s="1"/>
      <c r="AB95" s="18">
        <f>+[1]RADIO!K87</f>
        <v>-3.6864521563065993</v>
      </c>
      <c r="AC95" s="19">
        <f>+[1]RADIO!L87</f>
        <v>-3.5868967840233204</v>
      </c>
      <c r="AD95" s="20">
        <f t="shared" ref="AD95:AD96" si="84">IF(AC95=0,"---",IF(OR(ABS((AB95-AC95)/ABS(AC95))&gt;2,(AB95*AC95)&lt;0),"---",IF(AC95="0","---",((AB95-AC95)/ABS(AC95))*100)))</f>
        <v>-2.7755293301640673</v>
      </c>
      <c r="AF95" s="18">
        <f>+[1]RADIO!O87</f>
        <v>-0.89713920591321017</v>
      </c>
      <c r="AG95" s="19">
        <f>+[1]RADIO!P87</f>
        <v>-2.7146749466743394</v>
      </c>
      <c r="AH95" s="20">
        <f t="shared" ref="AH95:AH96" si="85">IF(AG95=0,"---",IF(OR(ABS((AF95-AG95)/ABS(AG95))&gt;2,(AF95*AG95)&lt;0),"---",IF(AG95="0","---",((AF95-AG95)/ABS(AG95))*100)))</f>
        <v>66.952242035008041</v>
      </c>
      <c r="AK95" s="17" t="str">
        <f>+IF($B$3="esp","Indemnizaciones","Redundancies")</f>
        <v>Redundancies</v>
      </c>
      <c r="AL95" s="1"/>
      <c r="AM95" s="18">
        <f>+[1]NOTICIAS!K45</f>
        <v>-2.3026233499999997</v>
      </c>
      <c r="AN95" s="19">
        <f>+[1]NOTICIAS!L45</f>
        <v>-0.25413110269203498</v>
      </c>
      <c r="AO95" s="20" t="str">
        <f t="shared" ref="AO95" si="86">IF(AN95=0,"---",IF(OR(ABS((AM95-AN95)/ABS(AN95))&gt;2,(AM95*AN95)&lt;0),"---",IF(AN95="0","---",((AM95-AN95)/ABS(AN95))*100)))</f>
        <v>---</v>
      </c>
      <c r="AQ95" s="18">
        <f>+[1]NOTICIAS!O45</f>
        <v>8.4365740000000411E-2</v>
      </c>
      <c r="AR95" s="19">
        <f>+[1]NOTICIAS!P45</f>
        <v>0.595787702954517</v>
      </c>
      <c r="AS95" s="20">
        <f t="shared" ref="AS95" si="87">IF(AR95=0,"---",IF(OR(ABS((AQ95-AR95)/ABS(AR95))&gt;2,(AQ95*AR95)&lt;0),"---",IF(AR95="0","---",((AQ95-AR95)/ABS(AR95))*100)))</f>
        <v>-85.839630529191879</v>
      </c>
      <c r="AV95" s="17" t="str">
        <f>+IF($B$3="esp","Indemnizaciones","Redundancies")</f>
        <v>Redundancies</v>
      </c>
      <c r="AW95" s="1"/>
      <c r="AX95" s="18">
        <f>+'[1]MEDIA CAPITAL'!K43</f>
        <v>-0.833066689999999</v>
      </c>
      <c r="AY95" s="19">
        <f>+'[1]MEDIA CAPITAL'!L43</f>
        <v>-0.41745438999999962</v>
      </c>
      <c r="AZ95" s="20">
        <f t="shared" ref="AZ95:AZ99" si="88">IF(AY95=0,"---",IF(OR(ABS((AX95-AY95)/ABS(AY95))&gt;2,(AX95*AY95)&lt;0),"---",IF(AY95="0","---",((AX95-AY95)/ABS(AY95))*100)))</f>
        <v>-99.558732631845061</v>
      </c>
      <c r="BB95" s="18">
        <f>+'[1]MEDIA CAPITAL'!O43</f>
        <v>-0.24903807999999916</v>
      </c>
      <c r="BC95" s="19">
        <f>+'[1]MEDIA CAPITAL'!P43</f>
        <v>-2.1401959999999498E-2</v>
      </c>
      <c r="BD95" s="20" t="str">
        <f t="shared" ref="BD95:BD99" si="89">IF(BC95=0,"---",IF(OR(ABS((BB95-BC95)/ABS(BC95))&gt;2,(BB95*BC95)&lt;0),"---",IF(BC95="0","---",((BB95-BC95)/ABS(BC95))*100)))</f>
        <v>---</v>
      </c>
    </row>
    <row r="96" spans="4:56" ht="15" customHeight="1">
      <c r="D96" s="17" t="str">
        <f>+IF($B$3="esp","Ajuste perímetro consolidación MX&amp;CR","Consolidation perimeter adjustment MX&amp;CR")</f>
        <v>Consolidation perimeter adjustment MX&amp;CR</v>
      </c>
      <c r="F96" s="18">
        <f>+[1]GRUPO!K99</f>
        <v>6.1192158328094193</v>
      </c>
      <c r="G96" s="19">
        <f>+[1]GRUPO!L99</f>
        <v>6.1865753102780312</v>
      </c>
      <c r="H96" s="20">
        <f t="shared" si="80"/>
        <v>-1.0888007353067319</v>
      </c>
      <c r="J96" s="18">
        <f>+[1]GRUPO!O99</f>
        <v>3.0219103218166072</v>
      </c>
      <c r="K96" s="19">
        <f>+[1]GRUPO!P99</f>
        <v>3.205377647158985</v>
      </c>
      <c r="L96" s="20">
        <f t="shared" si="81"/>
        <v>-5.7237350957691344</v>
      </c>
      <c r="O96" s="17"/>
      <c r="Q96" s="18"/>
      <c r="R96" s="19"/>
      <c r="S96" s="20" t="str">
        <f t="shared" si="82"/>
        <v>---</v>
      </c>
      <c r="U96" s="18"/>
      <c r="V96" s="19"/>
      <c r="W96" s="20" t="str">
        <f t="shared" si="83"/>
        <v>---</v>
      </c>
      <c r="Z96" s="17" t="str">
        <f>+IF($B$3="esp","Ajuste perímetro consolidación MX&amp;CR","Consolidation perimeter adjustment MX&amp;CR")</f>
        <v>Consolidation perimeter adjustment MX&amp;CR</v>
      </c>
      <c r="AB96" s="18">
        <f>+[1]RADIO!K88</f>
        <v>6.1192158328094193</v>
      </c>
      <c r="AC96" s="19">
        <f>+[1]RADIO!L88</f>
        <v>6.1865753102780312</v>
      </c>
      <c r="AD96" s="20">
        <f t="shared" si="84"/>
        <v>-1.0888007353067319</v>
      </c>
      <c r="AF96" s="18">
        <f>+[1]RADIO!O88</f>
        <v>3.0219103218166072</v>
      </c>
      <c r="AG96" s="19">
        <f>+[1]RADIO!P88</f>
        <v>3.205377647158985</v>
      </c>
      <c r="AH96" s="20">
        <f t="shared" si="85"/>
        <v>-5.7237350957691344</v>
      </c>
      <c r="AK96" s="17"/>
      <c r="AM96" s="18"/>
      <c r="AN96" s="19"/>
      <c r="AO96" s="20"/>
      <c r="AQ96" s="18"/>
      <c r="AR96" s="19"/>
      <c r="AS96" s="20"/>
      <c r="AV96" s="17"/>
      <c r="AX96" s="18"/>
      <c r="AY96" s="19"/>
      <c r="AZ96" s="20" t="str">
        <f t="shared" si="88"/>
        <v>---</v>
      </c>
      <c r="BB96" s="18"/>
      <c r="BC96" s="19"/>
      <c r="BD96" s="20" t="str">
        <f t="shared" si="89"/>
        <v>---</v>
      </c>
    </row>
    <row r="97" spans="1:56" ht="15" customHeight="1">
      <c r="D97" s="17"/>
      <c r="F97" s="18"/>
      <c r="G97" s="19"/>
      <c r="H97" s="20"/>
      <c r="J97" s="18"/>
      <c r="K97" s="19"/>
      <c r="L97" s="20"/>
      <c r="O97" s="17"/>
      <c r="Q97" s="18"/>
      <c r="R97" s="19"/>
      <c r="S97" s="20" t="str">
        <f t="shared" si="82"/>
        <v>---</v>
      </c>
      <c r="U97" s="18"/>
      <c r="V97" s="19"/>
      <c r="W97" s="20" t="str">
        <f t="shared" si="83"/>
        <v>---</v>
      </c>
      <c r="Z97" s="17"/>
      <c r="AB97" s="18"/>
      <c r="AC97" s="19"/>
      <c r="AD97" s="20"/>
      <c r="AF97" s="18"/>
      <c r="AG97" s="19"/>
      <c r="AH97" s="20"/>
      <c r="AK97" s="17"/>
      <c r="AM97" s="18"/>
      <c r="AN97" s="19"/>
      <c r="AO97" s="20"/>
      <c r="AQ97" s="18"/>
      <c r="AR97" s="19"/>
      <c r="AS97" s="20"/>
      <c r="AV97" s="17"/>
      <c r="AX97" s="18"/>
      <c r="AY97" s="19"/>
      <c r="AZ97" s="20" t="str">
        <f t="shared" si="88"/>
        <v>---</v>
      </c>
      <c r="BB97" s="18"/>
      <c r="BC97" s="19"/>
      <c r="BD97" s="20" t="str">
        <f t="shared" si="89"/>
        <v>---</v>
      </c>
    </row>
    <row r="98" spans="1:56" ht="15" customHeight="1">
      <c r="D98" s="17"/>
      <c r="F98" s="18"/>
      <c r="G98" s="19"/>
      <c r="H98" s="20"/>
      <c r="J98" s="18"/>
      <c r="K98" s="19"/>
      <c r="L98" s="20"/>
      <c r="O98" s="17"/>
      <c r="Q98" s="18"/>
      <c r="R98" s="19"/>
      <c r="S98" s="20"/>
      <c r="U98" s="18"/>
      <c r="V98" s="19"/>
      <c r="W98" s="20"/>
      <c r="Z98" s="17"/>
      <c r="AB98" s="18"/>
      <c r="AC98" s="19"/>
      <c r="AD98" s="20"/>
      <c r="AF98" s="18"/>
      <c r="AG98" s="19"/>
      <c r="AH98" s="20"/>
      <c r="AK98" s="17"/>
      <c r="AM98" s="18"/>
      <c r="AN98" s="19"/>
      <c r="AO98" s="20"/>
      <c r="AQ98" s="18"/>
      <c r="AR98" s="19"/>
      <c r="AS98" s="20"/>
      <c r="AV98" s="17"/>
      <c r="AX98" s="18"/>
      <c r="AY98" s="19"/>
      <c r="AZ98" s="20" t="str">
        <f t="shared" si="88"/>
        <v>---</v>
      </c>
      <c r="BB98" s="18"/>
      <c r="BC98" s="19"/>
      <c r="BD98" s="20" t="str">
        <f t="shared" si="89"/>
        <v>---</v>
      </c>
    </row>
    <row r="99" spans="1:56" ht="15" customHeight="1">
      <c r="A99" s="36"/>
      <c r="D99" s="17"/>
      <c r="F99" s="18"/>
      <c r="G99" s="19"/>
      <c r="H99" s="20"/>
      <c r="J99" s="18"/>
      <c r="K99" s="19"/>
      <c r="L99" s="20"/>
      <c r="O99" s="17"/>
      <c r="Q99" s="18"/>
      <c r="R99" s="19"/>
      <c r="S99" s="20"/>
      <c r="U99" s="18"/>
      <c r="V99" s="19"/>
      <c r="W99" s="20"/>
      <c r="Z99" s="17"/>
      <c r="AB99" s="18"/>
      <c r="AC99" s="19"/>
      <c r="AD99" s="20"/>
      <c r="AF99" s="18"/>
      <c r="AG99" s="19"/>
      <c r="AH99" s="20"/>
      <c r="AK99" s="17"/>
      <c r="AM99" s="18"/>
      <c r="AN99" s="19"/>
      <c r="AO99" s="20"/>
      <c r="AQ99" s="18"/>
      <c r="AR99" s="19"/>
      <c r="AS99" s="20"/>
      <c r="AV99" s="17"/>
      <c r="AX99" s="18"/>
      <c r="AY99" s="19"/>
      <c r="AZ99" s="20" t="str">
        <f t="shared" si="88"/>
        <v>---</v>
      </c>
      <c r="BB99" s="18"/>
      <c r="BC99" s="19"/>
      <c r="BD99" s="20" t="str">
        <f t="shared" si="89"/>
        <v>---</v>
      </c>
    </row>
    <row r="100" spans="1:56" ht="15" customHeight="1">
      <c r="D100" s="13" t="str">
        <f>+IF($B$3="esp","Efectos extraordinarios en Amort.y Provisiones","One-offs in Amortization&amp;Provisions")</f>
        <v>One-offs in Amortization&amp;Provisions</v>
      </c>
      <c r="E100" s="13"/>
      <c r="F100" s="14">
        <f>+[1]GRUPO!K104</f>
        <v>-0.78423522507391463</v>
      </c>
      <c r="G100" s="15">
        <f>+[1]GRUPO!L104</f>
        <v>0.47709819815682941</v>
      </c>
      <c r="H100" s="16" t="str">
        <f>IF(G100=0,"---",IF(OR(ABS((F100-G100)/ABS(G100))&gt;2,(F100*G100)&lt;0),"---",IF(G100="0","---",((F100-G100)/ABS(G100))*100)))</f>
        <v>---</v>
      </c>
      <c r="J100" s="14">
        <f>+[1]GRUPO!O104</f>
        <v>0.21114554880818681</v>
      </c>
      <c r="K100" s="15">
        <f>+[1]GRUPO!P104</f>
        <v>0.24705894400597028</v>
      </c>
      <c r="L100" s="16">
        <f>IF(K100=0,"---",IF(OR(ABS((J100-K100)/ABS(K100))&gt;2,(J100*K100)&lt;0),"---",IF(K100="0","---",((J100-K100)/ABS(K100))*100)))</f>
        <v>-14.536367158161095</v>
      </c>
      <c r="O100" s="13" t="str">
        <f>+IF($B$3="esp","Efectos extraordinarios en Amort.y Provisiones","One-offs in Amortization&amp;Provisions")</f>
        <v>One-offs in Amortization&amp;Provisions</v>
      </c>
      <c r="P100" s="13"/>
      <c r="Q100" s="14">
        <f>+[1]SANTILLANA!K91</f>
        <v>0</v>
      </c>
      <c r="R100" s="15">
        <f>+[1]SANTILLANA!L91</f>
        <v>0</v>
      </c>
      <c r="S100" s="16" t="str">
        <f>IF(R100=0,"---",IF(OR(ABS((Q100-R100)/ABS(R100))&gt;2,(Q100*R100)&lt;0),"---",IF(R100="0","---",((Q100-R100)/ABS(R100))*100)))</f>
        <v>---</v>
      </c>
      <c r="U100" s="14">
        <f>+[1]SANTILLANA!O91</f>
        <v>0</v>
      </c>
      <c r="V100" s="15">
        <f>+[1]SANTILLANA!P91</f>
        <v>0</v>
      </c>
      <c r="W100" s="16" t="str">
        <f>IF(V100=0,"---",IF(OR(ABS((U100-V100)/ABS(V100))&gt;2,(U100*V100)&lt;0),"---",IF(V100="0","---",((U100-V100)/ABS(V100))*100)))</f>
        <v>---</v>
      </c>
      <c r="Z100" s="13" t="str">
        <f>+IF($B$3="esp","Efectos extraordinarios en Amort.y Provisiones","One-offs in Amortization&amp;Provisions")</f>
        <v>One-offs in Amortization&amp;Provisions</v>
      </c>
      <c r="AA100" s="13"/>
      <c r="AB100" s="14">
        <f>+[1]RADIO!K92</f>
        <v>-0.78423522639083454</v>
      </c>
      <c r="AC100" s="15">
        <f>+[1]RADIO!L92</f>
        <v>0.47709819815682941</v>
      </c>
      <c r="AD100" s="16" t="str">
        <f>IF(AC100=0,"---",IF(OR(ABS((AB100-AC100)/ABS(AC100))&gt;2,(AB100*AC100)&lt;0),"---",IF(AC100="0","---",((AB100-AC100)/ABS(AC100))*100)))</f>
        <v>---</v>
      </c>
      <c r="AF100" s="14">
        <f>+[1]RADIO!O92</f>
        <v>0.21114554880818681</v>
      </c>
      <c r="AG100" s="15">
        <f>+[1]RADIO!P92</f>
        <v>0.24705894400597028</v>
      </c>
      <c r="AH100" s="16">
        <f>IF(AG100=0,"---",IF(OR(ABS((AF100-AG100)/ABS(AG100))&gt;2,(AF100*AG100)&lt;0),"---",IF(AG100="0","---",((AF100-AG100)/ABS(AG100))*100)))</f>
        <v>-14.536367158161095</v>
      </c>
      <c r="AK100" s="13" t="str">
        <f>+IF($B$3="esp","Efectos extraordinarios en Amort.y Provisiones","One-offs in Amortization&amp;Provisions")</f>
        <v>One-offs in Amortization&amp;Provisions</v>
      </c>
      <c r="AL100" s="13"/>
      <c r="AM100" s="14">
        <f>+[1]NOTICIAS!K50</f>
        <v>0</v>
      </c>
      <c r="AN100" s="15">
        <f>+[1]NOTICIAS!L50</f>
        <v>0</v>
      </c>
      <c r="AO100" s="16" t="str">
        <f>IF(AN100=0,"---",IF(OR(ABS((AM100-AN100)/ABS(AN100))&gt;2,(AM100*AN100)&lt;0),"---",IF(AN100="0","---",((AM100-AN100)/ABS(AN100))*100)))</f>
        <v>---</v>
      </c>
      <c r="AQ100" s="14">
        <f>+[1]NOTICIAS!O50</f>
        <v>0</v>
      </c>
      <c r="AR100" s="15">
        <f>+[1]NOTICIAS!P50</f>
        <v>0</v>
      </c>
      <c r="AS100" s="16" t="str">
        <f>IF(AR100=0,"---",IF(OR(ABS((AQ100-AR100)/ABS(AR100))&gt;2,(AQ100*AR100)&lt;0),"---",IF(AR100="0","---",((AQ100-AR100)/ABS(AR100))*100)))</f>
        <v>---</v>
      </c>
      <c r="AV100" s="13" t="str">
        <f>+IF($B$3="esp","Efectos extraordinarios en Amort.y Provisiones","One-offs in Amortization&amp;Provisions")</f>
        <v>One-offs in Amortization&amp;Provisions</v>
      </c>
      <c r="AW100" s="13"/>
      <c r="AX100" s="14">
        <f>+'[1]MEDIA CAPITAL'!K48</f>
        <v>0</v>
      </c>
      <c r="AY100" s="15">
        <f>+'[1]MEDIA CAPITAL'!L48</f>
        <v>0</v>
      </c>
      <c r="AZ100" s="16" t="str">
        <f>IF(AY100=0,"---",IF(OR(ABS((AX100-AY100)/ABS(AY100))&gt;2,(AX100*AY100)&lt;0),"---",IF(AY100="0","---",((AX100-AY100)/ABS(AY100))*100)))</f>
        <v>---</v>
      </c>
      <c r="BB100" s="14">
        <f>+'[1]MEDIA CAPITAL'!O48</f>
        <v>0</v>
      </c>
      <c r="BC100" s="15">
        <f>+'[1]MEDIA CAPITAL'!P48</f>
        <v>0</v>
      </c>
      <c r="BD100" s="16" t="str">
        <f>IF(BC100=0,"---",IF(OR(ABS((BB100-BC100)/ABS(BC100))&gt;2,(BB100*BC100)&lt;0),"---",IF(BC100="0","---",((BB100-BC100)/ABS(BC100))*100)))</f>
        <v>---</v>
      </c>
    </row>
    <row r="101" spans="1:56" ht="15" customHeight="1">
      <c r="D101" s="17" t="str">
        <f>+IF($B$3="esp","Ajuste perímetro consolidación MX&amp;CR","Consolidation perimeter adjustment MX&amp;CR")</f>
        <v>Consolidation perimeter adjustment MX&amp;CR</v>
      </c>
      <c r="F101" s="18">
        <f>+[1]GRUPO!K105</f>
        <v>0.43242429762148538</v>
      </c>
      <c r="G101" s="19">
        <f>+[1]GRUPO!L105</f>
        <v>0.47709819815682941</v>
      </c>
      <c r="H101" s="20">
        <f t="shared" ref="H101:H103" si="90">IF(G101=0,"---",IF(OR(ABS((F101-G101)/ABS(G101))&gt;2,(F101*G101)&lt;0),"---",IF(G101="0","---",((F101-G101)/ABS(G101))*100)))</f>
        <v>-9.3636699337646725</v>
      </c>
      <c r="J101" s="18">
        <f>+[1]GRUPO!O105</f>
        <v>0.21114554880818681</v>
      </c>
      <c r="K101" s="19">
        <f>+[1]GRUPO!P105</f>
        <v>0.24705894400597028</v>
      </c>
      <c r="L101" s="20">
        <f t="shared" ref="L101" si="91">IF(K101=0,"---",IF(OR(ABS((J101-K101)/ABS(K101))&gt;2,(J101*K101)&lt;0),"---",IF(K101="0","---",((J101-K101)/ABS(K101))*100)))</f>
        <v>-14.536367158161095</v>
      </c>
      <c r="O101" s="17"/>
      <c r="Q101" s="18"/>
      <c r="R101" s="19"/>
      <c r="S101" s="20" t="str">
        <f t="shared" ref="S101:S102" si="92">IF(R101=0,"---",IF(OR(ABS((Q101-R101)/ABS(R101))&gt;2,(Q101*R101)&lt;0),"---",IF(R101="0","---",((Q101-R101)/ABS(R101))*100)))</f>
        <v>---</v>
      </c>
      <c r="U101" s="18"/>
      <c r="V101" s="19"/>
      <c r="W101" s="20" t="str">
        <f t="shared" ref="W101:W102" si="93">IF(V101=0,"---",IF(OR(ABS((U101-V101)/ABS(V101))&gt;2,(U101*V101)&lt;0),"---",IF(V101="0","---",((U101-V101)/ABS(V101))*100)))</f>
        <v>---</v>
      </c>
      <c r="Z101" s="17" t="str">
        <f>+IF($B$3="esp","Ajuste perímetro consolidación MX&amp;CR","Consolidation perimeter adjustment MX&amp;CR")</f>
        <v>Consolidation perimeter adjustment MX&amp;CR</v>
      </c>
      <c r="AB101" s="18">
        <f>+[1]RADIO!K93</f>
        <v>0.43242429762148538</v>
      </c>
      <c r="AC101" s="19">
        <f>+[1]RADIO!L93</f>
        <v>0.47709819815682941</v>
      </c>
      <c r="AD101" s="20">
        <f t="shared" ref="AD101:AD102" si="94">IF(AC101=0,"---",IF(OR(ABS((AB101-AC101)/ABS(AC101))&gt;2,(AB101*AC101)&lt;0),"---",IF(AC101="0","---",((AB101-AC101)/ABS(AC101))*100)))</f>
        <v>-9.3636699337646725</v>
      </c>
      <c r="AF101" s="18">
        <f>+[1]RADIO!O93</f>
        <v>0.21114554880818681</v>
      </c>
      <c r="AG101" s="19">
        <f>+[1]RADIO!P93</f>
        <v>0.24705894400597028</v>
      </c>
      <c r="AH101" s="20">
        <f t="shared" ref="AH101:AH102" si="95">IF(AG101=0,"---",IF(OR(ABS((AF101-AG101)/ABS(AG101))&gt;2,(AF101*AG101)&lt;0),"---",IF(AG101="0","---",((AF101-AG101)/ABS(AG101))*100)))</f>
        <v>-14.536367158161095</v>
      </c>
      <c r="AK101" s="17"/>
      <c r="AM101" s="18"/>
      <c r="AN101" s="19"/>
      <c r="AO101" s="20" t="str">
        <f t="shared" ref="AO101" si="96">IF(AN101=0,"---",IF(OR(ABS((AM101-AN101)/ABS(AN101))&gt;2,(AM101*AN101)&lt;0),"---",IF(AN101="0","---",((AM101-AN101)/ABS(AN101))*100)))</f>
        <v>---</v>
      </c>
      <c r="AQ101" s="18"/>
      <c r="AR101" s="19"/>
      <c r="AS101" s="20" t="str">
        <f t="shared" ref="AS101" si="97">IF(AR101=0,"---",IF(OR(ABS((AQ101-AR101)/ABS(AR101))&gt;2,(AQ101*AR101)&lt;0),"---",IF(AR101="0","---",((AQ101-AR101)/ABS(AR101))*100)))</f>
        <v>---</v>
      </c>
      <c r="AV101" s="17"/>
      <c r="AX101" s="18"/>
      <c r="AY101" s="19"/>
      <c r="AZ101" s="20" t="str">
        <f t="shared" ref="AZ101:AZ105" si="98">IF(AY101=0,"---",IF(OR(ABS((AX101-AY101)/ABS(AY101))&gt;2,(AX101*AY101)&lt;0),"---",IF(AY101="0","---",((AX101-AY101)/ABS(AY101))*100)))</f>
        <v>---</v>
      </c>
      <c r="BB101" s="18"/>
      <c r="BC101" s="19"/>
      <c r="BD101" s="20" t="str">
        <f t="shared" ref="BD101:BD103" si="99">IF(BC101=0,"---",IF(OR(ABS((BB101-BC101)/ABS(BC101))&gt;2,(BB101*BC101)&lt;0),"---",IF(BC101="0","---",((BB101-BC101)/ABS(BC101))*100)))</f>
        <v>---</v>
      </c>
    </row>
    <row r="102" spans="1:56" s="13" customFormat="1" ht="15" customHeight="1">
      <c r="D102" s="17" t="str">
        <f>+IF($B$3="esp","Otros deterioros","Other impairments")</f>
        <v>Other impairments</v>
      </c>
      <c r="E102" s="1"/>
      <c r="F102" s="18">
        <f>+[1]GRUPO!K106</f>
        <v>-1.2166595226954</v>
      </c>
      <c r="G102" s="19">
        <f>+[1]GRUPO!L106</f>
        <v>0</v>
      </c>
      <c r="H102" s="20"/>
      <c r="J102" s="18">
        <f>+[1]GRUPO!O106</f>
        <v>0</v>
      </c>
      <c r="K102" s="19">
        <f>+[1]GRUPO!P106</f>
        <v>0</v>
      </c>
      <c r="L102" s="20"/>
      <c r="O102" s="17"/>
      <c r="P102" s="1"/>
      <c r="Q102" s="18"/>
      <c r="R102" s="19"/>
      <c r="S102" s="20" t="str">
        <f t="shared" si="92"/>
        <v>---</v>
      </c>
      <c r="U102" s="18"/>
      <c r="V102" s="19"/>
      <c r="W102" s="20" t="str">
        <f t="shared" si="93"/>
        <v>---</v>
      </c>
      <c r="Z102" s="17" t="str">
        <f>+IF($B$3="esp","Deterioros y Pérdidas de inmovilizado","Impairment &amp; Losses from fixed assets")</f>
        <v>Impairment &amp; Losses from fixed assets</v>
      </c>
      <c r="AA102" s="1"/>
      <c r="AB102" s="18">
        <f>+[1]RADIO!K94</f>
        <v>-1.2166595240123199</v>
      </c>
      <c r="AC102" s="19">
        <f>+[1]RADIO!L94</f>
        <v>0</v>
      </c>
      <c r="AD102" s="20" t="str">
        <f t="shared" si="94"/>
        <v>---</v>
      </c>
      <c r="AF102" s="18">
        <f>+[1]RADIO!O94</f>
        <v>0</v>
      </c>
      <c r="AG102" s="19">
        <f>+[1]RADIO!P94</f>
        <v>0</v>
      </c>
      <c r="AH102" s="20" t="str">
        <f t="shared" si="95"/>
        <v>---</v>
      </c>
      <c r="AK102" s="17"/>
      <c r="AL102" s="1"/>
      <c r="AM102" s="18"/>
      <c r="AN102" s="19"/>
      <c r="AO102" s="20"/>
      <c r="AQ102" s="18"/>
      <c r="AR102" s="19"/>
      <c r="AS102" s="20"/>
      <c r="AV102" s="17"/>
      <c r="AW102" s="1"/>
      <c r="AX102" s="18"/>
      <c r="AY102" s="19"/>
      <c r="AZ102" s="20" t="str">
        <f t="shared" si="98"/>
        <v>---</v>
      </c>
      <c r="BB102" s="18"/>
      <c r="BC102" s="19"/>
      <c r="BD102" s="20" t="str">
        <f t="shared" si="99"/>
        <v>---</v>
      </c>
    </row>
    <row r="103" spans="1:56" ht="15" customHeight="1">
      <c r="D103" s="17"/>
      <c r="F103" s="18"/>
      <c r="G103" s="19"/>
      <c r="H103" s="20" t="str">
        <f t="shared" si="90"/>
        <v>---</v>
      </c>
      <c r="J103" s="18"/>
      <c r="K103" s="19"/>
      <c r="L103" s="20" t="str">
        <f t="shared" ref="L103" si="100">IF(K103=0,"---",IF(OR(ABS((J103-K103)/ABS(K103))&gt;2,(J103*K103)&lt;0),"---",IF(K103="0","---",((J103-K103)/ABS(K103))*100)))</f>
        <v>---</v>
      </c>
      <c r="O103" s="17"/>
      <c r="Q103" s="18"/>
      <c r="R103" s="19"/>
      <c r="S103" s="20"/>
      <c r="U103" s="18"/>
      <c r="V103" s="19"/>
      <c r="W103" s="20"/>
      <c r="Z103" s="17"/>
      <c r="AB103" s="18"/>
      <c r="AC103" s="19"/>
      <c r="AD103" s="20"/>
      <c r="AF103" s="18"/>
      <c r="AG103" s="19"/>
      <c r="AH103" s="20"/>
      <c r="AK103" s="17"/>
      <c r="AM103" s="18"/>
      <c r="AN103" s="19"/>
      <c r="AO103" s="20"/>
      <c r="AQ103" s="18"/>
      <c r="AR103" s="19"/>
      <c r="AS103" s="20"/>
      <c r="AV103" s="17"/>
      <c r="AX103" s="18"/>
      <c r="AY103" s="19"/>
      <c r="AZ103" s="20" t="str">
        <f t="shared" si="98"/>
        <v>---</v>
      </c>
      <c r="BB103" s="18"/>
      <c r="BC103" s="19"/>
      <c r="BD103" s="20" t="str">
        <f t="shared" si="99"/>
        <v>---</v>
      </c>
    </row>
    <row r="104" spans="1:56" ht="15" customHeight="1">
      <c r="A104" s="36"/>
      <c r="D104" s="17"/>
      <c r="F104" s="18"/>
      <c r="G104" s="19"/>
      <c r="H104" s="20"/>
      <c r="J104" s="18"/>
      <c r="K104" s="19"/>
      <c r="L104" s="20"/>
      <c r="O104" s="17"/>
      <c r="Q104" s="18"/>
      <c r="R104" s="19"/>
      <c r="S104" s="20"/>
      <c r="U104" s="18"/>
      <c r="V104" s="19"/>
      <c r="W104" s="20"/>
      <c r="Z104" s="17"/>
      <c r="AB104" s="18"/>
      <c r="AC104" s="19"/>
      <c r="AD104" s="20"/>
      <c r="AF104" s="18"/>
      <c r="AG104" s="19"/>
      <c r="AH104" s="20"/>
      <c r="AK104" s="17"/>
      <c r="AM104" s="18"/>
      <c r="AN104" s="19"/>
      <c r="AO104" s="20"/>
      <c r="AQ104" s="18"/>
      <c r="AR104" s="19"/>
      <c r="AS104" s="20"/>
      <c r="AV104" s="17"/>
      <c r="AX104" s="18"/>
      <c r="AY104" s="19"/>
      <c r="AZ104" s="20" t="str">
        <f>IF(AY104=0,"---",IF(OR(ABS((AX104-AY104)/ABS(AY104))&gt;2,(AX104*AY104)&lt;0),"---",IF(AY104="0","---",((AX104-AY104)/ABS(AY104))*100)))</f>
        <v>---</v>
      </c>
      <c r="BB104" s="18"/>
      <c r="BC104" s="19"/>
      <c r="BD104" s="20" t="str">
        <f>IF(BC104=0,"---",IF(OR(ABS((BB104-BC104)/ABS(BC104))&gt;2,(BB104*BC104)&lt;0),"---",IF(BC104="0","---",((BB104-BC104)/ABS(BC104))*100)))</f>
        <v>---</v>
      </c>
    </row>
    <row r="105" spans="1:56" ht="15" customHeight="1">
      <c r="O105" s="17"/>
      <c r="Q105" s="18"/>
      <c r="R105" s="19"/>
      <c r="S105" s="20"/>
      <c r="U105" s="18"/>
      <c r="V105" s="19"/>
      <c r="W105" s="20"/>
      <c r="Z105" s="17"/>
      <c r="AB105" s="18"/>
      <c r="AC105" s="19"/>
      <c r="AD105" s="20"/>
      <c r="AF105" s="18"/>
      <c r="AG105" s="19"/>
      <c r="AH105" s="20"/>
      <c r="AK105" s="17"/>
      <c r="AM105" s="18"/>
      <c r="AN105" s="19"/>
      <c r="AO105" s="20"/>
      <c r="AQ105" s="18"/>
      <c r="AR105" s="19"/>
      <c r="AS105" s="20"/>
      <c r="AV105" s="17"/>
      <c r="AX105" s="18"/>
      <c r="AY105" s="19"/>
      <c r="AZ105" s="20" t="str">
        <f t="shared" si="98"/>
        <v>---</v>
      </c>
      <c r="BB105" s="18"/>
      <c r="BC105" s="19"/>
      <c r="BD105" s="20" t="str">
        <f t="shared" ref="BD105" si="101">IF(BC105=0,"---",IF(OR(ABS((BB105-BC105)/ABS(BC105))&gt;2,(BB105*BC105)&lt;0),"---",IF(BC105="0","---",((BB105-BC105)/ABS(BC105))*100)))</f>
        <v>---</v>
      </c>
    </row>
    <row r="106" spans="1:56" ht="15" customHeight="1">
      <c r="D106" s="17"/>
      <c r="F106" s="19"/>
      <c r="G106" s="19"/>
      <c r="H106" s="20"/>
      <c r="J106" s="19"/>
      <c r="K106" s="19"/>
      <c r="L106" s="20"/>
    </row>
    <row r="107" spans="1:56" ht="15" customHeight="1"/>
    <row r="108" spans="1:56" ht="15" customHeight="1">
      <c r="D108" s="17"/>
      <c r="F108" s="19"/>
      <c r="G108" s="19"/>
      <c r="H108" s="20"/>
      <c r="J108" s="19"/>
      <c r="K108" s="19"/>
      <c r="L108" s="20"/>
    </row>
    <row r="111" spans="1:56"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B111" s="35"/>
      <c r="BC111" s="35"/>
      <c r="BD111" s="35"/>
    </row>
    <row r="114" spans="4:56">
      <c r="D114" s="9" t="str">
        <f>+IF($B$3="esp","Millones de €","€ Millions")</f>
        <v>€ Millions</v>
      </c>
      <c r="F114" s="7" t="str">
        <f>+F6</f>
        <v>JANUARY - JUNE</v>
      </c>
      <c r="G114" s="8"/>
      <c r="H114" s="8"/>
      <c r="J114" s="7" t="str">
        <f>+J6</f>
        <v>APRIL - JUNE</v>
      </c>
      <c r="K114" s="8"/>
      <c r="L114" s="8"/>
      <c r="O114" s="9" t="str">
        <f>+IF($B$3="esp","Millones de €","€ Millions")</f>
        <v>€ Millions</v>
      </c>
      <c r="Q114" s="7" t="str">
        <f>+Q6</f>
        <v>JANUARY - JUNE</v>
      </c>
      <c r="R114" s="8"/>
      <c r="S114" s="8"/>
      <c r="U114" s="7" t="str">
        <f>+U6</f>
        <v>APRIL - JUNE</v>
      </c>
      <c r="V114" s="8"/>
      <c r="W114" s="8"/>
      <c r="Z114" s="9" t="str">
        <f>+IF($B$3="esp","Millones de €","€ Millions")</f>
        <v>€ Millions</v>
      </c>
      <c r="AB114" s="7" t="str">
        <f>+AB6</f>
        <v>JANUARY - JUNE</v>
      </c>
      <c r="AC114" s="8"/>
      <c r="AD114" s="8"/>
      <c r="AF114" s="7" t="str">
        <f>+AF6</f>
        <v>APRIL - JUNE</v>
      </c>
      <c r="AG114" s="8"/>
      <c r="AH114" s="8"/>
      <c r="AK114" s="9" t="str">
        <f>+IF($B$3="esp","Millones de €","€ Millions")</f>
        <v>€ Millions</v>
      </c>
      <c r="AM114" s="7" t="str">
        <f>+IF($B$3="esp","ENERO - MARZO","JANUARY - MARCH")</f>
        <v>JANUARY - MARCH</v>
      </c>
      <c r="AN114" s="8"/>
      <c r="AO114" s="8"/>
      <c r="AQ114" s="7" t="str">
        <f>+IF($B$3="esp","ENERO - MARZO","JANUARY - MARCH")</f>
        <v>JANUARY - MARCH</v>
      </c>
      <c r="AR114" s="8"/>
      <c r="AS114" s="8"/>
      <c r="AV114" s="9" t="str">
        <f>+IF($B$3="esp","Millones de €","€ Millions")</f>
        <v>€ Millions</v>
      </c>
      <c r="AX114" s="7" t="str">
        <f>+IF($B$3="esp","ENERO - MARZO","JANUARY - MARCH")</f>
        <v>JANUARY - MARCH</v>
      </c>
      <c r="AY114" s="8"/>
      <c r="AZ114" s="8"/>
      <c r="BB114" s="7" t="str">
        <f>+IF($B$3="esp","ENERO - MARZO","JANUARY - MARCH")</f>
        <v>JANUARY - MARCH</v>
      </c>
      <c r="BC114" s="8"/>
      <c r="BD114" s="8"/>
    </row>
    <row r="115" spans="4:56" ht="6.75" customHeight="1">
      <c r="D115" s="9"/>
    </row>
    <row r="116" spans="4:56" ht="15">
      <c r="D116" s="37" t="str">
        <f>+IF($B$3="esp","GRUPO","GROUP")</f>
        <v>GROUP</v>
      </c>
      <c r="F116" s="10">
        <v>2017</v>
      </c>
      <c r="G116" s="10">
        <v>2016</v>
      </c>
      <c r="H116" s="10" t="str">
        <f>+IF($B$3="esp","Var.%","% Chg.")</f>
        <v>% Chg.</v>
      </c>
      <c r="J116" s="10">
        <v>2017</v>
      </c>
      <c r="K116" s="10">
        <v>2016</v>
      </c>
      <c r="L116" s="10" t="str">
        <f>+IF($B$3="esp","Var.%","% Chg.")</f>
        <v>% Chg.</v>
      </c>
      <c r="O116" s="37" t="str">
        <f>+IF($B$3="esp","EDUCACIÓN","EDUCATION")</f>
        <v>EDUCATION</v>
      </c>
      <c r="Q116" s="10">
        <v>2017</v>
      </c>
      <c r="R116" s="10">
        <v>2016</v>
      </c>
      <c r="S116" s="10" t="str">
        <f>+IF($B$3="esp","Var.%","% Chg.")</f>
        <v>% Chg.</v>
      </c>
      <c r="U116" s="10">
        <v>2017</v>
      </c>
      <c r="V116" s="10">
        <v>2016</v>
      </c>
      <c r="W116" s="10" t="str">
        <f>+IF($B$3="esp","Var.%","% Chg.")</f>
        <v>% Chg.</v>
      </c>
      <c r="Z116" s="37" t="str">
        <f>+IF($B$3="esp","RADIO","RADIO")</f>
        <v>RADIO</v>
      </c>
      <c r="AB116" s="10">
        <v>2017</v>
      </c>
      <c r="AC116" s="10">
        <v>2016</v>
      </c>
      <c r="AD116" s="10" t="str">
        <f>+IF($B$3="esp","Var.%","% Chg.")</f>
        <v>% Chg.</v>
      </c>
      <c r="AF116" s="10">
        <v>2017</v>
      </c>
      <c r="AG116" s="10">
        <v>2016</v>
      </c>
      <c r="AH116" s="10" t="str">
        <f>+IF($B$3="esp","Var.%","% Chg.")</f>
        <v>% Chg.</v>
      </c>
      <c r="AK116" s="37" t="str">
        <f>+IF($B$3="esp","PRENSA","PRESS")</f>
        <v>PRESS</v>
      </c>
      <c r="AM116" s="10">
        <v>2017</v>
      </c>
      <c r="AN116" s="10">
        <v>2016</v>
      </c>
      <c r="AO116" s="10" t="str">
        <f>+IF($B$3="esp","Var.%","% Chg.")</f>
        <v>% Chg.</v>
      </c>
      <c r="AQ116" s="10">
        <v>2017</v>
      </c>
      <c r="AR116" s="10">
        <v>2016</v>
      </c>
      <c r="AS116" s="10" t="str">
        <f>+IF($B$3="esp","Var.%","% Chg.")</f>
        <v>% Chg.</v>
      </c>
      <c r="AV116" s="37" t="str">
        <f>+IF($B$3="esp","MEDIA CAPITAL","MEDIA CAPITAL")</f>
        <v>MEDIA CAPITAL</v>
      </c>
      <c r="AX116" s="10">
        <v>2017</v>
      </c>
      <c r="AY116" s="10">
        <v>2016</v>
      </c>
      <c r="AZ116" s="10" t="str">
        <f>+IF($B$3="esp","Var.%","% Chg.")</f>
        <v>% Chg.</v>
      </c>
      <c r="BB116" s="10">
        <v>2017</v>
      </c>
      <c r="BC116" s="10">
        <v>2016</v>
      </c>
      <c r="BD116" s="10" t="str">
        <f>+IF($B$3="esp","Var.%","% Chg.")</f>
        <v>% Chg.</v>
      </c>
    </row>
    <row r="117" spans="4:56" ht="15.75" customHeight="1">
      <c r="D117" s="11"/>
      <c r="F117" s="12"/>
      <c r="G117" s="12"/>
      <c r="H117" s="12"/>
      <c r="J117" s="12"/>
      <c r="K117" s="12"/>
      <c r="L117" s="12"/>
      <c r="O117" s="11"/>
      <c r="Q117" s="12"/>
      <c r="R117" s="12"/>
      <c r="S117" s="12"/>
      <c r="U117" s="12"/>
      <c r="V117" s="12"/>
      <c r="W117" s="12"/>
      <c r="Z117" s="11"/>
      <c r="AB117" s="12"/>
      <c r="AC117" s="12"/>
      <c r="AD117" s="12"/>
      <c r="AF117" s="12"/>
      <c r="AG117" s="12"/>
      <c r="AH117" s="12"/>
      <c r="AK117" s="11"/>
      <c r="AM117" s="12"/>
      <c r="AN117" s="12"/>
      <c r="AO117" s="12"/>
      <c r="AQ117" s="12"/>
      <c r="AR117" s="12"/>
      <c r="AS117" s="12"/>
      <c r="AV117" s="11"/>
      <c r="AX117" s="12"/>
      <c r="AY117" s="12"/>
      <c r="AZ117" s="12"/>
      <c r="BB117" s="12"/>
      <c r="BC117" s="12"/>
      <c r="BD117" s="12"/>
    </row>
    <row r="118" spans="4:56" s="13" customFormat="1" ht="15" customHeight="1">
      <c r="D118" s="13" t="str">
        <f>+IF($B$3="esp","EBITDA","EBITDA")</f>
        <v>EBITDA</v>
      </c>
      <c r="F118" s="14">
        <f>+[1]GRUPO!K150</f>
        <v>118.54934649393701</v>
      </c>
      <c r="G118" s="15">
        <f>+[1]GRUPO!L150</f>
        <v>86.474939563265508</v>
      </c>
      <c r="H118" s="16">
        <f>IF(G118=0,"---",IF(OR(ABS((F118-G118)/ABS(G118))&gt;2,(F118*G118)&lt;0),"---",IF(G118="0","---",((F118-G118)/ABS(G118))*100)))</f>
        <v>37.090985079215585</v>
      </c>
      <c r="J118" s="14">
        <f>+[1]GRUPO!O150</f>
        <v>35.718438639792396</v>
      </c>
      <c r="K118" s="15">
        <f>+[1]GRUPO!P150</f>
        <v>31.470028262100911</v>
      </c>
      <c r="L118" s="16">
        <f>IF(K118=0,"---",IF(OR(ABS((J118-K118)/ABS(K118))&gt;2,(J118*K118)&lt;0),"---",IF(K118="0","---",((J118-K118)/ABS(K118))*100)))</f>
        <v>13.499861971232512</v>
      </c>
      <c r="O118" s="13" t="str">
        <f>+IF($B$3="esp","EBITDA","EBITDA")</f>
        <v>EBITDA</v>
      </c>
      <c r="Q118" s="14">
        <f>+[1]SANTILLANA!K156</f>
        <v>91.89695832286921</v>
      </c>
      <c r="R118" s="15">
        <f>+[1]SANTILLANA!L156</f>
        <v>60.731049127301304</v>
      </c>
      <c r="S118" s="16">
        <f>IF(R118=0,"---",IF(OR(ABS((Q118-R118)/ABS(R118))&gt;2,(Q118*R118)&lt;0),"---",IF(R118="0","---",((Q118-R118)/ABS(R118))*100)))</f>
        <v>51.31791668910499</v>
      </c>
      <c r="U118" s="14">
        <f>+[1]SANTILLANA!O156</f>
        <v>10.310987541293201</v>
      </c>
      <c r="V118" s="15">
        <f>+[1]SANTILLANA!P156</f>
        <v>8.4980969106924036</v>
      </c>
      <c r="W118" s="16">
        <f>IF(V118=0,"---",IF(OR(ABS((U118-V118)/ABS(V118))&gt;2,(U118*V118)&lt;0),"---",IF(V118="0","---",((U118-V118)/ABS(V118))*100)))</f>
        <v>21.332901350181093</v>
      </c>
      <c r="Z118" s="13" t="str">
        <f>+IF($B$3="esp","EBITDA","EBITDA")</f>
        <v>EBITDA</v>
      </c>
      <c r="AB118" s="14">
        <f>+[1]RADIO!K107</f>
        <v>18.3272535598662</v>
      </c>
      <c r="AC118" s="15">
        <f>+[1]RADIO!L107</f>
        <v>13.375801893808301</v>
      </c>
      <c r="AD118" s="16">
        <f>IF(AC118=0,"---",IF(OR(ABS((AB118-AC118)/ABS(AC118))&gt;2,(AB118*AC118)&lt;0),"---",IF(AC118="0","---",((AB118-AC118)/ABS(AC118))*100)))</f>
        <v>37.017979971353647</v>
      </c>
      <c r="AF118" s="14">
        <f>+[1]RADIO!O107</f>
        <v>15.43831422741447</v>
      </c>
      <c r="AG118" s="15">
        <f>+[1]RADIO!P107</f>
        <v>10.68274788524668</v>
      </c>
      <c r="AH118" s="16">
        <f>IF(AG118=0,"---",IF(OR(ABS((AF118-AG118)/ABS(AG118))&gt;2,(AF118*AG118)&lt;0),"---",IF(AG118="0","---",((AF118-AG118)/ABS(AG118))*100)))</f>
        <v>44.516321018259958</v>
      </c>
      <c r="AK118" s="13" t="str">
        <f>+IF($B$3="esp","EBITDA","EBITDA")</f>
        <v>EBITDA</v>
      </c>
      <c r="AM118" s="14">
        <f>+[1]NOTICIAS!K65</f>
        <v>3.6569142368221299</v>
      </c>
      <c r="AN118" s="15">
        <f>+[1]NOTICIAS!L65</f>
        <v>7.1233563111520395</v>
      </c>
      <c r="AO118" s="16">
        <f>IF(AN118=0,"---",IF(OR(ABS((AM118-AN118)/ABS(AN118))&gt;2,(AM118*AN118)&lt;0),"---",IF(AN118="0","---",((AM118-AN118)/ABS(AN118))*100)))</f>
        <v>-48.663044819237633</v>
      </c>
      <c r="AQ118" s="14">
        <f>+[1]NOTICIAS!O65</f>
        <v>5.1902525129091801</v>
      </c>
      <c r="AR118" s="15">
        <f>+[1]NOTICIAS!P65</f>
        <v>6.5873082690539775</v>
      </c>
      <c r="AS118" s="16">
        <f>IF(AR118=0,"---",IF(OR(ABS((AQ118-AR118)/ABS(AR118))&gt;2,(AQ118*AR118)&lt;0),"---",IF(AR118="0","---",((AQ118-AR118)/ABS(AR118))*100)))</f>
        <v>-21.208294785715754</v>
      </c>
      <c r="AV118" s="13" t="str">
        <f>+IF($B$3="esp","EBITDA","EBITDA")</f>
        <v>EBITDA</v>
      </c>
      <c r="AX118" s="14">
        <f>+'[1]MEDIA CAPITAL'!K63</f>
        <v>17.426579340557801</v>
      </c>
      <c r="AY118" s="15">
        <f>+'[1]MEDIA CAPITAL'!L63</f>
        <v>17.252541439312601</v>
      </c>
      <c r="AZ118" s="16">
        <f>IF(AY118=0,"---",IF(OR(ABS((AX118-AY118)/ABS(AY118))&gt;2,(AX118*AY118)&lt;0),"---",IF(AY118="0","---",((AX118-AY118)/ABS(AY118))*100)))</f>
        <v>1.0087667481187852</v>
      </c>
      <c r="BB118" s="14">
        <f>+'[1]MEDIA CAPITAL'!O63</f>
        <v>12.38511205010899</v>
      </c>
      <c r="BC118" s="15">
        <f>+'[1]MEDIA CAPITAL'!P63</f>
        <v>11.492570882458551</v>
      </c>
      <c r="BD118" s="16">
        <f>IF(BC118=0,"---",IF(OR(ABS((BB118-BC118)/ABS(BC118))&gt;2,(BB118*BC118)&lt;0),"---",IF(BC118="0","---",((BB118-BC118)/ABS(BC118))*100)))</f>
        <v>7.7662446181885265</v>
      </c>
    </row>
    <row r="119" spans="4:56" ht="15" customHeight="1">
      <c r="D119" s="17" t="str">
        <f>+IF($B$3="esp","Radio México y Costa Rica","Radio Mexico and Costa Rica")</f>
        <v>Radio Mexico and Costa Rica</v>
      </c>
      <c r="F119" s="18">
        <f>+[1]GRUPO!K151</f>
        <v>3.8950909632328861</v>
      </c>
      <c r="G119" s="19">
        <f>+[1]GRUPO!L151</f>
        <v>3.570853662114204</v>
      </c>
      <c r="H119" s="20">
        <f t="shared" ref="H119:H125" si="102">IF(G119=0,"---",IF(OR(ABS((F119-G119)/ABS(G119))&gt;2,(F119*G119)&lt;0),"---",IF(G119="0","---",((F119-G119)/ABS(G119))*100)))</f>
        <v>9.0801060978430055</v>
      </c>
      <c r="J119" s="18">
        <f>+[1]GRUPO!O151</f>
        <v>2.3045990726320307</v>
      </c>
      <c r="K119" s="19">
        <f>+[1]GRUPO!P151</f>
        <v>2.0340620876554443</v>
      </c>
      <c r="L119" s="20">
        <f t="shared" ref="L119:L125" si="103">IF(K119=0,"---",IF(OR(ABS((J119-K119)/ABS(K119))&gt;2,(J119*K119)&lt;0),"---",IF(K119="0","---",((J119-K119)/ABS(K119))*100)))</f>
        <v>13.300330733189176</v>
      </c>
      <c r="O119" s="17" t="str">
        <f>+IF($B$3="esp","Efectos extraordinarios","Extraordinary effects")</f>
        <v>Extraordinary effects</v>
      </c>
      <c r="Q119" s="18">
        <f>+[1]SANTILLANA!K157</f>
        <v>2.3065171510605103</v>
      </c>
      <c r="R119" s="19">
        <f>+[1]SANTILLANA!L157</f>
        <v>2.0793883538714297</v>
      </c>
      <c r="S119" s="20">
        <f t="shared" ref="S119:S124" si="104">IF(R119=0,"---",IF(OR(ABS((Q119-R119)/ABS(R119))&gt;2,(Q119*R119)&lt;0),"---",IF(R119="0","---",((Q119-R119)/ABS(R119))*100)))</f>
        <v>10.92286569587684</v>
      </c>
      <c r="U119" s="18">
        <f>+[1]SANTILLANA!O157</f>
        <v>0.8894452012549503</v>
      </c>
      <c r="V119" s="19">
        <f>+[1]SANTILLANA!P157</f>
        <v>1.4438154633789317</v>
      </c>
      <c r="W119" s="20">
        <f t="shared" ref="W119:W124" si="105">IF(V119=0,"---",IF(OR(ABS((U119-V119)/ABS(V119))&gt;2,(U119*V119)&lt;0),"---",IF(V119="0","---",((U119-V119)/ABS(V119))*100)))</f>
        <v>-38.396199250186733</v>
      </c>
      <c r="Z119" s="17" t="str">
        <f>+IF($B$3="esp","Radio México y Costa Rica","Radio Mexico and Costa Rica")</f>
        <v>Radio Mexico and Costa Rica</v>
      </c>
      <c r="AB119" s="18">
        <f>+[1]RADIO!K108</f>
        <v>3.8950909632328861</v>
      </c>
      <c r="AC119" s="19">
        <f>+[1]RADIO!L108</f>
        <v>3.570853662114204</v>
      </c>
      <c r="AD119" s="20">
        <f t="shared" ref="AD119:AD125" si="106">IF(AC119=0,"---",IF(OR(ABS((AB119-AC119)/ABS(AC119))&gt;2,(AB119*AC119)&lt;0),"---",IF(AC119="0","---",((AB119-AC119)/ABS(AC119))*100)))</f>
        <v>9.0801060978430055</v>
      </c>
      <c r="AF119" s="18">
        <f>+[1]RADIO!O108</f>
        <v>2.3045990726320307</v>
      </c>
      <c r="AG119" s="19">
        <f>+[1]RADIO!P108</f>
        <v>2.0340620876554443</v>
      </c>
      <c r="AH119" s="20">
        <f t="shared" ref="AH119:AH125" si="107">IF(AG119=0,"---",IF(OR(ABS((AF119-AG119)/ABS(AG119))&gt;2,(AF119*AG119)&lt;0),"---",IF(AG119="0","---",((AF119-AG119)/ABS(AG119))*100)))</f>
        <v>13.300330733189176</v>
      </c>
      <c r="AK119" s="17" t="str">
        <f>+IF($B$3="esp","Efectos extraordinarios","Extraordinary effects")</f>
        <v>Extraordinary effects</v>
      </c>
      <c r="AM119" s="18">
        <f>+[1]NOTICIAS!K66</f>
        <v>2.3026233499999997</v>
      </c>
      <c r="AN119" s="19">
        <f>+[1]NOTICIAS!L66</f>
        <v>0.25413110269203498</v>
      </c>
      <c r="AO119" s="20" t="str">
        <f t="shared" ref="AO119:AO124" si="108">IF(AN119=0,"---",IF(OR(ABS((AM119-AN119)/ABS(AN119))&gt;2,(AM119*AN119)&lt;0),"---",IF(AN119="0","---",((AM119-AN119)/ABS(AN119))*100)))</f>
        <v>---</v>
      </c>
      <c r="AQ119" s="18">
        <f>+[1]NOTICIAS!O66</f>
        <v>-8.4365740000000411E-2</v>
      </c>
      <c r="AR119" s="19">
        <f>+[1]NOTICIAS!P66</f>
        <v>-0.595787702954517</v>
      </c>
      <c r="AS119" s="20">
        <f t="shared" ref="AS119:AS124" si="109">IF(AR119=0,"---",IF(OR(ABS((AQ119-AR119)/ABS(AR119))&gt;2,(AQ119*AR119)&lt;0),"---",IF(AR119="0","---",((AQ119-AR119)/ABS(AR119))*100)))</f>
        <v>85.839630529191879</v>
      </c>
      <c r="AV119" s="17" t="str">
        <f>+IF($B$3="esp","Efectos extraordinarios","Extraordinary effects")</f>
        <v>Extraordinary effects</v>
      </c>
      <c r="AX119" s="18">
        <f>+'[1]MEDIA CAPITAL'!K64</f>
        <v>0.833066689999999</v>
      </c>
      <c r="AY119" s="19">
        <f>+'[1]MEDIA CAPITAL'!L64</f>
        <v>0.41745438999999962</v>
      </c>
      <c r="AZ119" s="20">
        <f t="shared" ref="AZ119:AZ124" si="110">IF(AY119=0,"---",IF(OR(ABS((AX119-AY119)/ABS(AY119))&gt;2,(AX119*AY119)&lt;0),"---",IF(AY119="0","---",((AX119-AY119)/ABS(AY119))*100)))</f>
        <v>99.558732631845061</v>
      </c>
      <c r="BB119" s="18">
        <f>+'[1]MEDIA CAPITAL'!O64</f>
        <v>0.24903807999999916</v>
      </c>
      <c r="BC119" s="19">
        <f>+'[1]MEDIA CAPITAL'!P64</f>
        <v>2.1401959999999498E-2</v>
      </c>
      <c r="BD119" s="20" t="str">
        <f t="shared" ref="BD119:BD124" si="111">IF(BC119=0,"---",IF(OR(ABS((BB119-BC119)/ABS(BC119))&gt;2,(BB119*BC119)&lt;0),"---",IF(BC119="0","---",((BB119-BC119)/ABS(BC119))*100)))</f>
        <v>---</v>
      </c>
    </row>
    <row r="120" spans="4:56" ht="15" customHeight="1">
      <c r="D120" s="17" t="str">
        <f>+IF($B$3="esp","Efectos extraordinarios","Extraordinary effects")</f>
        <v>Extraordinary effects</v>
      </c>
      <c r="F120" s="18">
        <f>+[1]GRUPO!K152</f>
        <v>13.24571388736714</v>
      </c>
      <c r="G120" s="19">
        <f>+[1]GRUPO!L152</f>
        <v>6.9713224417284598</v>
      </c>
      <c r="H120" s="20">
        <f t="shared" si="102"/>
        <v>90.002886799237132</v>
      </c>
      <c r="J120" s="18">
        <f>+[1]GRUPO!O152</f>
        <v>5.1880631471681902</v>
      </c>
      <c r="K120" s="19">
        <f>+[1]GRUPO!P152</f>
        <v>3.8447206594115997</v>
      </c>
      <c r="L120" s="20">
        <f t="shared" si="103"/>
        <v>34.939924295102806</v>
      </c>
      <c r="O120" s="13" t="str">
        <f>+IF($B$3="esp","EBITDA Ajustado","Adjusted EBITDA")</f>
        <v>Adjusted EBITDA</v>
      </c>
      <c r="P120" s="13"/>
      <c r="Q120" s="14">
        <f>+[1]SANTILLANA!K158</f>
        <v>94.203475473929714</v>
      </c>
      <c r="R120" s="15">
        <f>+[1]SANTILLANA!L158</f>
        <v>62.810437481172734</v>
      </c>
      <c r="S120" s="16">
        <f t="shared" si="104"/>
        <v>49.980607127863038</v>
      </c>
      <c r="U120" s="14">
        <f>+[1]SANTILLANA!O158</f>
        <v>11.200432742548159</v>
      </c>
      <c r="V120" s="15">
        <f>+[1]SANTILLANA!P158</f>
        <v>9.941912374071336</v>
      </c>
      <c r="W120" s="16">
        <f t="shared" si="105"/>
        <v>12.658735272693249</v>
      </c>
      <c r="Z120" s="17" t="str">
        <f>+IF($B$3="esp","Efectos extraordinarios","Extraordinary effects")</f>
        <v>Extraordinary effects</v>
      </c>
      <c r="AB120" s="18">
        <f>+[1]RADIO!K109</f>
        <v>3.6864521563065993</v>
      </c>
      <c r="AC120" s="19">
        <f>+[1]RADIO!L109</f>
        <v>3.5868967840233204</v>
      </c>
      <c r="AD120" s="20">
        <f t="shared" si="106"/>
        <v>2.7755293301640673</v>
      </c>
      <c r="AF120" s="18">
        <f>+[1]RADIO!O109</f>
        <v>0.89713920591321017</v>
      </c>
      <c r="AG120" s="19">
        <f>+[1]RADIO!P109</f>
        <v>2.7146749466743394</v>
      </c>
      <c r="AH120" s="20">
        <f t="shared" si="107"/>
        <v>-66.952242035008041</v>
      </c>
      <c r="AK120" s="13" t="str">
        <f>+IF($B$3="esp","EBITDA Ajustado","Adjusted EBITDA")</f>
        <v>Adjusted EBITDA</v>
      </c>
      <c r="AL120" s="13"/>
      <c r="AM120" s="14">
        <f>+[1]NOTICIAS!K67</f>
        <v>5.9595375868221296</v>
      </c>
      <c r="AN120" s="15">
        <f>+[1]NOTICIAS!L67</f>
        <v>7.3774874138440749</v>
      </c>
      <c r="AO120" s="16">
        <f t="shared" si="108"/>
        <v>-19.21995589394189</v>
      </c>
      <c r="AQ120" s="14">
        <f>+[1]NOTICIAS!O67</f>
        <v>5.1058867729091792</v>
      </c>
      <c r="AR120" s="15">
        <f>+[1]NOTICIAS!P67</f>
        <v>5.991520566099461</v>
      </c>
      <c r="AS120" s="16">
        <f t="shared" si="109"/>
        <v>-14.781452945372065</v>
      </c>
      <c r="AV120" s="13" t="str">
        <f>+IF($B$3="esp","EBITDA Ajustado","Adjusted EBITDA")</f>
        <v>Adjusted EBITDA</v>
      </c>
      <c r="AW120" s="13"/>
      <c r="AX120" s="14">
        <f>+'[1]MEDIA CAPITAL'!K65</f>
        <v>18.2596460305578</v>
      </c>
      <c r="AY120" s="15">
        <f>+'[1]MEDIA CAPITAL'!L65</f>
        <v>17.669995829312601</v>
      </c>
      <c r="AZ120" s="16">
        <f t="shared" si="110"/>
        <v>3.3370138111013783</v>
      </c>
      <c r="BB120" s="14">
        <f>+'[1]MEDIA CAPITAL'!O65</f>
        <v>12.63415013010899</v>
      </c>
      <c r="BC120" s="15">
        <f>+'[1]MEDIA CAPITAL'!P65</f>
        <v>11.51397284245855</v>
      </c>
      <c r="BD120" s="16">
        <f t="shared" si="111"/>
        <v>9.7288512225746366</v>
      </c>
    </row>
    <row r="121" spans="4:56" ht="15" customHeight="1">
      <c r="D121" s="13" t="str">
        <f>+IF($B$3="esp","EBITDA Ajustado","Adjusted EBITDA")</f>
        <v>Adjusted EBITDA</v>
      </c>
      <c r="E121" s="13"/>
      <c r="F121" s="14">
        <f>+[1]GRUPO!K153</f>
        <v>135.69015134453704</v>
      </c>
      <c r="G121" s="15">
        <f>+[1]GRUPO!L153</f>
        <v>97.017115667108172</v>
      </c>
      <c r="H121" s="16">
        <f t="shared" si="102"/>
        <v>39.862075275589994</v>
      </c>
      <c r="J121" s="14">
        <f>+[1]GRUPO!O153</f>
        <v>43.211100859592634</v>
      </c>
      <c r="K121" s="15">
        <f>+[1]GRUPO!P153</f>
        <v>37.34881100916796</v>
      </c>
      <c r="L121" s="16">
        <f t="shared" si="103"/>
        <v>15.696054819484523</v>
      </c>
      <c r="O121" s="17" t="str">
        <f>+IF($B$3="esp","Amortizaciones","Amortizations")</f>
        <v>Amortizations</v>
      </c>
      <c r="Q121" s="18">
        <f>+[1]SANTILLANA!K159</f>
        <v>21.711919272264698</v>
      </c>
      <c r="R121" s="19">
        <f>+[1]SANTILLANA!L159</f>
        <v>22.294536465912</v>
      </c>
      <c r="S121" s="20">
        <f t="shared" si="104"/>
        <v>-2.613273411349522</v>
      </c>
      <c r="U121" s="18">
        <f>+[1]SANTILLANA!O159</f>
        <v>7.462127479723998</v>
      </c>
      <c r="V121" s="19">
        <f>+[1]SANTILLANA!P159</f>
        <v>9.8528274458889999</v>
      </c>
      <c r="W121" s="20">
        <f t="shared" si="105"/>
        <v>-24.264100627911628</v>
      </c>
      <c r="Z121" s="13" t="str">
        <f>+IF($B$3="esp","EBITDA Ajustado","Adjusted EBITDA")</f>
        <v>Adjusted EBITDA</v>
      </c>
      <c r="AA121" s="13"/>
      <c r="AB121" s="14">
        <f>+[1]RADIO!K110</f>
        <v>25.90879667940569</v>
      </c>
      <c r="AC121" s="15">
        <f>+[1]RADIO!L110</f>
        <v>20.533552339945825</v>
      </c>
      <c r="AD121" s="16">
        <f t="shared" si="106"/>
        <v>26.177858806256836</v>
      </c>
      <c r="AF121" s="14">
        <f>+[1]RADIO!O110</f>
        <v>18.640052505959716</v>
      </c>
      <c r="AG121" s="15">
        <f>+[1]RADIO!P110</f>
        <v>15.431484919576464</v>
      </c>
      <c r="AH121" s="16">
        <f t="shared" si="107"/>
        <v>20.79234502126782</v>
      </c>
      <c r="AK121" s="17" t="str">
        <f>+IF($B$3="esp","Amortizaciones","Amortizations")</f>
        <v>Amortizations</v>
      </c>
      <c r="AM121" s="18">
        <f>+[1]NOTICIAS!K68</f>
        <v>3.7660468102896698</v>
      </c>
      <c r="AN121" s="19">
        <f>+[1]NOTICIAS!L68</f>
        <v>3.61837479268591</v>
      </c>
      <c r="AO121" s="20">
        <f t="shared" si="108"/>
        <v>4.0811697534003457</v>
      </c>
      <c r="AQ121" s="18">
        <f>+[1]NOTICIAS!O68</f>
        <v>1.8883073979024698</v>
      </c>
      <c r="AR121" s="19">
        <f>+[1]NOTICIAS!P68</f>
        <v>1.8369973547440399</v>
      </c>
      <c r="AS121" s="20">
        <f t="shared" si="109"/>
        <v>2.7931473622388121</v>
      </c>
      <c r="AV121" s="17" t="str">
        <f>+IF($B$3="esp","Amortizaciones","Amortizations")</f>
        <v>Amortizations</v>
      </c>
      <c r="AX121" s="18">
        <f>+'[1]MEDIA CAPITAL'!K66</f>
        <v>3.83794916</v>
      </c>
      <c r="AY121" s="19">
        <f>+'[1]MEDIA CAPITAL'!L66</f>
        <v>4.1410104199999997</v>
      </c>
      <c r="AZ121" s="20">
        <f t="shared" si="110"/>
        <v>-7.318534107914652</v>
      </c>
      <c r="BB121" s="18">
        <f>+'[1]MEDIA CAPITAL'!O66</f>
        <v>1.9725572699999998</v>
      </c>
      <c r="BC121" s="19">
        <f>+'[1]MEDIA CAPITAL'!P66</f>
        <v>2.1587868399999994</v>
      </c>
      <c r="BD121" s="20">
        <f t="shared" si="111"/>
        <v>-8.6265844570369747</v>
      </c>
    </row>
    <row r="122" spans="4:56" ht="15" customHeight="1">
      <c r="D122" s="17" t="str">
        <f>+IF($B$3="esp","Amortizaciones","Amortizations")</f>
        <v>Amortizations</v>
      </c>
      <c r="F122" s="18">
        <f>+[1]GRUPO!K154</f>
        <v>34.120776436118099</v>
      </c>
      <c r="G122" s="19">
        <f>+[1]GRUPO!L154</f>
        <v>36.669377626077761</v>
      </c>
      <c r="H122" s="20">
        <f t="shared" si="102"/>
        <v>-6.950216652019753</v>
      </c>
      <c r="J122" s="18">
        <f>+[1]GRUPO!O154</f>
        <v>13.661757581277282</v>
      </c>
      <c r="K122" s="19">
        <f>+[1]GRUPO!P154</f>
        <v>16.937437528218116</v>
      </c>
      <c r="L122" s="20">
        <f t="shared" si="103"/>
        <v>-19.339879137463882</v>
      </c>
      <c r="O122" s="17" t="str">
        <f>+IF($B$3="esp","Provisiones","Provisions")</f>
        <v>Provisions</v>
      </c>
      <c r="Q122" s="18">
        <f>+[1]SANTILLANA!K160</f>
        <v>0.7746345073176969</v>
      </c>
      <c r="R122" s="19">
        <f>+[1]SANTILLANA!L160</f>
        <v>2.1565330045975402</v>
      </c>
      <c r="S122" s="20">
        <f t="shared" si="104"/>
        <v>-64.079635893990783</v>
      </c>
      <c r="U122" s="18">
        <f>+[1]SANTILLANA!O160</f>
        <v>2.7488363508061768</v>
      </c>
      <c r="V122" s="19">
        <f>+[1]SANTILLANA!P160</f>
        <v>6.8658243666882104</v>
      </c>
      <c r="W122" s="20">
        <f t="shared" si="105"/>
        <v>-59.963491578038983</v>
      </c>
      <c r="Z122" s="17" t="str">
        <f>+IF($B$3="esp","Amortizaciones","Amortizations")</f>
        <v>Amortizations</v>
      </c>
      <c r="AB122" s="18">
        <f>+[1]RADIO!K111</f>
        <v>4.2609006476655944</v>
      </c>
      <c r="AC122" s="19">
        <f>+[1]RADIO!L111</f>
        <v>3.9330728059117273</v>
      </c>
      <c r="AD122" s="20">
        <f t="shared" si="106"/>
        <v>8.3351582320346402</v>
      </c>
      <c r="AF122" s="18">
        <f>+[1]RADIO!O111</f>
        <v>2.0877494062758228</v>
      </c>
      <c r="AG122" s="19">
        <f>+[1]RADIO!P111</f>
        <v>1.9950362693513399</v>
      </c>
      <c r="AH122" s="20">
        <f t="shared" si="107"/>
        <v>4.6471905472990409</v>
      </c>
      <c r="AK122" s="17" t="str">
        <f>+IF($B$3="esp","Provisiones","Provisions")</f>
        <v>Provisions</v>
      </c>
      <c r="AM122" s="18">
        <f>+[1]NOTICIAS!K69</f>
        <v>0.84038848886819595</v>
      </c>
      <c r="AN122" s="19">
        <f>+[1]NOTICIAS!L69</f>
        <v>0.22371883325126199</v>
      </c>
      <c r="AO122" s="20" t="str">
        <f t="shared" si="108"/>
        <v>---</v>
      </c>
      <c r="AQ122" s="18">
        <f>+[1]NOTICIAS!O69</f>
        <v>0.28624860117766493</v>
      </c>
      <c r="AR122" s="19">
        <f>+[1]NOTICIAS!P69</f>
        <v>-0.36430308681799406</v>
      </c>
      <c r="AS122" s="20" t="str">
        <f t="shared" si="109"/>
        <v>---</v>
      </c>
      <c r="AV122" s="17" t="str">
        <f>+IF($B$3="esp","Provisiones","Provisions")</f>
        <v>Provisions</v>
      </c>
      <c r="AX122" s="18">
        <f>+'[1]MEDIA CAPITAL'!K67</f>
        <v>9.5487939999999993E-2</v>
      </c>
      <c r="AY122" s="19">
        <f>+'[1]MEDIA CAPITAL'!L67</f>
        <v>7.8944849999999997E-2</v>
      </c>
      <c r="AZ122" s="20">
        <f t="shared" si="110"/>
        <v>20.955249139114201</v>
      </c>
      <c r="BB122" s="18">
        <f>+'[1]MEDIA CAPITAL'!O67</f>
        <v>6.8850149999999999E-2</v>
      </c>
      <c r="BC122" s="19">
        <f>+'[1]MEDIA CAPITAL'!P67</f>
        <v>4.9591569999999995E-2</v>
      </c>
      <c r="BD122" s="20">
        <f t="shared" si="111"/>
        <v>38.834382537193328</v>
      </c>
    </row>
    <row r="123" spans="4:56" ht="15" customHeight="1">
      <c r="D123" s="17" t="str">
        <f>+IF($B$3="esp","Provisiones","Provisions")</f>
        <v>Provisions</v>
      </c>
      <c r="F123" s="18">
        <f>+[1]GRUPO!K155</f>
        <v>2.9598457315447426</v>
      </c>
      <c r="G123" s="19">
        <f>+[1]GRUPO!L155</f>
        <v>4.4913377010732018</v>
      </c>
      <c r="H123" s="20">
        <f t="shared" si="102"/>
        <v>-34.0987935323258</v>
      </c>
      <c r="J123" s="18">
        <f>+[1]GRUPO!O155</f>
        <v>3.4798499746045146</v>
      </c>
      <c r="K123" s="19">
        <f>+[1]GRUPO!P155</f>
        <v>8.0690615920567499</v>
      </c>
      <c r="L123" s="20">
        <f t="shared" si="103"/>
        <v>-56.874167647572463</v>
      </c>
      <c r="O123" s="17" t="str">
        <f>+IF($B$3="esp","Pérdidas de inmovilizado","Impairment from fixed assets")</f>
        <v>Impairment from fixed assets</v>
      </c>
      <c r="Q123" s="18">
        <f>+[1]SANTILLANA!K161</f>
        <v>0.92746206702079725</v>
      </c>
      <c r="R123" s="19">
        <f>+[1]SANTILLANA!L161</f>
        <v>0.94446845053336181</v>
      </c>
      <c r="S123" s="20">
        <f t="shared" si="104"/>
        <v>-1.8006301325322924</v>
      </c>
      <c r="U123" s="18">
        <f>+[1]SANTILLANA!O161</f>
        <v>0.91845919926370889</v>
      </c>
      <c r="V123" s="19">
        <f>+[1]SANTILLANA!P161</f>
        <v>0.8526825626069976</v>
      </c>
      <c r="W123" s="20">
        <f t="shared" si="105"/>
        <v>7.7140825368359058</v>
      </c>
      <c r="Z123" s="17" t="str">
        <f>+IF($B$3="esp","Provisiones","Provisions")</f>
        <v>Provisions</v>
      </c>
      <c r="AB123" s="18">
        <f>+[1]RADIO!K112</f>
        <v>1.1834634406252125</v>
      </c>
      <c r="AC123" s="19">
        <f>+[1]RADIO!L112</f>
        <v>1.9670204837511616</v>
      </c>
      <c r="AD123" s="20">
        <f t="shared" si="106"/>
        <v>-39.83471700465897</v>
      </c>
      <c r="AF123" s="18">
        <f>+[1]RADIO!O112</f>
        <v>0.31679775176505143</v>
      </c>
      <c r="AG123" s="19">
        <f>+[1]RADIO!P112</f>
        <v>1.4582652556975855</v>
      </c>
      <c r="AH123" s="20">
        <f t="shared" si="107"/>
        <v>-78.275711464200938</v>
      </c>
      <c r="AK123" s="17" t="str">
        <f>+IF($B$3="esp","Pérdidas de inmovilizado","Impairment from fixed assets")</f>
        <v>Impairment from fixed assets</v>
      </c>
      <c r="AM123" s="18">
        <f>+[1]NOTICIAS!K70</f>
        <v>1.1288152007119523E-3</v>
      </c>
      <c r="AN123" s="19">
        <f>+[1]NOTICIAS!L70</f>
        <v>-2.1371793224034263E-15</v>
      </c>
      <c r="AO123" s="20" t="str">
        <f t="shared" si="108"/>
        <v>---</v>
      </c>
      <c r="AQ123" s="18">
        <f>+[1]NOTICIAS!O70</f>
        <v>1.1288152007030705E-3</v>
      </c>
      <c r="AR123" s="19">
        <f>+[1]NOTICIAS!P70</f>
        <v>-7.9103390504542404E-15</v>
      </c>
      <c r="AS123" s="20" t="str">
        <f t="shared" si="109"/>
        <v>---</v>
      </c>
      <c r="AV123" s="17" t="str">
        <f>+IF($B$3="esp","Pérdidas de inmovilizado","Impairment from fixed assets")</f>
        <v>Impairment from fixed assets</v>
      </c>
      <c r="AX123" s="18">
        <f>+'[1]MEDIA CAPITAL'!K68</f>
        <v>8.3266726846886741E-16</v>
      </c>
      <c r="AY123" s="19">
        <f>+'[1]MEDIA CAPITAL'!L68</f>
        <v>8.0402000000041884E-4</v>
      </c>
      <c r="AZ123" s="20">
        <f t="shared" si="110"/>
        <v>-99.999999999896431</v>
      </c>
      <c r="BB123" s="18">
        <f>+'[1]MEDIA CAPITAL'!O68</f>
        <v>1.169203622808368E-15</v>
      </c>
      <c r="BC123" s="19">
        <f>+'[1]MEDIA CAPITAL'!P68</f>
        <v>8.0402000000060619E-4</v>
      </c>
      <c r="BD123" s="20">
        <f t="shared" si="111"/>
        <v>-99.99999999985458</v>
      </c>
    </row>
    <row r="124" spans="4:56" ht="15" customHeight="1">
      <c r="D124" s="17" t="str">
        <f>+IF($B$3="esp","Pérdidas de inmovilizado","Impairment from fixed assets")</f>
        <v>Impairment from fixed assets</v>
      </c>
      <c r="F124" s="18">
        <f>+[1]GRUPO!K156</f>
        <v>0.81659710222143289</v>
      </c>
      <c r="G124" s="19">
        <f>+[1]GRUPO!L156</f>
        <v>0.84744069053299587</v>
      </c>
      <c r="H124" s="20">
        <f t="shared" si="102"/>
        <v>-3.639616159115981</v>
      </c>
      <c r="J124" s="18">
        <f>+[1]GRUPO!O156</f>
        <v>0.85701857446428542</v>
      </c>
      <c r="K124" s="19">
        <f>+[1]GRUPO!P156</f>
        <v>0.81165169260683934</v>
      </c>
      <c r="L124" s="20">
        <f t="shared" si="103"/>
        <v>5.5894520113348189</v>
      </c>
      <c r="O124" s="13" t="str">
        <f>+IF($B$3="esp","Resultado de Explotación","Operating Result")</f>
        <v>Operating Result</v>
      </c>
      <c r="P124" s="13"/>
      <c r="Q124" s="14">
        <f>+[1]SANTILLANA!K162</f>
        <v>70.789459627326522</v>
      </c>
      <c r="R124" s="15">
        <f>+[1]SANTILLANA!L162</f>
        <v>37.414899560129832</v>
      </c>
      <c r="S124" s="16">
        <f t="shared" si="104"/>
        <v>89.201255274145865</v>
      </c>
      <c r="U124" s="14">
        <f>+[1]SANTILLANA!O162</f>
        <v>7.1009712754275256E-2</v>
      </c>
      <c r="V124" s="15">
        <f>+[1]SANTILLANA!P162</f>
        <v>-7.6294220011128715</v>
      </c>
      <c r="W124" s="16" t="str">
        <f t="shared" si="105"/>
        <v>---</v>
      </c>
      <c r="Z124" s="17" t="str">
        <f>+IF($B$3="esp","Pérdidas de inmovilizado","Impairment from fixed assets")</f>
        <v>Impairment from fixed assets</v>
      </c>
      <c r="AB124" s="18">
        <f>+[1]RADIO!K113</f>
        <v>-0.11199378000003701</v>
      </c>
      <c r="AC124" s="19">
        <f>+[1]RADIO!L113</f>
        <v>-9.7831779999939084E-2</v>
      </c>
      <c r="AD124" s="20">
        <f t="shared" si="106"/>
        <v>-14.475868680000248</v>
      </c>
      <c r="AF124" s="18">
        <f>+[1]RADIO!O113</f>
        <v>-6.256944000001996E-2</v>
      </c>
      <c r="AG124" s="19">
        <f>+[1]RADIO!P113</f>
        <v>-4.18348899999339E-2</v>
      </c>
      <c r="AH124" s="20">
        <f t="shared" si="107"/>
        <v>-49.562817065178898</v>
      </c>
      <c r="AK124" s="13" t="str">
        <f>+IF($B$3="esp","Resultado de Explotación","Operating Result")</f>
        <v>Operating Result</v>
      </c>
      <c r="AL124" s="13"/>
      <c r="AM124" s="14">
        <f>+[1]NOTICIAS!K71</f>
        <v>1.3519734724635524</v>
      </c>
      <c r="AN124" s="15">
        <f>+[1]NOTICIAS!L71</f>
        <v>3.5353937879069051</v>
      </c>
      <c r="AO124" s="16">
        <f t="shared" si="108"/>
        <v>-61.758900038573216</v>
      </c>
      <c r="AQ124" s="14">
        <f>+[1]NOTICIAS!O71</f>
        <v>2.9302019586283423</v>
      </c>
      <c r="AR124" s="15">
        <f>+[1]NOTICIAS!P71</f>
        <v>4.5188262981734235</v>
      </c>
      <c r="AS124" s="16">
        <f t="shared" si="109"/>
        <v>-35.155685010225483</v>
      </c>
      <c r="AV124" s="13" t="str">
        <f>+IF($B$3="esp","Resultado de Explotación","Operating Result")</f>
        <v>Operating Result</v>
      </c>
      <c r="AW124" s="13"/>
      <c r="AX124" s="14">
        <f>+'[1]MEDIA CAPITAL'!K69</f>
        <v>14.326208930557799</v>
      </c>
      <c r="AY124" s="15">
        <f>+'[1]MEDIA CAPITAL'!L69</f>
        <v>13.449236539312601</v>
      </c>
      <c r="AZ124" s="16">
        <f t="shared" si="110"/>
        <v>6.5206109557354912</v>
      </c>
      <c r="BB124" s="14">
        <f>+'[1]MEDIA CAPITAL'!O69</f>
        <v>10.59274271010899</v>
      </c>
      <c r="BC124" s="15">
        <f>+'[1]MEDIA CAPITAL'!P69</f>
        <v>9.3047904124585514</v>
      </c>
      <c r="BD124" s="16">
        <f t="shared" si="111"/>
        <v>13.841819541963545</v>
      </c>
    </row>
    <row r="125" spans="4:56" ht="15" customHeight="1">
      <c r="D125" s="13" t="str">
        <f>+IF($B$3="esp","Resultado de Explotación","Operating Result")</f>
        <v>Operating Result</v>
      </c>
      <c r="E125" s="13"/>
      <c r="F125" s="14">
        <f>+[1]GRUPO!K157</f>
        <v>97.792932074652768</v>
      </c>
      <c r="G125" s="15">
        <f>+[1]GRUPO!L157</f>
        <v>55.008959649424213</v>
      </c>
      <c r="H125" s="16">
        <f t="shared" si="102"/>
        <v>77.77637079103782</v>
      </c>
      <c r="J125" s="14">
        <f>+[1]GRUPO!O157</f>
        <v>25.212474729246551</v>
      </c>
      <c r="K125" s="15">
        <f>+[1]GRUPO!P157</f>
        <v>11.530660196286256</v>
      </c>
      <c r="L125" s="16">
        <f t="shared" si="103"/>
        <v>118.65595117759931</v>
      </c>
      <c r="Z125" s="13" t="str">
        <f>+IF($B$3="esp","Resultado de Explotación","Operating Result")</f>
        <v>Operating Result</v>
      </c>
      <c r="AA125" s="13"/>
      <c r="AB125" s="14">
        <f>+[1]RADIO!K114</f>
        <v>20.57642637111492</v>
      </c>
      <c r="AC125" s="15">
        <f>+[1]RADIO!L114</f>
        <v>14.731290830282875</v>
      </c>
      <c r="AD125" s="16">
        <f t="shared" si="106"/>
        <v>39.678366330371368</v>
      </c>
      <c r="AF125" s="14">
        <f>+[1]RADIO!O114</f>
        <v>16.298074787918861</v>
      </c>
      <c r="AG125" s="15">
        <f>+[1]RADIO!P114</f>
        <v>12.020018284527472</v>
      </c>
      <c r="AH125" s="16">
        <f t="shared" si="107"/>
        <v>35.591098134170316</v>
      </c>
    </row>
    <row r="128" spans="4:56" ht="14.25" customHeight="1">
      <c r="D128" s="9"/>
      <c r="F128" s="7" t="str">
        <f>+F114</f>
        <v>JANUARY - JUNE</v>
      </c>
      <c r="G128" s="8"/>
      <c r="H128" s="8"/>
      <c r="J128" s="7" t="str">
        <f>+J114</f>
        <v>APRIL - JUNE</v>
      </c>
      <c r="K128" s="8"/>
      <c r="L128" s="8"/>
    </row>
    <row r="130" spans="4:56" ht="15.75" customHeight="1">
      <c r="D130" s="37" t="str">
        <f>+IF($B$3="esp","OTROS","OTHERS")</f>
        <v>OTHERS</v>
      </c>
      <c r="F130" s="10">
        <v>2017</v>
      </c>
      <c r="G130" s="10">
        <v>2016</v>
      </c>
      <c r="H130" s="10" t="str">
        <f>+IF($B$3="esp","Var.%","% Chg.")</f>
        <v>% Chg.</v>
      </c>
      <c r="J130" s="10">
        <v>2017</v>
      </c>
      <c r="K130" s="10">
        <v>2016</v>
      </c>
      <c r="L130" s="10" t="str">
        <f>+IF($B$3="esp","Var.%","% Chg.")</f>
        <v>% Chg.</v>
      </c>
    </row>
    <row r="131" spans="4:56" s="13" customFormat="1" ht="15" customHeight="1">
      <c r="D131" s="11"/>
      <c r="E131" s="1"/>
      <c r="F131" s="12"/>
      <c r="G131" s="12"/>
      <c r="H131" s="12"/>
      <c r="J131" s="12"/>
      <c r="K131" s="12"/>
      <c r="L131" s="12"/>
    </row>
    <row r="132" spans="4:56" ht="15" customHeight="1">
      <c r="D132" s="13" t="str">
        <f>+IF($B$3="esp","EBITDA","EBITDA")</f>
        <v>EBITDA</v>
      </c>
      <c r="E132" s="13"/>
      <c r="F132" s="14">
        <f>+[1]GRUPO!K164</f>
        <v>-12.758358966178333</v>
      </c>
      <c r="G132" s="15">
        <f>+[1]GRUPO!L164</f>
        <v>-12.007809208308739</v>
      </c>
      <c r="H132" s="16">
        <f>IF(G132=0,"---",IF(OR(ABS((F132-G132)/ABS(G132))&gt;2,(F132*G132)&lt;0),"---",IF(G132="0","---",((F132-G132)/ABS(G132))*100)))</f>
        <v>-6.2505136852961929</v>
      </c>
      <c r="J132" s="14">
        <f>+[1]GRUPO!O164</f>
        <v>-7.6062276919334471</v>
      </c>
      <c r="K132" s="15">
        <f>+[1]GRUPO!P164</f>
        <v>-5.7906956853507037</v>
      </c>
      <c r="L132" s="16">
        <f>IF(K132=0,"---",IF(OR(ABS((J132-K132)/ABS(K132))&gt;2,(J132*K132)&lt;0),"---",IF(K132="0","---",((J132-K132)/ABS(K132))*100)))</f>
        <v>-31.35257152565752</v>
      </c>
    </row>
    <row r="133" spans="4:56" ht="15" customHeight="1">
      <c r="D133" s="17" t="str">
        <f>+IF($B$3="esp","Efectos extraordinarios","Extraordinary effects")</f>
        <v>Extraordinary effects</v>
      </c>
      <c r="F133" s="18">
        <f>+[1]GRUPO!K165</f>
        <v>4.1170545400000425</v>
      </c>
      <c r="G133" s="19">
        <f>+[1]GRUPO!L165</f>
        <v>0.63345181114167559</v>
      </c>
      <c r="H133" s="20" t="str">
        <f t="shared" ref="H133:H138" si="112">IF(G133=0,"---",IF(OR(ABS((F133-G133)/ABS(G133))&gt;2,(F133*G133)&lt;0),"---",IF(G133="0","---",((F133-G133)/ABS(G133))*100)))</f>
        <v>---</v>
      </c>
      <c r="J133" s="18">
        <f>+[1]GRUPO!O165</f>
        <v>3.2368064000000372</v>
      </c>
      <c r="K133" s="19">
        <f>+[1]GRUPO!P165</f>
        <v>0.26061599231285104</v>
      </c>
      <c r="L133" s="20" t="str">
        <f t="shared" ref="L133:L138" si="113">IF(K133=0,"---",IF(OR(ABS((J133-K133)/ABS(K133))&gt;2,(J133*K133)&lt;0),"---",IF(K133="0","---",((J133-K133)/ABS(K133))*100)))</f>
        <v>---</v>
      </c>
    </row>
    <row r="134" spans="4:56" ht="15" customHeight="1">
      <c r="D134" s="13" t="str">
        <f>+IF($B$3="esp","EBITDA Ajustado","Adjusted EBITDA")</f>
        <v>Adjusted EBITDA</v>
      </c>
      <c r="E134" s="13"/>
      <c r="F134" s="14">
        <f>+[1]GRUPO!K166</f>
        <v>-8.6413044261782908</v>
      </c>
      <c r="G134" s="15">
        <f>+[1]GRUPO!L166</f>
        <v>-11.374357397167064</v>
      </c>
      <c r="H134" s="16">
        <f t="shared" si="112"/>
        <v>24.02819671966239</v>
      </c>
      <c r="J134" s="14">
        <f>+[1]GRUPO!O166</f>
        <v>-4.3694212919334099</v>
      </c>
      <c r="K134" s="15">
        <f>+[1]GRUPO!P166</f>
        <v>-5.5300796930378526</v>
      </c>
      <c r="L134" s="16">
        <f t="shared" si="113"/>
        <v>20.988095389758396</v>
      </c>
    </row>
    <row r="135" spans="4:56" ht="15" customHeight="1">
      <c r="D135" s="17" t="str">
        <f>+IF($B$3="esp","Amortizaciones","Amortizations")</f>
        <v>Amortizations</v>
      </c>
      <c r="F135" s="18">
        <f>+[1]GRUPO!K167</f>
        <v>0.54396054589813492</v>
      </c>
      <c r="G135" s="19">
        <f>+[1]GRUPO!L167</f>
        <v>2.6823831415681241</v>
      </c>
      <c r="H135" s="20">
        <f t="shared" si="112"/>
        <v>-79.720997441844375</v>
      </c>
      <c r="J135" s="18">
        <f>+[1]GRUPO!O167</f>
        <v>0.25101602737498618</v>
      </c>
      <c r="K135" s="19">
        <f>+[1]GRUPO!P167</f>
        <v>1.0937896182337343</v>
      </c>
      <c r="L135" s="20">
        <f t="shared" si="113"/>
        <v>-77.050794486390345</v>
      </c>
    </row>
    <row r="136" spans="4:56" ht="15" customHeight="1">
      <c r="D136" s="17" t="str">
        <f>+IF($B$3="esp","Provisiones","Provisions")</f>
        <v>Provisions</v>
      </c>
      <c r="F136" s="18">
        <f>+[1]GRUPO!K168</f>
        <v>6.5871354733637422E-2</v>
      </c>
      <c r="G136" s="19">
        <f>+[1]GRUPO!L168</f>
        <v>6.5120529473237695E-2</v>
      </c>
      <c r="H136" s="20">
        <f t="shared" si="112"/>
        <v>1.152977818935409</v>
      </c>
      <c r="J136" s="18">
        <f>+[1]GRUPO!O168</f>
        <v>5.9117120855621541E-2</v>
      </c>
      <c r="K136" s="19">
        <f>+[1]GRUPO!P168</f>
        <v>5.9683486488947841E-2</v>
      </c>
      <c r="L136" s="20">
        <f t="shared" si="113"/>
        <v>-0.94894863997460954</v>
      </c>
    </row>
    <row r="137" spans="4:56" ht="15" customHeight="1">
      <c r="D137" s="17" t="str">
        <f>+IF($B$3="esp","Pérdidas de inmovilizado","Impairment from fixed assets")</f>
        <v>Impairment from fixed assets</v>
      </c>
      <c r="F137" s="18">
        <f>+[1]GRUPO!K169</f>
        <v>-4.1577852272212112E-14</v>
      </c>
      <c r="G137" s="19">
        <f>+[1]GRUPO!L169</f>
        <v>-4.2692238633179613E-13</v>
      </c>
      <c r="H137" s="20">
        <f t="shared" si="112"/>
        <v>90.261027858141276</v>
      </c>
      <c r="J137" s="18">
        <f>+[1]GRUPO!O169</f>
        <v>-8.9653978685433344E-14</v>
      </c>
      <c r="K137" s="19">
        <f>+[1]GRUPO!P169</f>
        <v>-2.177216740228971E-13</v>
      </c>
      <c r="L137" s="20">
        <f t="shared" si="113"/>
        <v>58.821748414443697</v>
      </c>
    </row>
    <row r="138" spans="4:56" ht="15" customHeight="1">
      <c r="D138" s="13" t="str">
        <f>+IF($B$3="esp","Resultado de Explotación","Operating Result")</f>
        <v>Operating Result</v>
      </c>
      <c r="E138" s="13"/>
      <c r="F138" s="14">
        <f>+[1]GRUPO!K170</f>
        <v>-9.2511363268100215</v>
      </c>
      <c r="G138" s="15">
        <f>+[1]GRUPO!L170</f>
        <v>-14.121861068207998</v>
      </c>
      <c r="H138" s="16">
        <f t="shared" si="112"/>
        <v>34.49067171722325</v>
      </c>
      <c r="J138" s="14">
        <f>+[1]GRUPO!O170</f>
        <v>-4.679554440163928</v>
      </c>
      <c r="K138" s="15">
        <f>+[1]GRUPO!P170</f>
        <v>-6.6835527977603171</v>
      </c>
      <c r="L138" s="16">
        <f t="shared" si="113"/>
        <v>29.98402822923665</v>
      </c>
    </row>
    <row r="139" spans="4:56" ht="15" customHeight="1"/>
    <row r="140" spans="4:56" ht="15" customHeight="1"/>
    <row r="141" spans="4:56" ht="15" customHeight="1"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B141" s="35"/>
      <c r="BC141" s="35"/>
      <c r="BD141" s="35"/>
    </row>
    <row r="142" spans="4:56" ht="15" customHeight="1"/>
    <row r="143" spans="4:56" ht="15" customHeight="1">
      <c r="F143" s="7" t="str">
        <f>+F128</f>
        <v>JANUARY - JUNE</v>
      </c>
      <c r="G143" s="8"/>
      <c r="H143" s="8"/>
      <c r="J143" s="7" t="str">
        <f>+J128</f>
        <v>APRIL - JUNE</v>
      </c>
      <c r="K143" s="8"/>
      <c r="L143" s="8"/>
      <c r="Q143" s="7" t="str">
        <f>+Q6</f>
        <v>JANUARY - JUNE</v>
      </c>
      <c r="R143" s="8"/>
      <c r="S143" s="8"/>
      <c r="U143" s="7" t="str">
        <f>+U6</f>
        <v>APRIL - JUNE</v>
      </c>
      <c r="V143" s="8"/>
      <c r="W143" s="8"/>
    </row>
    <row r="144" spans="4:56" ht="4.5" customHeight="1"/>
    <row r="145" spans="4:23" ht="15" customHeight="1">
      <c r="D145" s="9" t="str">
        <f>+IF($B$3="esp","Millones de €","€ Millions")</f>
        <v>€ Millions</v>
      </c>
      <c r="F145" s="10">
        <v>2017</v>
      </c>
      <c r="G145" s="10">
        <v>2016</v>
      </c>
      <c r="H145" s="10" t="str">
        <f>+IF($B$3="esp","Var.%","% Chg.")</f>
        <v>% Chg.</v>
      </c>
      <c r="J145" s="10">
        <v>2017</v>
      </c>
      <c r="K145" s="10">
        <v>2016</v>
      </c>
      <c r="L145" s="10" t="str">
        <f>+IF($B$3="esp","Var.%","% Chg.")</f>
        <v>% Chg.</v>
      </c>
      <c r="O145" s="9" t="str">
        <f>+IF($B$3="esp","Millones de €","€ Millions")</f>
        <v>€ Millions</v>
      </c>
      <c r="Q145" s="10">
        <v>2017</v>
      </c>
      <c r="R145" s="10">
        <v>2016</v>
      </c>
      <c r="S145" s="10" t="str">
        <f>+IF($B$3="esp","Var.%","% Chg.")</f>
        <v>% Chg.</v>
      </c>
      <c r="U145" s="10">
        <v>2017</v>
      </c>
      <c r="V145" s="10">
        <v>2016</v>
      </c>
      <c r="W145" s="10" t="str">
        <f>+IF($B$3="esp","Var.%","% Chg.")</f>
        <v>% Chg.</v>
      </c>
    </row>
    <row r="146" spans="4:23" ht="15" customHeight="1">
      <c r="D146" s="11" t="str">
        <f>+IF($B$3="esp","Ingresos de Explotación Ajustados","Operating Adjusted Revenues")</f>
        <v>Operating Adjusted Revenues</v>
      </c>
      <c r="F146" s="12"/>
      <c r="G146" s="12"/>
      <c r="H146" s="12"/>
      <c r="J146" s="12"/>
      <c r="K146" s="12"/>
      <c r="L146" s="12"/>
      <c r="O146" s="11" t="str">
        <f>+IF($B$3="esp","Ingresos de Explotación","Operating Revenues")</f>
        <v>Operating Revenues</v>
      </c>
      <c r="Q146" s="12"/>
      <c r="R146" s="12"/>
      <c r="S146" s="12"/>
      <c r="U146" s="12"/>
      <c r="V146" s="12"/>
      <c r="W146" s="12"/>
    </row>
    <row r="147" spans="4:23" ht="15" customHeight="1">
      <c r="D147" s="13" t="str">
        <f>+IF($B$3="esp","GRUPO","GROUP")</f>
        <v>GROUP</v>
      </c>
      <c r="E147" s="13"/>
      <c r="F147" s="14">
        <f>+[1]GRUPO!K120</f>
        <v>665.03866731932919</v>
      </c>
      <c r="G147" s="15">
        <f>+[1]GRUPO!L120</f>
        <v>634.21128316419527</v>
      </c>
      <c r="H147" s="16">
        <f>IF(G147=0,"---",IF(OR(ABS((F147-G147)/ABS(G147))&gt;2,(F147*G147)&lt;0),"---",IF(G147="0","---",((F147-G147)/ABS(G147))*100)))</f>
        <v>4.8607435681892177</v>
      </c>
      <c r="J147" s="14">
        <f>+[1]GRUPO!O120</f>
        <v>297.83022350243658</v>
      </c>
      <c r="K147" s="15">
        <f>+[1]GRUPO!P120</f>
        <v>305.14645051163245</v>
      </c>
      <c r="L147" s="16">
        <f>IF(K147=0,"---",IF(OR(ABS((J147-K147)/ABS(K147))&gt;2,(J147*K147)&lt;0),"---",IF(K147="0","---",((J147-K147)/ABS(K147))*100)))</f>
        <v>-2.3976117031441495</v>
      </c>
      <c r="O147" s="13" t="str">
        <f>+IF($B$3="esp","Total Santillana","Total Santillana")</f>
        <v>Total Santillana</v>
      </c>
      <c r="P147" s="13"/>
      <c r="Q147" s="14">
        <f>+[1]SANTILLANA!K106</f>
        <v>328.02148342967899</v>
      </c>
      <c r="R147" s="15">
        <f>+[1]SANTILLANA!L106</f>
        <v>279.56067710785499</v>
      </c>
      <c r="S147" s="16">
        <f>IF(R147=0,"---",IF(OR(ABS((Q147-R147)/ABS(R147))&gt;2,(Q147*R147)&lt;0),"---",IF(R147="0","---",((Q147-R147)/ABS(R147))*100)))</f>
        <v>17.334629041239495</v>
      </c>
      <c r="U147" s="14">
        <f>+[1]SANTILLANA!O106</f>
        <v>112.42070918099799</v>
      </c>
      <c r="V147" s="15">
        <f>+[1]SANTILLANA!P106</f>
        <v>111.23738252869299</v>
      </c>
      <c r="W147" s="16">
        <f>IF(V147=0,"---",IF(OR(ABS((U147-V147)/ABS(V147))&gt;2,(U147*V147)&lt;0),"---",IF(V147="0","---",((U147-V147)/ABS(V147))*100)))</f>
        <v>1.0637850562510016</v>
      </c>
    </row>
    <row r="148" spans="4:23" s="13" customFormat="1" ht="15" customHeight="1">
      <c r="D148" s="17" t="str">
        <f>+IF($B$3="esp","Educación","Education")</f>
        <v>Education</v>
      </c>
      <c r="E148" s="1"/>
      <c r="F148" s="18">
        <f>+[1]GRUPO!K121</f>
        <v>328.02148342967899</v>
      </c>
      <c r="G148" s="19">
        <f>+[1]GRUPO!L121</f>
        <v>279.56067710785499</v>
      </c>
      <c r="H148" s="20">
        <f t="shared" ref="H148:H150" si="114">IF(G148=0,"---",IF(OR(ABS((F148-G148)/ABS(G148))&gt;2,(F148*G148)&lt;0),"---",IF(G148="0","---",((F148-G148)/ABS(G148))*100)))</f>
        <v>17.334629041239495</v>
      </c>
      <c r="J148" s="18">
        <f>+[1]GRUPO!O121</f>
        <v>112.42070918099799</v>
      </c>
      <c r="K148" s="19">
        <f>+[1]GRUPO!P121</f>
        <v>111.23738252869299</v>
      </c>
      <c r="L148" s="20">
        <f t="shared" ref="L148:L150" si="115">IF(K148=0,"---",IF(OR(ABS((J148-K148)/ABS(K148))&gt;2,(J148*K148)&lt;0),"---",IF(K148="0","---",((J148-K148)/ABS(K148))*100)))</f>
        <v>1.0637850562510016</v>
      </c>
      <c r="O148" s="17" t="str">
        <f>+IF($B$3="esp","Educación Tradicional y Compartir","Traditional Education and Compartir")</f>
        <v>Traditional Education and Compartir</v>
      </c>
      <c r="P148" s="1"/>
      <c r="Q148" s="18">
        <f>+[1]SANTILLANA!K107</f>
        <v>299.08387313731959</v>
      </c>
      <c r="R148" s="19">
        <f>+[1]SANTILLANA!L107</f>
        <v>249.44822769745682</v>
      </c>
      <c r="S148" s="20">
        <f t="shared" ref="S148:S151" si="116">IF(R148=0,"---",IF(OR(ABS((Q148-R148)/ABS(R148))&gt;2,(Q148*R148)&lt;0),"---",IF(R148="0","---",((Q148-R148)/ABS(R148))*100)))</f>
        <v>19.89817522378365</v>
      </c>
      <c r="U148" s="18">
        <f>+[1]SANTILLANA!O107</f>
        <v>101.69814817836649</v>
      </c>
      <c r="V148" s="19">
        <f>+[1]SANTILLANA!P107</f>
        <v>96.908892363295905</v>
      </c>
      <c r="W148" s="20">
        <f t="shared" ref="W148:W151" si="117">IF(V148=0,"---",IF(OR(ABS((U148-V148)/ABS(V148))&gt;2,(U148*V148)&lt;0),"---",IF(V148="0","---",((U148-V148)/ABS(V148))*100)))</f>
        <v>4.9420189399301329</v>
      </c>
    </row>
    <row r="149" spans="4:23" ht="15" customHeight="1">
      <c r="D149" s="17" t="str">
        <f>+IF($B$3="esp","Radio","Radio")</f>
        <v>Radio</v>
      </c>
      <c r="F149" s="18">
        <f>+[1]GRUPO!K122</f>
        <v>146.78221148804931</v>
      </c>
      <c r="G149" s="19">
        <f>+[1]GRUPO!L122</f>
        <v>147.55747393425122</v>
      </c>
      <c r="H149" s="20">
        <f t="shared" si="114"/>
        <v>-0.52539693553397993</v>
      </c>
      <c r="J149" s="18">
        <f>+[1]GRUPO!O122</f>
        <v>81.109747264492839</v>
      </c>
      <c r="K149" s="19">
        <f>+[1]GRUPO!P122</f>
        <v>83.15586510116681</v>
      </c>
      <c r="L149" s="20">
        <f t="shared" si="115"/>
        <v>-2.4605815046054533</v>
      </c>
      <c r="O149" s="26" t="str">
        <f>+IF($B$3="esp","Campaña Sur","South Campaign")</f>
        <v>South Campaign</v>
      </c>
      <c r="Q149" s="18">
        <f>+[1]SANTILLANA!K108</f>
        <v>196.79168579911502</v>
      </c>
      <c r="R149" s="19">
        <f>+[1]SANTILLANA!L108</f>
        <v>161.48396414029202</v>
      </c>
      <c r="S149" s="20">
        <f t="shared" si="116"/>
        <v>21.864537353163314</v>
      </c>
      <c r="U149" s="18">
        <f>+[1]SANTILLANA!O108</f>
        <v>13.743173669564243</v>
      </c>
      <c r="V149" s="19">
        <f>+[1]SANTILLANA!P108</f>
        <v>19.041572264379454</v>
      </c>
      <c r="W149" s="20">
        <f t="shared" si="117"/>
        <v>-27.825425974549272</v>
      </c>
    </row>
    <row r="150" spans="4:23" ht="15" customHeight="1">
      <c r="D150" s="17" t="str">
        <f>+IF($B$3="esp","Prensa","Press")</f>
        <v>Press</v>
      </c>
      <c r="F150" s="18">
        <f>+[1]GRUPO!K123</f>
        <v>109.053915504267</v>
      </c>
      <c r="G150" s="19">
        <f>+[1]GRUPO!L123</f>
        <v>122.031914953297</v>
      </c>
      <c r="H150" s="20">
        <f t="shared" si="114"/>
        <v>-10.634922392225702</v>
      </c>
      <c r="J150" s="18">
        <f>+[1]GRUPO!O123</f>
        <v>58.659025464881594</v>
      </c>
      <c r="K150" s="19">
        <f>+[1]GRUPO!P123</f>
        <v>64.795114196780901</v>
      </c>
      <c r="L150" s="20">
        <f t="shared" si="115"/>
        <v>-9.4699867543472198</v>
      </c>
      <c r="O150" s="26" t="str">
        <f>+IF($B$3="esp","Campaña Norte","North Campaign")</f>
        <v>North Campaign</v>
      </c>
      <c r="Q150" s="18">
        <f>+[1]SANTILLANA!K109</f>
        <v>102.29175205253637</v>
      </c>
      <c r="R150" s="19">
        <f>+[1]SANTILLANA!L109</f>
        <v>87.957416337984085</v>
      </c>
      <c r="S150" s="20">
        <f t="shared" si="116"/>
        <v>16.29690401486026</v>
      </c>
      <c r="U150" s="18">
        <f>+[1]SANTILLANA!O109</f>
        <v>87.94604712428891</v>
      </c>
      <c r="V150" s="19">
        <f>+[1]SANTILLANA!P109</f>
        <v>77.864900452928481</v>
      </c>
      <c r="W150" s="20">
        <f t="shared" si="117"/>
        <v>12.946971758417344</v>
      </c>
    </row>
    <row r="151" spans="4:23" s="13" customFormat="1" ht="15" customHeight="1">
      <c r="D151" s="17" t="str">
        <f>+IF($B$3="esp","Media Capital","Media Capital")</f>
        <v>Media Capital</v>
      </c>
      <c r="E151" s="1"/>
      <c r="F151" s="18">
        <f>+[1]GRUPO!K126</f>
        <v>79.033360180000003</v>
      </c>
      <c r="G151" s="19">
        <f>+[1]GRUPO!L126</f>
        <v>85.266263039999998</v>
      </c>
      <c r="H151" s="20">
        <f>IF(G151=0,"---",IF(OR(ABS((F151-G151)/ABS(G151))&gt;2,(F151*G151)&lt;0),"---",IF(G151="0","---",((F151-G151)/ABS(G151))*100)))</f>
        <v>-7.3099284966623017</v>
      </c>
      <c r="J151" s="18">
        <f>+[1]GRUPO!O126</f>
        <v>43.957160970000004</v>
      </c>
      <c r="K151" s="19">
        <f>+[1]GRUPO!P126</f>
        <v>46.224375240000001</v>
      </c>
      <c r="L151" s="20">
        <f>IF(K151=0,"---",IF(OR(ABS((J151-K151)/ABS(K151))&gt;2,(J151*K151)&lt;0),"---",IF(K151="0","---",((J151-K151)/ABS(K151))*100)))</f>
        <v>-4.9048024083148141</v>
      </c>
      <c r="O151" s="17" t="str">
        <f>+IF($B$3="esp","Sistema UNO","UNO System")</f>
        <v>UNO System</v>
      </c>
      <c r="P151" s="1"/>
      <c r="Q151" s="18">
        <f>+[1]SANTILLANA!K110</f>
        <v>28.937610292359409</v>
      </c>
      <c r="R151" s="19">
        <f>+[1]SANTILLANA!L110</f>
        <v>30.112449410398174</v>
      </c>
      <c r="S151" s="20">
        <f t="shared" si="116"/>
        <v>-3.9015063239361707</v>
      </c>
      <c r="U151" s="18">
        <f>+[1]SANTILLANA!O110</f>
        <v>10.722561002631494</v>
      </c>
      <c r="V151" s="19">
        <f>+[1]SANTILLANA!P110</f>
        <v>14.328490165397074</v>
      </c>
      <c r="W151" s="20">
        <f t="shared" si="117"/>
        <v>-25.166148848493503</v>
      </c>
    </row>
    <row r="152" spans="4:23" ht="15" customHeight="1">
      <c r="D152" s="17" t="str">
        <f>+IF($B$3="esp","Otros","Others")</f>
        <v>Others</v>
      </c>
      <c r="F152" s="18">
        <f>+[1]GRUPO!K127</f>
        <v>2.1476967173338863</v>
      </c>
      <c r="G152" s="19">
        <f>+[1]GRUPO!L127</f>
        <v>-0.20504587120794326</v>
      </c>
      <c r="H152" s="20" t="str">
        <f>IF(G152=0,"---",IF(OR(ABS((F152-G152)/ABS(G152))&gt;2,(F152*G152)&lt;0),"---",IF(G152="0","---",((F152-G152)/ABS(G152))*100)))</f>
        <v>---</v>
      </c>
      <c r="J152" s="18">
        <f>+[1]GRUPO!O127</f>
        <v>1.6835806220641558</v>
      </c>
      <c r="K152" s="19">
        <f>+[1]GRUPO!P127</f>
        <v>-0.26628655500825005</v>
      </c>
      <c r="L152" s="20" t="str">
        <f>IF(K152=0,"---",IF(OR(ABS((J152-K152)/ABS(K152))&gt;2,(J152*K152)&lt;0),"---",IF(K152="0","---",((J152-K152)/ABS(K152))*100)))</f>
        <v>---</v>
      </c>
      <c r="O152" s="17"/>
      <c r="Q152" s="19"/>
      <c r="R152" s="19"/>
      <c r="S152" s="20"/>
      <c r="U152" s="19"/>
      <c r="V152" s="19"/>
      <c r="W152" s="20"/>
    </row>
    <row r="153" spans="4:23" ht="15" customHeight="1"/>
    <row r="154" spans="4:23" ht="15" customHeight="1">
      <c r="F154" s="7" t="str">
        <f>+F143</f>
        <v>JANUARY - JUNE</v>
      </c>
      <c r="G154" s="8"/>
      <c r="H154" s="8"/>
      <c r="J154" s="7" t="str">
        <f>+J143</f>
        <v>APRIL - JUNE</v>
      </c>
      <c r="K154" s="8"/>
      <c r="L154" s="8"/>
      <c r="Q154" s="7" t="str">
        <f>+Q143</f>
        <v>JANUARY - JUNE</v>
      </c>
      <c r="R154" s="8"/>
      <c r="S154" s="8"/>
      <c r="U154" s="7" t="str">
        <f>+U143</f>
        <v>APRIL - JUNE</v>
      </c>
      <c r="V154" s="8"/>
      <c r="W154" s="8"/>
    </row>
    <row r="155" spans="4:23" s="13" customFormat="1" ht="4.5" customHeight="1">
      <c r="D155" s="1"/>
      <c r="E155" s="1"/>
      <c r="F155" s="1"/>
      <c r="G155" s="1"/>
      <c r="H155" s="1"/>
      <c r="J155" s="1"/>
      <c r="K155" s="1"/>
      <c r="L155" s="1"/>
      <c r="O155" s="1"/>
      <c r="P155" s="1"/>
      <c r="Q155" s="1"/>
      <c r="R155" s="1"/>
      <c r="S155" s="1"/>
      <c r="U155" s="1"/>
      <c r="V155" s="1"/>
      <c r="W155" s="1"/>
    </row>
    <row r="156" spans="4:23" ht="15" customHeight="1">
      <c r="D156" s="9" t="str">
        <f>+IF($B$3="esp","Millones de €","€ Millions")</f>
        <v>€ Millions</v>
      </c>
      <c r="F156" s="10">
        <v>2017</v>
      </c>
      <c r="G156" s="10">
        <v>2016</v>
      </c>
      <c r="H156" s="10" t="str">
        <f>+IF($B$3="esp","Var.%","% Chg.")</f>
        <v>% Chg.</v>
      </c>
      <c r="J156" s="10">
        <v>2017</v>
      </c>
      <c r="K156" s="10">
        <v>2016</v>
      </c>
      <c r="L156" s="10" t="str">
        <f>+IF($B$3="esp","Var.%","% Chg.")</f>
        <v>% Chg.</v>
      </c>
      <c r="O156" s="9" t="str">
        <f>+IF($B$3="esp","Millones de €","€ Millions")</f>
        <v>€ Millions</v>
      </c>
      <c r="Q156" s="10">
        <v>2017</v>
      </c>
      <c r="R156" s="10">
        <v>2016</v>
      </c>
      <c r="S156" s="10" t="str">
        <f>+IF($B$3="esp","Var.%","% Chg.")</f>
        <v>% Chg.</v>
      </c>
      <c r="U156" s="10">
        <v>2017</v>
      </c>
      <c r="V156" s="10">
        <v>2016</v>
      </c>
      <c r="W156" s="10" t="str">
        <f>+IF($B$3="esp","Var.%","% Chg.")</f>
        <v>% Chg.</v>
      </c>
    </row>
    <row r="157" spans="4:23" ht="15" customHeight="1">
      <c r="D157" s="11" t="str">
        <f>+IF($B$3="esp","EBITDA Ajustado","Adjusted EBITDA")</f>
        <v>Adjusted EBITDA</v>
      </c>
      <c r="F157" s="12"/>
      <c r="G157" s="12"/>
      <c r="H157" s="12"/>
      <c r="J157" s="12"/>
      <c r="K157" s="12"/>
      <c r="L157" s="12"/>
      <c r="O157" s="11" t="str">
        <f>+IF($B$3="esp","Ingresos de Explotación ajustados a tipo constante","Operating Revenues at constant currency")</f>
        <v>Operating Revenues at constant currency</v>
      </c>
      <c r="Q157" s="12"/>
      <c r="R157" s="12"/>
      <c r="S157" s="12"/>
      <c r="U157" s="12"/>
      <c r="V157" s="12"/>
      <c r="W157" s="12"/>
    </row>
    <row r="158" spans="4:23" ht="15" customHeight="1">
      <c r="D158" s="13" t="str">
        <f>+IF($B$3="esp","GRUPO","GROUP")</f>
        <v>GROUP</v>
      </c>
      <c r="E158" s="13"/>
      <c r="F158" s="14">
        <f>+[1]GRUPO!K133</f>
        <v>135.69015134453704</v>
      </c>
      <c r="G158" s="15">
        <f>+[1]GRUPO!L133</f>
        <v>97.017115667108172</v>
      </c>
      <c r="H158" s="16">
        <f t="shared" ref="H158:H163" si="118">IF(G158=0,"---",IF(OR(ABS((F158-G158)/ABS(G158))&gt;2,(F158*G158)&lt;0),"---",IF(G158="0","---",((F158-G158)/ABS(G158))*100)))</f>
        <v>39.862075275589994</v>
      </c>
      <c r="J158" s="14">
        <f>+[1]GRUPO!O133</f>
        <v>43.211100859592634</v>
      </c>
      <c r="K158" s="15">
        <f>+[1]GRUPO!P133</f>
        <v>37.34881100916796</v>
      </c>
      <c r="L158" s="16">
        <f t="shared" ref="L158:L163" si="119">IF(K158=0,"---",IF(OR(ABS((J158-K158)/ABS(K158))&gt;2,(J158*K158)&lt;0),"---",IF(K158="0","---",((J158-K158)/ABS(K158))*100)))</f>
        <v>15.696054819484523</v>
      </c>
      <c r="O158" s="13" t="str">
        <f>+IF($B$3="esp","Total Santillana","Total Santillana")</f>
        <v>Total Santillana</v>
      </c>
      <c r="P158" s="13"/>
      <c r="Q158" s="14">
        <f>+[1]SANTILLANA!K117</f>
        <v>305.17362495028601</v>
      </c>
      <c r="R158" s="15">
        <f>+[1]SANTILLANA!L117</f>
        <v>279.56067710785499</v>
      </c>
      <c r="S158" s="16">
        <f>IF(R158=0,"---",IF(OR(ABS((Q158-R158)/ABS(R158))&gt;2,(Q158*R158)&lt;0),"---",IF(R158="0","---",((Q158-R158)/ABS(R158))*100)))</f>
        <v>9.1618564196528638</v>
      </c>
      <c r="U158" s="14">
        <f>+[1]SANTILLANA!O117</f>
        <v>111.68058599617365</v>
      </c>
      <c r="V158" s="15">
        <f>+[1]SANTILLANA!P117</f>
        <v>111.23738252869299</v>
      </c>
      <c r="W158" s="16">
        <f>IF(V158=0,"---",IF(OR(ABS((U158-V158)/ABS(V158))&gt;2,(U158*V158)&lt;0),"---",IF(V158="0","---",((U158-V158)/ABS(V158))*100)))</f>
        <v>0.39843032747227375</v>
      </c>
    </row>
    <row r="159" spans="4:23" ht="15" customHeight="1">
      <c r="D159" s="17" t="str">
        <f>+IF($B$3="esp","Educación","Education")</f>
        <v>Education</v>
      </c>
      <c r="F159" s="18">
        <f>+[1]GRUPO!K134</f>
        <v>94.203475473929714</v>
      </c>
      <c r="G159" s="19">
        <f>+[1]GRUPO!L134</f>
        <v>62.810437481172734</v>
      </c>
      <c r="H159" s="20">
        <f t="shared" si="118"/>
        <v>49.980607127863038</v>
      </c>
      <c r="J159" s="18">
        <f>+[1]GRUPO!O134</f>
        <v>11.200432742548159</v>
      </c>
      <c r="K159" s="19">
        <f>+[1]GRUPO!P134</f>
        <v>9.941912374071336</v>
      </c>
      <c r="L159" s="20">
        <f t="shared" si="119"/>
        <v>12.658735272693249</v>
      </c>
      <c r="O159" s="17" t="str">
        <f>+IF($B$3="esp","Educación Tradicional y Compartir","Traditional Education and Compartir")</f>
        <v>Traditional Education and Compartir</v>
      </c>
      <c r="Q159" s="18">
        <f>+[1]SANTILLANA!K118</f>
        <v>278.80731925474464</v>
      </c>
      <c r="R159" s="19">
        <f>+[1]SANTILLANA!L118</f>
        <v>249.44822769745682</v>
      </c>
      <c r="S159" s="20">
        <f t="shared" ref="S159:S162" si="120">IF(R159=0,"---",IF(OR(ABS((Q159-R159)/ABS(R159))&gt;2,(Q159*R159)&lt;0),"---",IF(R159="0","---",((Q159-R159)/ABS(R159))*100)))</f>
        <v>11.769613209237145</v>
      </c>
      <c r="U159" s="18">
        <f>+[1]SANTILLANA!O118</f>
        <v>101.26764551822944</v>
      </c>
      <c r="V159" s="19">
        <f>+[1]SANTILLANA!P118</f>
        <v>96.908892363295905</v>
      </c>
      <c r="W159" s="20">
        <f t="shared" ref="W159:W162" si="121">IF(V159=0,"---",IF(OR(ABS((U159-V159)/ABS(V159))&gt;2,(U159*V159)&lt;0),"---",IF(V159="0","---",((U159-V159)/ABS(V159))*100)))</f>
        <v>4.4977845155770346</v>
      </c>
    </row>
    <row r="160" spans="4:23" ht="15" customHeight="1">
      <c r="D160" s="17" t="str">
        <f>+IF($B$3="esp","Radio","Radio")</f>
        <v>Radio</v>
      </c>
      <c r="F160" s="18">
        <f>+[1]GRUPO!K135</f>
        <v>25.90879667940569</v>
      </c>
      <c r="G160" s="19">
        <f>+[1]GRUPO!L135</f>
        <v>20.533552339945825</v>
      </c>
      <c r="H160" s="20">
        <f t="shared" si="118"/>
        <v>26.177858806256836</v>
      </c>
      <c r="J160" s="18">
        <f>+[1]GRUPO!O135</f>
        <v>18.640052505959716</v>
      </c>
      <c r="K160" s="19">
        <f>+[1]GRUPO!P135</f>
        <v>15.431484919576464</v>
      </c>
      <c r="L160" s="20">
        <f t="shared" si="119"/>
        <v>20.79234502126782</v>
      </c>
      <c r="O160" s="26" t="str">
        <f>+IF($B$3="esp","Campaña Sur","South Campaign")</f>
        <v>South Campaign</v>
      </c>
      <c r="Q160" s="18">
        <f>+[1]SANTILLANA!K119</f>
        <v>177.35352132097327</v>
      </c>
      <c r="R160" s="19">
        <f>+[1]SANTILLANA!L119</f>
        <v>161.48396414029202</v>
      </c>
      <c r="S160" s="20">
        <f t="shared" si="120"/>
        <v>9.8273269826930321</v>
      </c>
      <c r="U160" s="18">
        <f>+[1]SANTILLANA!O119</f>
        <v>13.860650652482832</v>
      </c>
      <c r="V160" s="19">
        <f>+[1]SANTILLANA!P119</f>
        <v>19.041572264379454</v>
      </c>
      <c r="W160" s="20">
        <f t="shared" si="121"/>
        <v>-27.208475959668675</v>
      </c>
    </row>
    <row r="161" spans="4:23" ht="15" customHeight="1">
      <c r="D161" s="17" t="str">
        <f>+IF($B$3="esp","Prensa","Press")</f>
        <v>Press</v>
      </c>
      <c r="F161" s="18">
        <f>+[1]GRUPO!K136</f>
        <v>5.9595375868221296</v>
      </c>
      <c r="G161" s="19">
        <f>+[1]GRUPO!L136</f>
        <v>7.3774874138440749</v>
      </c>
      <c r="H161" s="20">
        <f t="shared" si="118"/>
        <v>-19.21995589394189</v>
      </c>
      <c r="J161" s="18">
        <f>+[1]GRUPO!O136</f>
        <v>5.1058867729091792</v>
      </c>
      <c r="K161" s="19">
        <f>+[1]GRUPO!P136</f>
        <v>5.991520566099461</v>
      </c>
      <c r="L161" s="20">
        <f t="shared" si="119"/>
        <v>-14.781452945372065</v>
      </c>
      <c r="O161" s="26" t="str">
        <f>+IF($B$3="esp","Campaña Norte","North Campaign")</f>
        <v>North Campaign</v>
      </c>
      <c r="Q161" s="18">
        <f>+[1]SANTILLANA!K120</f>
        <v>101.45336264810314</v>
      </c>
      <c r="R161" s="19">
        <f>+[1]SANTILLANA!L120</f>
        <v>87.957416337984085</v>
      </c>
      <c r="S161" s="20">
        <f t="shared" si="120"/>
        <v>15.343727535447032</v>
      </c>
      <c r="U161" s="18">
        <f>+[1]SANTILLANA!O120</f>
        <v>87.398067481233227</v>
      </c>
      <c r="V161" s="19">
        <f>+[1]SANTILLANA!P120</f>
        <v>77.864900452928481</v>
      </c>
      <c r="W161" s="20">
        <f t="shared" si="121"/>
        <v>12.243214815471077</v>
      </c>
    </row>
    <row r="162" spans="4:23" s="13" customFormat="1" ht="15" customHeight="1">
      <c r="D162" s="17" t="str">
        <f>+IF($B$3="esp","Media Capital","Media Capital")</f>
        <v>Media Capital</v>
      </c>
      <c r="E162" s="1"/>
      <c r="F162" s="18">
        <f>+[1]GRUPO!K139</f>
        <v>18.2596460305578</v>
      </c>
      <c r="G162" s="19">
        <f>+[1]GRUPO!L139</f>
        <v>17.669995829312601</v>
      </c>
      <c r="H162" s="20">
        <f t="shared" si="118"/>
        <v>3.3370138111013783</v>
      </c>
      <c r="J162" s="18">
        <f>+[1]GRUPO!O139</f>
        <v>12.63415013010899</v>
      </c>
      <c r="K162" s="19">
        <f>+[1]GRUPO!P139</f>
        <v>11.51397284245855</v>
      </c>
      <c r="L162" s="20">
        <f t="shared" si="119"/>
        <v>9.7288512225746366</v>
      </c>
      <c r="O162" s="17" t="str">
        <f>+IF($B$3="esp","Sistema UNO","UNO System")</f>
        <v>UNO System</v>
      </c>
      <c r="P162" s="1"/>
      <c r="Q162" s="18">
        <f>+[1]SANTILLANA!K121</f>
        <v>26.366305695541374</v>
      </c>
      <c r="R162" s="19">
        <f>+[1]SANTILLANA!L121</f>
        <v>30.112449410398174</v>
      </c>
      <c r="S162" s="20">
        <f t="shared" si="120"/>
        <v>-12.440514764512027</v>
      </c>
      <c r="U162" s="18">
        <f>+[1]SANTILLANA!O121</f>
        <v>10.412940477944206</v>
      </c>
      <c r="V162" s="19">
        <f>+[1]SANTILLANA!P121</f>
        <v>14.328490165397074</v>
      </c>
      <c r="W162" s="20">
        <f t="shared" si="121"/>
        <v>-27.327022193230221</v>
      </c>
    </row>
    <row r="163" spans="4:23" ht="15" customHeight="1">
      <c r="D163" s="17" t="str">
        <f>+IF($B$3="esp","Otros","Others")</f>
        <v>Others</v>
      </c>
      <c r="F163" s="18">
        <f>+[1]GRUPO!K140</f>
        <v>-8.6413044261782908</v>
      </c>
      <c r="G163" s="19">
        <f>+[1]GRUPO!L140</f>
        <v>-11.374357397167064</v>
      </c>
      <c r="H163" s="20">
        <f t="shared" si="118"/>
        <v>24.02819671966239</v>
      </c>
      <c r="J163" s="18">
        <f>+[1]GRUPO!O140</f>
        <v>-4.3694212919334099</v>
      </c>
      <c r="K163" s="19">
        <f>+[1]GRUPO!P140</f>
        <v>-5.5300796930378526</v>
      </c>
      <c r="L163" s="20">
        <f t="shared" si="119"/>
        <v>20.988095389758396</v>
      </c>
      <c r="O163" s="17"/>
      <c r="Q163" s="19"/>
      <c r="R163" s="19"/>
      <c r="S163" s="20"/>
      <c r="U163" s="19"/>
      <c r="V163" s="19"/>
      <c r="W163" s="20"/>
    </row>
    <row r="164" spans="4:23" s="13" customFormat="1" ht="15" customHeight="1">
      <c r="O164" s="1"/>
      <c r="P164" s="1"/>
      <c r="Q164" s="1"/>
      <c r="R164" s="1"/>
      <c r="S164" s="1"/>
      <c r="U164" s="1"/>
      <c r="V164" s="1"/>
      <c r="W164" s="1"/>
    </row>
    <row r="165" spans="4:23" ht="15" customHeight="1"/>
    <row r="166" spans="4:23" ht="15" customHeight="1"/>
    <row r="167" spans="4:23" ht="15" customHeight="1">
      <c r="Q167" s="7" t="str">
        <f>+Q154</f>
        <v>JANUARY - JUNE</v>
      </c>
      <c r="R167" s="8"/>
      <c r="S167" s="8"/>
      <c r="U167" s="7" t="str">
        <f>+U154</f>
        <v>APRIL - JUNE</v>
      </c>
      <c r="V167" s="8"/>
      <c r="W167" s="8"/>
    </row>
    <row r="168" spans="4:23" s="13" customFormat="1" ht="15" customHeight="1">
      <c r="O168" s="1"/>
      <c r="P168" s="1"/>
      <c r="Q168" s="1"/>
      <c r="R168" s="1"/>
      <c r="S168" s="1"/>
      <c r="U168" s="1"/>
      <c r="V168" s="1"/>
      <c r="W168" s="1"/>
    </row>
    <row r="169" spans="4:23" ht="15" customHeight="1">
      <c r="O169" s="9" t="str">
        <f>+IF($B$3="esp","Millones de €","€ Millions")</f>
        <v>€ Millions</v>
      </c>
      <c r="Q169" s="10">
        <v>2017</v>
      </c>
      <c r="R169" s="10">
        <v>2016</v>
      </c>
      <c r="S169" s="10" t="str">
        <f>+IF($B$3="esp","Var.%","% Chg.")</f>
        <v>% Chg.</v>
      </c>
      <c r="U169" s="10">
        <v>2017</v>
      </c>
      <c r="V169" s="10">
        <v>2016</v>
      </c>
      <c r="W169" s="10" t="str">
        <f>+IF($B$3="esp","Var.%","% Chg.")</f>
        <v>% Chg.</v>
      </c>
    </row>
    <row r="170" spans="4:23" ht="15" customHeight="1">
      <c r="O170" s="11" t="str">
        <f>+IF($B$3="esp","EBITDA Ajustado","Adjusted EBITDA")</f>
        <v>Adjusted EBITDA</v>
      </c>
      <c r="Q170" s="12"/>
      <c r="R170" s="12"/>
      <c r="S170" s="12"/>
      <c r="U170" s="12"/>
      <c r="V170" s="12"/>
      <c r="W170" s="12"/>
    </row>
    <row r="171" spans="4:23" ht="15" customHeight="1">
      <c r="O171" s="13" t="str">
        <f>+IF($B$3="esp","Total Santillana","Total Santillana")</f>
        <v>Total Santillana</v>
      </c>
      <c r="P171" s="13"/>
      <c r="Q171" s="14">
        <f>+[1]SANTILLANA!K130</f>
        <v>94.203475473929714</v>
      </c>
      <c r="R171" s="15">
        <f>+[1]SANTILLANA!L130</f>
        <v>62.810437481172734</v>
      </c>
      <c r="S171" s="16">
        <f>IF(R171=0,"---",IF(OR(ABS((Q171-R171)/ABS(R171))&gt;2,(Q171*R171)&lt;0),"---",IF(R171="0","---",((Q171-R171)/ABS(R171))*100)))</f>
        <v>49.980607127863038</v>
      </c>
      <c r="U171" s="14">
        <f>+[1]SANTILLANA!O130</f>
        <v>11.200432742548159</v>
      </c>
      <c r="V171" s="15">
        <f>+[1]SANTILLANA!P130</f>
        <v>9.941912374071336</v>
      </c>
      <c r="W171" s="16">
        <f>IF(V171=0,"---",IF(OR(ABS((U171-V171)/ABS(V171))&gt;2,(U171*V171)&lt;0),"---",IF(V171="0","---",((U171-V171)/ABS(V171))*100)))</f>
        <v>12.658735272693249</v>
      </c>
    </row>
    <row r="172" spans="4:23" ht="15" customHeight="1">
      <c r="O172" s="17" t="str">
        <f>+IF($B$3="esp","Educación Tradicional y Compartir","Traditional Education and Compartir")</f>
        <v>Traditional Education and Compartir</v>
      </c>
      <c r="Q172" s="18">
        <f>+[1]SANTILLANA!K131</f>
        <v>85.272219685387228</v>
      </c>
      <c r="R172" s="19">
        <f>+[1]SANTILLANA!L131</f>
        <v>53.011271970381095</v>
      </c>
      <c r="S172" s="20">
        <f t="shared" ref="S172:S175" si="122">IF(R172=0,"---",IF(OR(ABS((Q172-R172)/ABS(R172))&gt;2,(Q172*R172)&lt;0),"---",IF(R172="0","---",((Q172-R172)/ABS(R172))*100)))</f>
        <v>60.856769731975568</v>
      </c>
      <c r="U172" s="18">
        <f>+[1]SANTILLANA!O131</f>
        <v>9.1577428948971402</v>
      </c>
      <c r="V172" s="19">
        <f>+[1]SANTILLANA!P131</f>
        <v>5.5846428696607688</v>
      </c>
      <c r="W172" s="20">
        <f t="shared" ref="W172:W175" si="123">IF(V172=0,"---",IF(OR(ABS((U172-V172)/ABS(V172))&gt;2,(U172*V172)&lt;0),"---",IF(V172="0","---",((U172-V172)/ABS(V172))*100)))</f>
        <v>63.98081504276054</v>
      </c>
    </row>
    <row r="173" spans="4:23" ht="15" customHeight="1">
      <c r="O173" s="26" t="str">
        <f>+IF($B$3="esp","Campaña Sur","South Campaign")</f>
        <v>South Campaign</v>
      </c>
      <c r="Q173" s="18">
        <f>+[1]SANTILLANA!K132</f>
        <v>76.162318034379183</v>
      </c>
      <c r="R173" s="19">
        <f>+[1]SANTILLANA!L132</f>
        <v>55.761918242653977</v>
      </c>
      <c r="S173" s="20">
        <f t="shared" si="122"/>
        <v>36.584824257570688</v>
      </c>
      <c r="U173" s="18">
        <f>+[1]SANTILLANA!O132</f>
        <v>-24.421180318995681</v>
      </c>
      <c r="V173" s="19">
        <f>+[1]SANTILLANA!P132</f>
        <v>-17.301920272794646</v>
      </c>
      <c r="W173" s="20">
        <f t="shared" si="123"/>
        <v>-41.147224897315489</v>
      </c>
    </row>
    <row r="174" spans="4:23" ht="15" customHeight="1">
      <c r="O174" s="26" t="str">
        <f>+IF($B$3="esp","Campaña Norte","North Campaign")</f>
        <v>North Campaign</v>
      </c>
      <c r="Q174" s="18">
        <f>+[1]SANTILLANA!K133</f>
        <v>9.1519580283149438</v>
      </c>
      <c r="R174" s="19">
        <f>+[1]SANTILLANA!L133</f>
        <v>-2.7333305011323503</v>
      </c>
      <c r="S174" s="20" t="str">
        <f t="shared" si="122"/>
        <v>---</v>
      </c>
      <c r="U174" s="18">
        <f>+[1]SANTILLANA!O133</f>
        <v>33.62097959119972</v>
      </c>
      <c r="V174" s="19">
        <f>+[1]SANTILLANA!P133</f>
        <v>22.9780410112105</v>
      </c>
      <c r="W174" s="20">
        <f t="shared" si="123"/>
        <v>46.317867457877526</v>
      </c>
    </row>
    <row r="175" spans="4:23" ht="15" customHeight="1">
      <c r="O175" s="17" t="str">
        <f>+IF($B$3="esp","Sistema UNO","UNO System")</f>
        <v>UNO System</v>
      </c>
      <c r="Q175" s="18">
        <f>+[1]SANTILLANA!K134</f>
        <v>8.9312557885424848</v>
      </c>
      <c r="R175" s="19">
        <f>+[1]SANTILLANA!L134</f>
        <v>9.7991655107916369</v>
      </c>
      <c r="S175" s="20">
        <f t="shared" si="122"/>
        <v>-8.8569758444567483</v>
      </c>
      <c r="U175" s="18">
        <f>+[1]SANTILLANA!O134</f>
        <v>2.0426898476510136</v>
      </c>
      <c r="V175" s="19">
        <f>+[1]SANTILLANA!P134</f>
        <v>4.3572695044105636</v>
      </c>
      <c r="W175" s="20">
        <f t="shared" si="123"/>
        <v>-53.119956303291794</v>
      </c>
    </row>
    <row r="176" spans="4:23" ht="15" customHeight="1">
      <c r="O176" s="17"/>
      <c r="Q176" s="19"/>
      <c r="R176" s="19"/>
      <c r="S176" s="20"/>
      <c r="U176" s="19"/>
      <c r="V176" s="19"/>
      <c r="W176" s="20"/>
    </row>
    <row r="177" spans="15:23" ht="15" customHeight="1"/>
    <row r="178" spans="15:23" ht="15" customHeight="1">
      <c r="Q178" s="7" t="str">
        <f>+Q167</f>
        <v>JANUARY - JUNE</v>
      </c>
      <c r="R178" s="8"/>
      <c r="S178" s="8"/>
      <c r="U178" s="7" t="str">
        <f>+U167</f>
        <v>APRIL - JUNE</v>
      </c>
      <c r="V178" s="8"/>
      <c r="W178" s="8"/>
    </row>
    <row r="179" spans="15:23" ht="15" customHeight="1"/>
    <row r="180" spans="15:23" ht="15" customHeight="1">
      <c r="O180" s="9" t="str">
        <f>+IF($B$3="esp","Millones de €","€ Millions")</f>
        <v>€ Millions</v>
      </c>
      <c r="Q180" s="10">
        <v>2017</v>
      </c>
      <c r="R180" s="10">
        <v>2016</v>
      </c>
      <c r="S180" s="10" t="str">
        <f>+IF($B$3="esp","Var.%","% Chg.")</f>
        <v>% Chg.</v>
      </c>
      <c r="U180" s="10">
        <v>2017</v>
      </c>
      <c r="V180" s="10">
        <v>2016</v>
      </c>
      <c r="W180" s="10" t="str">
        <f>+IF($B$3="esp","Var.%","% Chg.")</f>
        <v>% Chg.</v>
      </c>
    </row>
    <row r="181" spans="15:23" ht="15" customHeight="1">
      <c r="O181" s="11" t="str">
        <f>+IF($B$3="esp","EBITDA Ajustado a tipo constante","Adjusted EBITDA at constant currency")</f>
        <v>Adjusted EBITDA at constant currency</v>
      </c>
      <c r="Q181" s="12"/>
      <c r="R181" s="12"/>
      <c r="S181" s="12"/>
      <c r="U181" s="12"/>
      <c r="V181" s="12"/>
      <c r="W181" s="12"/>
    </row>
    <row r="182" spans="15:23" ht="15" customHeight="1">
      <c r="O182" s="13" t="str">
        <f>+IF($B$3="esp","Total Santillana","Total Santillana")</f>
        <v>Total Santillana</v>
      </c>
      <c r="P182" s="13"/>
      <c r="Q182" s="14">
        <f>+[1]SANTILLANA!K141</f>
        <v>83.472559084810058</v>
      </c>
      <c r="R182" s="15">
        <f>+[1]SANTILLANA!L141</f>
        <v>62.810437481172734</v>
      </c>
      <c r="S182" s="16">
        <f>IF(R182=0,"---",IF(OR(ABS((Q182-R182)/ABS(R182))&gt;2,(Q182*R182)&lt;0),"---",IF(R182="0","---",((Q182-R182)/ABS(R182))*100)))</f>
        <v>32.89600014301881</v>
      </c>
      <c r="U182" s="14">
        <f>+[1]SANTILLANA!O141</f>
        <v>12.767570525447837</v>
      </c>
      <c r="V182" s="15">
        <f>+[1]SANTILLANA!P141</f>
        <v>9.941912374071336</v>
      </c>
      <c r="W182" s="16">
        <f>IF(V182=0,"---",IF(OR(ABS((U182-V182)/ABS(V182))&gt;2,(U182*V182)&lt;0),"---",IF(V182="0","---",((U182-V182)/ABS(V182))*100)))</f>
        <v>28.421676283788845</v>
      </c>
    </row>
    <row r="183" spans="15:23" ht="15" customHeight="1">
      <c r="O183" s="17" t="str">
        <f>+IF($B$3="esp","Educación Tradicional y Compartir","Traditional Education and Compartir")</f>
        <v>Traditional Education and Compartir</v>
      </c>
      <c r="Q183" s="18">
        <f>+[1]SANTILLANA!K142</f>
        <v>75.536337708159508</v>
      </c>
      <c r="R183" s="19">
        <f>+[1]SANTILLANA!L142</f>
        <v>53.011271970381095</v>
      </c>
      <c r="S183" s="20">
        <f t="shared" ref="S183:S186" si="124">IF(R183=0,"---",IF(OR(ABS((Q183-R183)/ABS(R183))&gt;2,(Q183*R183)&lt;0),"---",IF(R183="0","---",((Q183-R183)/ABS(R183))*100)))</f>
        <v>42.491087084957719</v>
      </c>
      <c r="U183" s="18">
        <f>+[1]SANTILLANA!O142</f>
        <v>10.635700349242839</v>
      </c>
      <c r="V183" s="19">
        <f>+[1]SANTILLANA!P142</f>
        <v>5.5846428696607688</v>
      </c>
      <c r="W183" s="20">
        <f t="shared" ref="W183:W186" si="125">IF(V183=0,"---",IF(OR(ABS((U183-V183)/ABS(V183))&gt;2,(U183*V183)&lt;0),"---",IF(V183="0","---",((U183-V183)/ABS(V183))*100)))</f>
        <v>90.445487696671449</v>
      </c>
    </row>
    <row r="184" spans="15:23" ht="15" customHeight="1">
      <c r="O184" s="26" t="str">
        <f>+IF($B$3="esp","Campaña Sur","South Campaign")</f>
        <v>South Campaign</v>
      </c>
      <c r="Q184" s="18">
        <f>+[1]SANTILLANA!K143</f>
        <v>67.231155983679798</v>
      </c>
      <c r="R184" s="19">
        <f>+[1]SANTILLANA!L143</f>
        <v>55.761918242653977</v>
      </c>
      <c r="S184" s="20">
        <f t="shared" si="124"/>
        <v>20.568226672397106</v>
      </c>
      <c r="U184" s="18">
        <f>+[1]SANTILLANA!O143</f>
        <v>-22.748077693349188</v>
      </c>
      <c r="V184" s="19">
        <f>+[1]SANTILLANA!P143</f>
        <v>-17.301920272794646</v>
      </c>
      <c r="W184" s="20">
        <f t="shared" si="125"/>
        <v>-31.477184813514725</v>
      </c>
    </row>
    <row r="185" spans="15:23" ht="15" customHeight="1">
      <c r="O185" s="26" t="str">
        <f>+IF($B$3="esp","Campaña Norte","North Campaign")</f>
        <v>North Campaign</v>
      </c>
      <c r="Q185" s="18">
        <f>+[1]SANTILLANA!K144</f>
        <v>8.3051817244797093</v>
      </c>
      <c r="R185" s="19">
        <f>+[1]SANTILLANA!L144</f>
        <v>-2.7333305011323503</v>
      </c>
      <c r="S185" s="20" t="str">
        <f t="shared" si="124"/>
        <v>---</v>
      </c>
      <c r="U185" s="18">
        <f>+[1]SANTILLANA!O144</f>
        <v>33.383778042592027</v>
      </c>
      <c r="V185" s="19">
        <f>+[1]SANTILLANA!P144</f>
        <v>22.9780410112105</v>
      </c>
      <c r="W185" s="20">
        <f t="shared" si="125"/>
        <v>45.285570803467486</v>
      </c>
    </row>
    <row r="186" spans="15:23" ht="15" customHeight="1">
      <c r="O186" s="17" t="str">
        <f>+IF($B$3="esp","Sistema UNO","UNO System")</f>
        <v>UNO System</v>
      </c>
      <c r="Q186" s="18">
        <f>+[1]SANTILLANA!K145</f>
        <v>7.9362213766505487</v>
      </c>
      <c r="R186" s="19">
        <f>+[1]SANTILLANA!L145</f>
        <v>9.7991655107916369</v>
      </c>
      <c r="S186" s="20">
        <f t="shared" si="124"/>
        <v>-19.011252867292246</v>
      </c>
      <c r="U186" s="18">
        <f>+[1]SANTILLANA!O145</f>
        <v>2.1318701762050036</v>
      </c>
      <c r="V186" s="19">
        <f>+[1]SANTILLANA!P145</f>
        <v>4.3572695044105636</v>
      </c>
      <c r="W186" s="20">
        <f t="shared" si="125"/>
        <v>-51.07325415499183</v>
      </c>
    </row>
    <row r="187" spans="15:23" ht="15" customHeight="1">
      <c r="O187" s="17"/>
      <c r="Q187" s="19"/>
      <c r="R187" s="19"/>
      <c r="S187" s="20"/>
      <c r="U187" s="19"/>
      <c r="V187" s="19"/>
      <c r="W187" s="20"/>
    </row>
  </sheetData>
  <pageMargins left="0" right="0" top="0" bottom="0" header="0" footer="0"/>
  <pageSetup paperSize="9" scale="2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 Publish</vt:lpstr>
      <vt:lpstr>'To Publish'!Área_de_impresión</vt:lpstr>
    </vt:vector>
  </TitlesOfParts>
  <Company>xxxxxxxx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Matías Tobal Favelukes</dc:creator>
  <cp:lastModifiedBy>Guelbenzu Robles, Belen</cp:lastModifiedBy>
  <dcterms:created xsi:type="dcterms:W3CDTF">2017-07-28T13:05:01Z</dcterms:created>
  <dcterms:modified xsi:type="dcterms:W3CDTF">2017-07-28T13:16:15Z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