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LACIÓN CON INVERSORES\NEW\RESULTS\2017\3T\Doc DEF\"/>
    </mc:Choice>
  </mc:AlternateContent>
  <bookViews>
    <workbookView xWindow="0" yWindow="0" windowWidth="28800" windowHeight="12210" xr2:uid="{C49B76B2-2FF6-4C31-9B2F-FC4FABD7D968}"/>
  </bookViews>
  <sheets>
    <sheet name="Hoja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6" i="1" l="1"/>
  <c r="W186" i="1" s="1"/>
  <c r="U186" i="1"/>
  <c r="R186" i="1"/>
  <c r="Q186" i="1"/>
  <c r="S186" i="1" s="1"/>
  <c r="O186" i="1"/>
  <c r="V185" i="1"/>
  <c r="U185" i="1"/>
  <c r="R185" i="1"/>
  <c r="Q185" i="1"/>
  <c r="O185" i="1"/>
  <c r="V184" i="1"/>
  <c r="U184" i="1"/>
  <c r="R184" i="1"/>
  <c r="Q184" i="1"/>
  <c r="O184" i="1"/>
  <c r="V183" i="1"/>
  <c r="U183" i="1"/>
  <c r="R183" i="1"/>
  <c r="Q183" i="1"/>
  <c r="O183" i="1"/>
  <c r="V182" i="1"/>
  <c r="U182" i="1"/>
  <c r="R182" i="1"/>
  <c r="Q182" i="1"/>
  <c r="O182" i="1"/>
  <c r="O181" i="1"/>
  <c r="W180" i="1"/>
  <c r="S180" i="1"/>
  <c r="O180" i="1"/>
  <c r="V175" i="1"/>
  <c r="U175" i="1"/>
  <c r="R175" i="1"/>
  <c r="S175" i="1" s="1"/>
  <c r="Q175" i="1"/>
  <c r="O175" i="1"/>
  <c r="V174" i="1"/>
  <c r="U174" i="1"/>
  <c r="R174" i="1"/>
  <c r="Q174" i="1"/>
  <c r="O174" i="1"/>
  <c r="V173" i="1"/>
  <c r="U173" i="1"/>
  <c r="W173" i="1" s="1"/>
  <c r="R173" i="1"/>
  <c r="Q173" i="1"/>
  <c r="O173" i="1"/>
  <c r="V172" i="1"/>
  <c r="U172" i="1"/>
  <c r="R172" i="1"/>
  <c r="Q172" i="1"/>
  <c r="O172" i="1"/>
  <c r="V171" i="1"/>
  <c r="U171" i="1"/>
  <c r="R171" i="1"/>
  <c r="Q171" i="1"/>
  <c r="O171" i="1"/>
  <c r="O170" i="1"/>
  <c r="W169" i="1"/>
  <c r="S169" i="1"/>
  <c r="O169" i="1"/>
  <c r="K163" i="1"/>
  <c r="J163" i="1"/>
  <c r="G163" i="1"/>
  <c r="F163" i="1"/>
  <c r="D163" i="1"/>
  <c r="V162" i="1"/>
  <c r="U162" i="1"/>
  <c r="R162" i="1"/>
  <c r="Q162" i="1"/>
  <c r="O162" i="1"/>
  <c r="K162" i="1"/>
  <c r="J162" i="1"/>
  <c r="G162" i="1"/>
  <c r="F162" i="1"/>
  <c r="D162" i="1"/>
  <c r="V161" i="1"/>
  <c r="U161" i="1"/>
  <c r="R161" i="1"/>
  <c r="Q161" i="1"/>
  <c r="O161" i="1"/>
  <c r="K161" i="1"/>
  <c r="J161" i="1"/>
  <c r="G161" i="1"/>
  <c r="H161" i="1" s="1"/>
  <c r="F161" i="1"/>
  <c r="D161" i="1"/>
  <c r="V160" i="1"/>
  <c r="U160" i="1"/>
  <c r="R160" i="1"/>
  <c r="Q160" i="1"/>
  <c r="O160" i="1"/>
  <c r="K160" i="1"/>
  <c r="J160" i="1"/>
  <c r="G160" i="1"/>
  <c r="F160" i="1"/>
  <c r="D160" i="1"/>
  <c r="W159" i="1"/>
  <c r="V159" i="1"/>
  <c r="U159" i="1"/>
  <c r="R159" i="1"/>
  <c r="S159" i="1" s="1"/>
  <c r="Q159" i="1"/>
  <c r="O159" i="1"/>
  <c r="K159" i="1"/>
  <c r="J159" i="1"/>
  <c r="G159" i="1"/>
  <c r="H159" i="1" s="1"/>
  <c r="F159" i="1"/>
  <c r="D159" i="1"/>
  <c r="V158" i="1"/>
  <c r="U158" i="1"/>
  <c r="R158" i="1"/>
  <c r="Q158" i="1"/>
  <c r="O158" i="1"/>
  <c r="K158" i="1"/>
  <c r="L158" i="1" s="1"/>
  <c r="J158" i="1"/>
  <c r="G158" i="1"/>
  <c r="F158" i="1"/>
  <c r="H158" i="1" s="1"/>
  <c r="D158" i="1"/>
  <c r="O157" i="1"/>
  <c r="D157" i="1"/>
  <c r="W156" i="1"/>
  <c r="S156" i="1"/>
  <c r="O156" i="1"/>
  <c r="L156" i="1"/>
  <c r="H156" i="1"/>
  <c r="D156" i="1"/>
  <c r="K152" i="1"/>
  <c r="J152" i="1"/>
  <c r="G152" i="1"/>
  <c r="H152" i="1" s="1"/>
  <c r="F152" i="1"/>
  <c r="D152" i="1"/>
  <c r="V151" i="1"/>
  <c r="U151" i="1"/>
  <c r="R151" i="1"/>
  <c r="S151" i="1" s="1"/>
  <c r="Q151" i="1"/>
  <c r="O151" i="1"/>
  <c r="K151" i="1"/>
  <c r="J151" i="1"/>
  <c r="G151" i="1"/>
  <c r="F151" i="1"/>
  <c r="D151" i="1"/>
  <c r="V150" i="1"/>
  <c r="U150" i="1"/>
  <c r="R150" i="1"/>
  <c r="Q150" i="1"/>
  <c r="O150" i="1"/>
  <c r="K150" i="1"/>
  <c r="J150" i="1"/>
  <c r="G150" i="1"/>
  <c r="H150" i="1" s="1"/>
  <c r="F150" i="1"/>
  <c r="D150" i="1"/>
  <c r="V149" i="1"/>
  <c r="U149" i="1"/>
  <c r="R149" i="1"/>
  <c r="Q149" i="1"/>
  <c r="O149" i="1"/>
  <c r="K149" i="1"/>
  <c r="J149" i="1"/>
  <c r="L149" i="1" s="1"/>
  <c r="G149" i="1"/>
  <c r="F149" i="1"/>
  <c r="D149" i="1"/>
  <c r="V148" i="1"/>
  <c r="U148" i="1"/>
  <c r="R148" i="1"/>
  <c r="Q148" i="1"/>
  <c r="S148" i="1" s="1"/>
  <c r="O148" i="1"/>
  <c r="K148" i="1"/>
  <c r="L148" i="1" s="1"/>
  <c r="J148" i="1"/>
  <c r="G148" i="1"/>
  <c r="F148" i="1"/>
  <c r="D148" i="1"/>
  <c r="V147" i="1"/>
  <c r="U147" i="1"/>
  <c r="R147" i="1"/>
  <c r="Q147" i="1"/>
  <c r="S147" i="1" s="1"/>
  <c r="O147" i="1"/>
  <c r="K147" i="1"/>
  <c r="J147" i="1"/>
  <c r="G147" i="1"/>
  <c r="F147" i="1"/>
  <c r="D147" i="1"/>
  <c r="O146" i="1"/>
  <c r="D146" i="1"/>
  <c r="W145" i="1"/>
  <c r="S145" i="1"/>
  <c r="O145" i="1"/>
  <c r="L145" i="1"/>
  <c r="H145" i="1"/>
  <c r="D145" i="1"/>
  <c r="K138" i="1"/>
  <c r="J138" i="1"/>
  <c r="G138" i="1"/>
  <c r="H138" i="1" s="1"/>
  <c r="F138" i="1"/>
  <c r="D138" i="1"/>
  <c r="K137" i="1"/>
  <c r="L137" i="1" s="1"/>
  <c r="J137" i="1"/>
  <c r="G137" i="1"/>
  <c r="F137" i="1"/>
  <c r="D137" i="1"/>
  <c r="K136" i="1"/>
  <c r="J136" i="1"/>
  <c r="L136" i="1" s="1"/>
  <c r="G136" i="1"/>
  <c r="F136" i="1"/>
  <c r="D136" i="1"/>
  <c r="K135" i="1"/>
  <c r="J135" i="1"/>
  <c r="G135" i="1"/>
  <c r="F135" i="1"/>
  <c r="D135" i="1"/>
  <c r="K134" i="1"/>
  <c r="J134" i="1"/>
  <c r="G134" i="1"/>
  <c r="F134" i="1"/>
  <c r="D134" i="1"/>
  <c r="K133" i="1"/>
  <c r="L133" i="1" s="1"/>
  <c r="J133" i="1"/>
  <c r="G133" i="1"/>
  <c r="F133" i="1"/>
  <c r="D133" i="1"/>
  <c r="K132" i="1"/>
  <c r="J132" i="1"/>
  <c r="G132" i="1"/>
  <c r="F132" i="1"/>
  <c r="D132" i="1"/>
  <c r="L130" i="1"/>
  <c r="H130" i="1"/>
  <c r="D130" i="1"/>
  <c r="AG125" i="1"/>
  <c r="AH125" i="1" s="1"/>
  <c r="AF125" i="1"/>
  <c r="AC125" i="1"/>
  <c r="AD125" i="1" s="1"/>
  <c r="AB125" i="1"/>
  <c r="Z125" i="1"/>
  <c r="K125" i="1"/>
  <c r="J125" i="1"/>
  <c r="G125" i="1"/>
  <c r="F125" i="1"/>
  <c r="D125" i="1"/>
  <c r="BC124" i="1"/>
  <c r="BB124" i="1"/>
  <c r="AY124" i="1"/>
  <c r="AX124" i="1"/>
  <c r="AV124" i="1"/>
  <c r="AR124" i="1"/>
  <c r="AS124" i="1" s="1"/>
  <c r="AQ124" i="1"/>
  <c r="AN124" i="1"/>
  <c r="AM124" i="1"/>
  <c r="AO124" i="1" s="1"/>
  <c r="AK124" i="1"/>
  <c r="AG124" i="1"/>
  <c r="AF124" i="1"/>
  <c r="AC124" i="1"/>
  <c r="AB124" i="1"/>
  <c r="Z124" i="1"/>
  <c r="V124" i="1"/>
  <c r="U124" i="1"/>
  <c r="R124" i="1"/>
  <c r="Q124" i="1"/>
  <c r="O124" i="1"/>
  <c r="K124" i="1"/>
  <c r="J124" i="1"/>
  <c r="G124" i="1"/>
  <c r="F124" i="1"/>
  <c r="H124" i="1" s="1"/>
  <c r="D124" i="1"/>
  <c r="BC123" i="1"/>
  <c r="BB123" i="1"/>
  <c r="AY123" i="1"/>
  <c r="AX123" i="1"/>
  <c r="AV123" i="1"/>
  <c r="AR123" i="1"/>
  <c r="AQ123" i="1"/>
  <c r="AN123" i="1"/>
  <c r="AO123" i="1" s="1"/>
  <c r="AM123" i="1"/>
  <c r="AK123" i="1"/>
  <c r="AG123" i="1"/>
  <c r="AF123" i="1"/>
  <c r="AC123" i="1"/>
  <c r="AB123" i="1"/>
  <c r="Z123" i="1"/>
  <c r="V123" i="1"/>
  <c r="U123" i="1"/>
  <c r="R123" i="1"/>
  <c r="S123" i="1" s="1"/>
  <c r="Q123" i="1"/>
  <c r="O123" i="1"/>
  <c r="K123" i="1"/>
  <c r="L123" i="1" s="1"/>
  <c r="J123" i="1"/>
  <c r="G123" i="1"/>
  <c r="F123" i="1"/>
  <c r="D123" i="1"/>
  <c r="BC122" i="1"/>
  <c r="BB122" i="1"/>
  <c r="AY122" i="1"/>
  <c r="AX122" i="1"/>
  <c r="AV122" i="1"/>
  <c r="AR122" i="1"/>
  <c r="AQ122" i="1"/>
  <c r="AN122" i="1"/>
  <c r="AM122" i="1"/>
  <c r="AK122" i="1"/>
  <c r="AG122" i="1"/>
  <c r="AF122" i="1"/>
  <c r="AC122" i="1"/>
  <c r="AB122" i="1"/>
  <c r="AD122" i="1" s="1"/>
  <c r="Z122" i="1"/>
  <c r="V122" i="1"/>
  <c r="U122" i="1"/>
  <c r="R122" i="1"/>
  <c r="Q122" i="1"/>
  <c r="S122" i="1" s="1"/>
  <c r="O122" i="1"/>
  <c r="K122" i="1"/>
  <c r="J122" i="1"/>
  <c r="G122" i="1"/>
  <c r="F122" i="1"/>
  <c r="D122" i="1"/>
  <c r="BC121" i="1"/>
  <c r="BB121" i="1"/>
  <c r="AY121" i="1"/>
  <c r="AX121" i="1"/>
  <c r="AV121" i="1"/>
  <c r="AR121" i="1"/>
  <c r="AQ121" i="1"/>
  <c r="AN121" i="1"/>
  <c r="AM121" i="1"/>
  <c r="AO121" i="1" s="1"/>
  <c r="AK121" i="1"/>
  <c r="AG121" i="1"/>
  <c r="AF121" i="1"/>
  <c r="AC121" i="1"/>
  <c r="AB121" i="1"/>
  <c r="Z121" i="1"/>
  <c r="V121" i="1"/>
  <c r="U121" i="1"/>
  <c r="R121" i="1"/>
  <c r="Q121" i="1"/>
  <c r="O121" i="1"/>
  <c r="K121" i="1"/>
  <c r="J121" i="1"/>
  <c r="G121" i="1"/>
  <c r="F121" i="1"/>
  <c r="D121" i="1"/>
  <c r="BC120" i="1"/>
  <c r="BB120" i="1"/>
  <c r="AY120" i="1"/>
  <c r="AX120" i="1"/>
  <c r="AV120" i="1"/>
  <c r="AR120" i="1"/>
  <c r="AQ120" i="1"/>
  <c r="AS120" i="1" s="1"/>
  <c r="AN120" i="1"/>
  <c r="AM120" i="1"/>
  <c r="AK120" i="1"/>
  <c r="AG120" i="1"/>
  <c r="AF120" i="1"/>
  <c r="AH120" i="1" s="1"/>
  <c r="AC120" i="1"/>
  <c r="AB120" i="1"/>
  <c r="Z120" i="1"/>
  <c r="V120" i="1"/>
  <c r="U120" i="1"/>
  <c r="R120" i="1"/>
  <c r="Q120" i="1"/>
  <c r="O120" i="1"/>
  <c r="K120" i="1"/>
  <c r="J120" i="1"/>
  <c r="G120" i="1"/>
  <c r="F120" i="1"/>
  <c r="H120" i="1" s="1"/>
  <c r="D120" i="1"/>
  <c r="BC119" i="1"/>
  <c r="BB119" i="1"/>
  <c r="AY119" i="1"/>
  <c r="AX119" i="1"/>
  <c r="AV119" i="1"/>
  <c r="AR119" i="1"/>
  <c r="AQ119" i="1"/>
  <c r="AN119" i="1"/>
  <c r="AM119" i="1"/>
  <c r="AK119" i="1"/>
  <c r="AG119" i="1"/>
  <c r="AF119" i="1"/>
  <c r="AC119" i="1"/>
  <c r="AD119" i="1" s="1"/>
  <c r="AB119" i="1"/>
  <c r="Z119" i="1"/>
  <c r="V119" i="1"/>
  <c r="U119" i="1"/>
  <c r="R119" i="1"/>
  <c r="S119" i="1" s="1"/>
  <c r="Q119" i="1"/>
  <c r="O119" i="1"/>
  <c r="K119" i="1"/>
  <c r="J119" i="1"/>
  <c r="G119" i="1"/>
  <c r="F119" i="1"/>
  <c r="D119" i="1"/>
  <c r="BD118" i="1"/>
  <c r="BC118" i="1"/>
  <c r="BB118" i="1"/>
  <c r="AY118" i="1"/>
  <c r="AX118" i="1"/>
  <c r="AV118" i="1"/>
  <c r="AR118" i="1"/>
  <c r="AQ118" i="1"/>
  <c r="AN118" i="1"/>
  <c r="AM118" i="1"/>
  <c r="AK118" i="1"/>
  <c r="AG118" i="1"/>
  <c r="AF118" i="1"/>
  <c r="AC118" i="1"/>
  <c r="AB118" i="1"/>
  <c r="AD118" i="1" s="1"/>
  <c r="Z118" i="1"/>
  <c r="W118" i="1"/>
  <c r="V118" i="1"/>
  <c r="U118" i="1"/>
  <c r="R118" i="1"/>
  <c r="S118" i="1" s="1"/>
  <c r="Q118" i="1"/>
  <c r="O118" i="1"/>
  <c r="K118" i="1"/>
  <c r="J118" i="1"/>
  <c r="G118" i="1"/>
  <c r="F118" i="1"/>
  <c r="D118" i="1"/>
  <c r="BD116" i="1"/>
  <c r="AZ116" i="1"/>
  <c r="AV116" i="1"/>
  <c r="AS116" i="1"/>
  <c r="AO116" i="1"/>
  <c r="AK116" i="1"/>
  <c r="AH116" i="1"/>
  <c r="AD116" i="1"/>
  <c r="Z116" i="1"/>
  <c r="W116" i="1"/>
  <c r="S116" i="1"/>
  <c r="O116" i="1"/>
  <c r="L116" i="1"/>
  <c r="H116" i="1"/>
  <c r="D116" i="1"/>
  <c r="BB114" i="1"/>
  <c r="AX114" i="1"/>
  <c r="AV114" i="1"/>
  <c r="AQ114" i="1"/>
  <c r="AM114" i="1"/>
  <c r="AK114" i="1"/>
  <c r="Z114" i="1"/>
  <c r="O114" i="1"/>
  <c r="D114" i="1"/>
  <c r="BD105" i="1"/>
  <c r="AZ105" i="1"/>
  <c r="BD104" i="1"/>
  <c r="AZ104" i="1"/>
  <c r="BD103" i="1"/>
  <c r="AZ103" i="1"/>
  <c r="L103" i="1"/>
  <c r="H103" i="1"/>
  <c r="BD102" i="1"/>
  <c r="AZ102" i="1"/>
  <c r="AG102" i="1"/>
  <c r="AH102" i="1" s="1"/>
  <c r="AF102" i="1"/>
  <c r="AC102" i="1"/>
  <c r="AD102" i="1" s="1"/>
  <c r="AB102" i="1"/>
  <c r="Z102" i="1"/>
  <c r="W102" i="1"/>
  <c r="S102" i="1"/>
  <c r="K102" i="1"/>
  <c r="J102" i="1"/>
  <c r="G102" i="1"/>
  <c r="F102" i="1"/>
  <c r="D102" i="1"/>
  <c r="BD101" i="1"/>
  <c r="AZ101" i="1"/>
  <c r="AS101" i="1"/>
  <c r="AO101" i="1"/>
  <c r="AG101" i="1"/>
  <c r="AF101" i="1"/>
  <c r="AC101" i="1"/>
  <c r="AB101" i="1"/>
  <c r="Z101" i="1"/>
  <c r="W101" i="1"/>
  <c r="S101" i="1"/>
  <c r="K101" i="1"/>
  <c r="J101" i="1"/>
  <c r="G101" i="1"/>
  <c r="F101" i="1"/>
  <c r="H101" i="1" s="1"/>
  <c r="D101" i="1"/>
  <c r="BC100" i="1"/>
  <c r="BD100" i="1" s="1"/>
  <c r="BB100" i="1"/>
  <c r="AY100" i="1"/>
  <c r="AZ100" i="1" s="1"/>
  <c r="AX100" i="1"/>
  <c r="AV100" i="1"/>
  <c r="AR100" i="1"/>
  <c r="AS100" i="1" s="1"/>
  <c r="AQ100" i="1"/>
  <c r="AN100" i="1"/>
  <c r="AO100" i="1" s="1"/>
  <c r="AM100" i="1"/>
  <c r="AK100" i="1"/>
  <c r="AG100" i="1"/>
  <c r="AF100" i="1"/>
  <c r="AC100" i="1"/>
  <c r="AB100" i="1"/>
  <c r="Z100" i="1"/>
  <c r="V100" i="1"/>
  <c r="W100" i="1" s="1"/>
  <c r="U100" i="1"/>
  <c r="S100" i="1"/>
  <c r="R100" i="1"/>
  <c r="Q100" i="1"/>
  <c r="O100" i="1"/>
  <c r="K100" i="1"/>
  <c r="J100" i="1"/>
  <c r="L100" i="1" s="1"/>
  <c r="G100" i="1"/>
  <c r="F100" i="1"/>
  <c r="D100" i="1"/>
  <c r="BD99" i="1"/>
  <c r="AZ99" i="1"/>
  <c r="BD98" i="1"/>
  <c r="AZ98" i="1"/>
  <c r="BD97" i="1"/>
  <c r="AZ97" i="1"/>
  <c r="W97" i="1"/>
  <c r="S97" i="1"/>
  <c r="BD96" i="1"/>
  <c r="AZ96" i="1"/>
  <c r="AG96" i="1"/>
  <c r="AF96" i="1"/>
  <c r="AC96" i="1"/>
  <c r="AB96" i="1"/>
  <c r="Z96" i="1"/>
  <c r="W96" i="1"/>
  <c r="S96" i="1"/>
  <c r="K96" i="1"/>
  <c r="J96" i="1"/>
  <c r="G96" i="1"/>
  <c r="F96" i="1"/>
  <c r="D96" i="1"/>
  <c r="BC95" i="1"/>
  <c r="BB95" i="1"/>
  <c r="AY95" i="1"/>
  <c r="AX95" i="1"/>
  <c r="AV95" i="1"/>
  <c r="AR95" i="1"/>
  <c r="AS95" i="1" s="1"/>
  <c r="AQ95" i="1"/>
  <c r="AN95" i="1"/>
  <c r="AM95" i="1"/>
  <c r="AK95" i="1"/>
  <c r="AG95" i="1"/>
  <c r="AF95" i="1"/>
  <c r="AC95" i="1"/>
  <c r="AD95" i="1" s="1"/>
  <c r="AB95" i="1"/>
  <c r="Z95" i="1"/>
  <c r="V95" i="1"/>
  <c r="U95" i="1"/>
  <c r="R95" i="1"/>
  <c r="Q95" i="1"/>
  <c r="O95" i="1"/>
  <c r="K95" i="1"/>
  <c r="L95" i="1" s="1"/>
  <c r="J95" i="1"/>
  <c r="G95" i="1"/>
  <c r="F95" i="1"/>
  <c r="H95" i="1" s="1"/>
  <c r="D95" i="1"/>
  <c r="BC94" i="1"/>
  <c r="BB94" i="1"/>
  <c r="AY94" i="1"/>
  <c r="AX94" i="1"/>
  <c r="AV94" i="1"/>
  <c r="AR94" i="1"/>
  <c r="AQ94" i="1"/>
  <c r="AN94" i="1"/>
  <c r="AM94" i="1"/>
  <c r="AK94" i="1"/>
  <c r="AG94" i="1"/>
  <c r="AF94" i="1"/>
  <c r="AC94" i="1"/>
  <c r="AB94" i="1"/>
  <c r="Z94" i="1"/>
  <c r="V94" i="1"/>
  <c r="U94" i="1"/>
  <c r="R94" i="1"/>
  <c r="Q94" i="1"/>
  <c r="O94" i="1"/>
  <c r="K94" i="1"/>
  <c r="J94" i="1"/>
  <c r="L94" i="1" s="1"/>
  <c r="G94" i="1"/>
  <c r="F94" i="1"/>
  <c r="D94" i="1"/>
  <c r="BD93" i="1"/>
  <c r="AZ93" i="1"/>
  <c r="BD92" i="1"/>
  <c r="AZ92" i="1"/>
  <c r="BD91" i="1"/>
  <c r="AZ91" i="1"/>
  <c r="BD90" i="1"/>
  <c r="AZ90" i="1"/>
  <c r="BD89" i="1"/>
  <c r="AZ89" i="1"/>
  <c r="AG89" i="1"/>
  <c r="AF89" i="1"/>
  <c r="AC89" i="1"/>
  <c r="AD89" i="1" s="1"/>
  <c r="AB89" i="1"/>
  <c r="Z89" i="1"/>
  <c r="W89" i="1"/>
  <c r="S89" i="1"/>
  <c r="K89" i="1"/>
  <c r="J89" i="1"/>
  <c r="G89" i="1"/>
  <c r="F89" i="1"/>
  <c r="D89" i="1"/>
  <c r="BC88" i="1"/>
  <c r="BD88" i="1" s="1"/>
  <c r="BB88" i="1"/>
  <c r="AY88" i="1"/>
  <c r="AZ88" i="1" s="1"/>
  <c r="AX88" i="1"/>
  <c r="AV88" i="1"/>
  <c r="AR88" i="1"/>
  <c r="AS88" i="1" s="1"/>
  <c r="AQ88" i="1"/>
  <c r="AN88" i="1"/>
  <c r="AO88" i="1" s="1"/>
  <c r="AM88" i="1"/>
  <c r="AK88" i="1"/>
  <c r="AG88" i="1"/>
  <c r="AH88" i="1" s="1"/>
  <c r="AF88" i="1"/>
  <c r="AC88" i="1"/>
  <c r="AD88" i="1" s="1"/>
  <c r="AB88" i="1"/>
  <c r="Z88" i="1"/>
  <c r="V88" i="1"/>
  <c r="W88" i="1" s="1"/>
  <c r="U88" i="1"/>
  <c r="R88" i="1"/>
  <c r="S88" i="1" s="1"/>
  <c r="Q88" i="1"/>
  <c r="O88" i="1"/>
  <c r="K88" i="1"/>
  <c r="L88" i="1" s="1"/>
  <c r="J88" i="1"/>
  <c r="G88" i="1"/>
  <c r="H88" i="1" s="1"/>
  <c r="F88" i="1"/>
  <c r="D88" i="1"/>
  <c r="AV87" i="1"/>
  <c r="AK87" i="1"/>
  <c r="Z87" i="1"/>
  <c r="O87" i="1"/>
  <c r="D87" i="1"/>
  <c r="BD86" i="1"/>
  <c r="AZ86" i="1"/>
  <c r="AV86" i="1"/>
  <c r="AS86" i="1"/>
  <c r="AO86" i="1"/>
  <c r="AK86" i="1"/>
  <c r="AH86" i="1"/>
  <c r="AD86" i="1"/>
  <c r="Z86" i="1"/>
  <c r="W86" i="1"/>
  <c r="S86" i="1"/>
  <c r="O86" i="1"/>
  <c r="L86" i="1"/>
  <c r="H86" i="1"/>
  <c r="D86" i="1"/>
  <c r="K80" i="1"/>
  <c r="L80" i="1" s="1"/>
  <c r="J80" i="1"/>
  <c r="G80" i="1"/>
  <c r="H80" i="1" s="1"/>
  <c r="F80" i="1"/>
  <c r="D80" i="1"/>
  <c r="K79" i="1"/>
  <c r="J79" i="1"/>
  <c r="G79" i="1"/>
  <c r="F79" i="1"/>
  <c r="D79" i="1"/>
  <c r="K78" i="1"/>
  <c r="L78" i="1" s="1"/>
  <c r="J78" i="1"/>
  <c r="G78" i="1"/>
  <c r="F78" i="1"/>
  <c r="D78" i="1"/>
  <c r="K77" i="1"/>
  <c r="J77" i="1"/>
  <c r="G77" i="1"/>
  <c r="F77" i="1"/>
  <c r="D77" i="1"/>
  <c r="K76" i="1"/>
  <c r="J76" i="1"/>
  <c r="G76" i="1"/>
  <c r="F76" i="1"/>
  <c r="D76" i="1"/>
  <c r="K75" i="1"/>
  <c r="J75" i="1"/>
  <c r="G75" i="1"/>
  <c r="F75" i="1"/>
  <c r="D75" i="1"/>
  <c r="K74" i="1"/>
  <c r="J74" i="1"/>
  <c r="G74" i="1"/>
  <c r="F74" i="1"/>
  <c r="D74" i="1"/>
  <c r="K73" i="1"/>
  <c r="J73" i="1"/>
  <c r="G73" i="1"/>
  <c r="F73" i="1"/>
  <c r="D73" i="1"/>
  <c r="Z72" i="1"/>
  <c r="K72" i="1"/>
  <c r="J72" i="1"/>
  <c r="G72" i="1"/>
  <c r="F72" i="1"/>
  <c r="D72" i="1"/>
  <c r="AG71" i="1"/>
  <c r="AF71" i="1"/>
  <c r="AC71" i="1"/>
  <c r="AB71" i="1"/>
  <c r="Z71" i="1"/>
  <c r="O71" i="1"/>
  <c r="D71" i="1"/>
  <c r="AG70" i="1"/>
  <c r="AF70" i="1"/>
  <c r="AC70" i="1"/>
  <c r="AD70" i="1" s="1"/>
  <c r="AB70" i="1"/>
  <c r="Z70" i="1"/>
  <c r="V70" i="1"/>
  <c r="U70" i="1"/>
  <c r="R70" i="1"/>
  <c r="Q70" i="1"/>
  <c r="O70" i="1"/>
  <c r="K70" i="1"/>
  <c r="J70" i="1"/>
  <c r="G70" i="1"/>
  <c r="F70" i="1"/>
  <c r="D70" i="1"/>
  <c r="AG69" i="1"/>
  <c r="AH69" i="1" s="1"/>
  <c r="AF69" i="1"/>
  <c r="AC69" i="1"/>
  <c r="AB69" i="1"/>
  <c r="Z69" i="1"/>
  <c r="V69" i="1"/>
  <c r="U69" i="1"/>
  <c r="R69" i="1"/>
  <c r="Q69" i="1"/>
  <c r="O69" i="1"/>
  <c r="K69" i="1"/>
  <c r="J69" i="1"/>
  <c r="G69" i="1"/>
  <c r="F69" i="1"/>
  <c r="D69" i="1"/>
  <c r="AG68" i="1"/>
  <c r="AF68" i="1"/>
  <c r="AC68" i="1"/>
  <c r="AB68" i="1"/>
  <c r="Z68" i="1"/>
  <c r="V68" i="1"/>
  <c r="U68" i="1"/>
  <c r="R68" i="1"/>
  <c r="S68" i="1" s="1"/>
  <c r="Q68" i="1"/>
  <c r="O68" i="1"/>
  <c r="K68" i="1"/>
  <c r="J68" i="1"/>
  <c r="G68" i="1"/>
  <c r="F68" i="1"/>
  <c r="D68" i="1"/>
  <c r="AG67" i="1"/>
  <c r="AF67" i="1"/>
  <c r="AC67" i="1"/>
  <c r="AC72" i="1" s="1"/>
  <c r="AB67" i="1"/>
  <c r="Z67" i="1"/>
  <c r="V67" i="1"/>
  <c r="W67" i="1" s="1"/>
  <c r="U67" i="1"/>
  <c r="R67" i="1"/>
  <c r="Q67" i="1"/>
  <c r="O67" i="1"/>
  <c r="K67" i="1"/>
  <c r="J67" i="1"/>
  <c r="G67" i="1"/>
  <c r="F67" i="1"/>
  <c r="D67" i="1"/>
  <c r="Z66" i="1"/>
  <c r="V66" i="1"/>
  <c r="U66" i="1"/>
  <c r="R66" i="1"/>
  <c r="Q66" i="1"/>
  <c r="O66" i="1"/>
  <c r="K66" i="1"/>
  <c r="J66" i="1"/>
  <c r="G66" i="1"/>
  <c r="F66" i="1"/>
  <c r="D66" i="1"/>
  <c r="AG65" i="1"/>
  <c r="AH65" i="1" s="1"/>
  <c r="AF65" i="1"/>
  <c r="AC65" i="1"/>
  <c r="AB65" i="1"/>
  <c r="AD65" i="1" s="1"/>
  <c r="Z65" i="1"/>
  <c r="O65" i="1"/>
  <c r="D65" i="1"/>
  <c r="AG64" i="1"/>
  <c r="AF64" i="1"/>
  <c r="AC64" i="1"/>
  <c r="AB64" i="1"/>
  <c r="Z64" i="1"/>
  <c r="V64" i="1"/>
  <c r="W64" i="1" s="1"/>
  <c r="U64" i="1"/>
  <c r="R64" i="1"/>
  <c r="Q64" i="1"/>
  <c r="O64" i="1"/>
  <c r="K64" i="1"/>
  <c r="L64" i="1" s="1"/>
  <c r="J64" i="1"/>
  <c r="G64" i="1"/>
  <c r="F64" i="1"/>
  <c r="D64" i="1"/>
  <c r="AG63" i="1"/>
  <c r="AF63" i="1"/>
  <c r="AC63" i="1"/>
  <c r="AB63" i="1"/>
  <c r="Z63" i="1"/>
  <c r="V63" i="1"/>
  <c r="U63" i="1"/>
  <c r="R63" i="1"/>
  <c r="Q63" i="1"/>
  <c r="O63" i="1"/>
  <c r="K63" i="1"/>
  <c r="L63" i="1" s="1"/>
  <c r="J63" i="1"/>
  <c r="G63" i="1"/>
  <c r="F63" i="1"/>
  <c r="D63" i="1"/>
  <c r="AG62" i="1"/>
  <c r="AF62" i="1"/>
  <c r="AC62" i="1"/>
  <c r="AB62" i="1"/>
  <c r="Z62" i="1"/>
  <c r="V62" i="1"/>
  <c r="U62" i="1"/>
  <c r="R62" i="1"/>
  <c r="Q62" i="1"/>
  <c r="O62" i="1"/>
  <c r="K62" i="1"/>
  <c r="J62" i="1"/>
  <c r="G62" i="1"/>
  <c r="H62" i="1" s="1"/>
  <c r="F62" i="1"/>
  <c r="D62" i="1"/>
  <c r="AG61" i="1"/>
  <c r="AH61" i="1" s="1"/>
  <c r="AF61" i="1"/>
  <c r="AF66" i="1" s="1"/>
  <c r="AC61" i="1"/>
  <c r="AB61" i="1"/>
  <c r="Z61" i="1"/>
  <c r="V61" i="1"/>
  <c r="U61" i="1"/>
  <c r="R61" i="1"/>
  <c r="Q61" i="1"/>
  <c r="O61" i="1"/>
  <c r="K61" i="1"/>
  <c r="J61" i="1"/>
  <c r="L61" i="1" s="1"/>
  <c r="G61" i="1"/>
  <c r="F61" i="1"/>
  <c r="D61" i="1"/>
  <c r="AG60" i="1"/>
  <c r="AF60" i="1"/>
  <c r="AC60" i="1"/>
  <c r="AB60" i="1"/>
  <c r="AD60" i="1" s="1"/>
  <c r="Z60" i="1"/>
  <c r="V60" i="1"/>
  <c r="V65" i="1" s="1"/>
  <c r="U60" i="1"/>
  <c r="W60" i="1" s="1"/>
  <c r="R60" i="1"/>
  <c r="S60" i="1" s="1"/>
  <c r="Q60" i="1"/>
  <c r="O60" i="1"/>
  <c r="K60" i="1"/>
  <c r="J60" i="1"/>
  <c r="G60" i="1"/>
  <c r="F60" i="1"/>
  <c r="D60" i="1"/>
  <c r="AG59" i="1"/>
  <c r="AF59" i="1"/>
  <c r="AC59" i="1"/>
  <c r="AB59" i="1"/>
  <c r="Z59" i="1"/>
  <c r="V59" i="1"/>
  <c r="U59" i="1"/>
  <c r="R59" i="1"/>
  <c r="S59" i="1" s="1"/>
  <c r="Q59" i="1"/>
  <c r="O59" i="1"/>
  <c r="K59" i="1"/>
  <c r="J59" i="1"/>
  <c r="G59" i="1"/>
  <c r="F59" i="1"/>
  <c r="D59" i="1"/>
  <c r="AK58" i="1"/>
  <c r="AG58" i="1"/>
  <c r="AF58" i="1"/>
  <c r="AD58" i="1"/>
  <c r="AC58" i="1"/>
  <c r="AB58" i="1"/>
  <c r="Z58" i="1"/>
  <c r="V58" i="1"/>
  <c r="U58" i="1"/>
  <c r="R58" i="1"/>
  <c r="Q58" i="1"/>
  <c r="O58" i="1"/>
  <c r="K58" i="1"/>
  <c r="J58" i="1"/>
  <c r="G58" i="1"/>
  <c r="F58" i="1"/>
  <c r="D58" i="1"/>
  <c r="AV57" i="1"/>
  <c r="AR57" i="1"/>
  <c r="AQ57" i="1"/>
  <c r="AN57" i="1"/>
  <c r="AM57" i="1"/>
  <c r="AK57" i="1"/>
  <c r="AG57" i="1"/>
  <c r="AF57" i="1"/>
  <c r="AC57" i="1"/>
  <c r="AB57" i="1"/>
  <c r="Z57" i="1"/>
  <c r="V57" i="1"/>
  <c r="U57" i="1"/>
  <c r="R57" i="1"/>
  <c r="Q57" i="1"/>
  <c r="O57" i="1"/>
  <c r="K57" i="1"/>
  <c r="J57" i="1"/>
  <c r="G57" i="1"/>
  <c r="F57" i="1"/>
  <c r="D57" i="1"/>
  <c r="BC56" i="1"/>
  <c r="BB56" i="1"/>
  <c r="AY56" i="1"/>
  <c r="AY57" i="1" s="1"/>
  <c r="AX56" i="1"/>
  <c r="AV56" i="1"/>
  <c r="AK56" i="1"/>
  <c r="AG56" i="1"/>
  <c r="AF56" i="1"/>
  <c r="AC56" i="1"/>
  <c r="AB56" i="1"/>
  <c r="Z56" i="1"/>
  <c r="V56" i="1"/>
  <c r="U56" i="1"/>
  <c r="R56" i="1"/>
  <c r="S56" i="1" s="1"/>
  <c r="Q56" i="1"/>
  <c r="O56" i="1"/>
  <c r="K56" i="1"/>
  <c r="J56" i="1"/>
  <c r="L56" i="1" s="1"/>
  <c r="G56" i="1"/>
  <c r="F56" i="1"/>
  <c r="D56" i="1"/>
  <c r="AV55" i="1"/>
  <c r="AR55" i="1"/>
  <c r="AQ55" i="1"/>
  <c r="AQ56" i="1" s="1"/>
  <c r="AN55" i="1"/>
  <c r="AM55" i="1"/>
  <c r="AK55" i="1"/>
  <c r="AG55" i="1"/>
  <c r="AH55" i="1" s="1"/>
  <c r="AF55" i="1"/>
  <c r="AC55" i="1"/>
  <c r="AD55" i="1" s="1"/>
  <c r="AB55" i="1"/>
  <c r="Z55" i="1"/>
  <c r="V55" i="1"/>
  <c r="U55" i="1"/>
  <c r="R55" i="1"/>
  <c r="Q55" i="1"/>
  <c r="O55" i="1"/>
  <c r="K55" i="1"/>
  <c r="J55" i="1"/>
  <c r="G55" i="1"/>
  <c r="F55" i="1"/>
  <c r="D55" i="1"/>
  <c r="BC54" i="1"/>
  <c r="BC55" i="1" s="1"/>
  <c r="BB54" i="1"/>
  <c r="AY54" i="1"/>
  <c r="AX54" i="1"/>
  <c r="AX55" i="1" s="1"/>
  <c r="AV54" i="1"/>
  <c r="AR54" i="1"/>
  <c r="AQ54" i="1"/>
  <c r="AN54" i="1"/>
  <c r="AM54" i="1"/>
  <c r="AK54" i="1"/>
  <c r="AG54" i="1"/>
  <c r="AF54" i="1"/>
  <c r="AC54" i="1"/>
  <c r="AB54" i="1"/>
  <c r="Z54" i="1"/>
  <c r="V54" i="1"/>
  <c r="U54" i="1"/>
  <c r="R54" i="1"/>
  <c r="Q54" i="1"/>
  <c r="O54" i="1"/>
  <c r="K54" i="1"/>
  <c r="L54" i="1" s="1"/>
  <c r="J54" i="1"/>
  <c r="G54" i="1"/>
  <c r="F54" i="1"/>
  <c r="D54" i="1"/>
  <c r="BC53" i="1"/>
  <c r="BB53" i="1"/>
  <c r="AY53" i="1"/>
  <c r="AX53" i="1"/>
  <c r="AV53" i="1"/>
  <c r="AR53" i="1"/>
  <c r="AQ53" i="1"/>
  <c r="AN53" i="1"/>
  <c r="AM53" i="1"/>
  <c r="AK53" i="1"/>
  <c r="AG53" i="1"/>
  <c r="AF53" i="1"/>
  <c r="AC53" i="1"/>
  <c r="AB53" i="1"/>
  <c r="AD53" i="1" s="1"/>
  <c r="Z53" i="1"/>
  <c r="V53" i="1"/>
  <c r="U53" i="1"/>
  <c r="W53" i="1" s="1"/>
  <c r="R53" i="1"/>
  <c r="Q53" i="1"/>
  <c r="O53" i="1"/>
  <c r="K53" i="1"/>
  <c r="J53" i="1"/>
  <c r="G53" i="1"/>
  <c r="H53" i="1" s="1"/>
  <c r="F53" i="1"/>
  <c r="D53" i="1"/>
  <c r="BC52" i="1"/>
  <c r="BB52" i="1"/>
  <c r="AY52" i="1"/>
  <c r="AX52" i="1"/>
  <c r="AV52" i="1"/>
  <c r="AR52" i="1"/>
  <c r="AS52" i="1" s="1"/>
  <c r="AQ52" i="1"/>
  <c r="AN52" i="1"/>
  <c r="AO52" i="1" s="1"/>
  <c r="AM52" i="1"/>
  <c r="AK52" i="1"/>
  <c r="AG52" i="1"/>
  <c r="AF52" i="1"/>
  <c r="AC52" i="1"/>
  <c r="AD52" i="1" s="1"/>
  <c r="AB52" i="1"/>
  <c r="Z52" i="1"/>
  <c r="V52" i="1"/>
  <c r="U52" i="1"/>
  <c r="R52" i="1"/>
  <c r="Q52" i="1"/>
  <c r="O52" i="1"/>
  <c r="K52" i="1"/>
  <c r="J52" i="1"/>
  <c r="G52" i="1"/>
  <c r="F52" i="1"/>
  <c r="D52" i="1"/>
  <c r="BC51" i="1"/>
  <c r="BB51" i="1"/>
  <c r="AY51" i="1"/>
  <c r="AX51" i="1"/>
  <c r="AV51" i="1"/>
  <c r="AR51" i="1"/>
  <c r="AQ51" i="1"/>
  <c r="AN51" i="1"/>
  <c r="AM51" i="1"/>
  <c r="AK51" i="1"/>
  <c r="AG51" i="1"/>
  <c r="AF51" i="1"/>
  <c r="AH51" i="1" s="1"/>
  <c r="AC51" i="1"/>
  <c r="AD51" i="1" s="1"/>
  <c r="AB51" i="1"/>
  <c r="Z51" i="1"/>
  <c r="V51" i="1"/>
  <c r="U51" i="1"/>
  <c r="R51" i="1"/>
  <c r="Q51" i="1"/>
  <c r="O51" i="1"/>
  <c r="K51" i="1"/>
  <c r="J51" i="1"/>
  <c r="G51" i="1"/>
  <c r="F51" i="1"/>
  <c r="D51" i="1"/>
  <c r="BC50" i="1"/>
  <c r="BB50" i="1"/>
  <c r="AY50" i="1"/>
  <c r="AZ50" i="1" s="1"/>
  <c r="AX50" i="1"/>
  <c r="AV50" i="1"/>
  <c r="AR50" i="1"/>
  <c r="AS50" i="1" s="1"/>
  <c r="AQ50" i="1"/>
  <c r="AN50" i="1"/>
  <c r="AM50" i="1"/>
  <c r="AK50" i="1"/>
  <c r="AG50" i="1"/>
  <c r="AF50" i="1"/>
  <c r="AC50" i="1"/>
  <c r="AB50" i="1"/>
  <c r="Z50" i="1"/>
  <c r="V50" i="1"/>
  <c r="U50" i="1"/>
  <c r="R50" i="1"/>
  <c r="Q50" i="1"/>
  <c r="O50" i="1"/>
  <c r="K50" i="1"/>
  <c r="J50" i="1"/>
  <c r="G50" i="1"/>
  <c r="F50" i="1"/>
  <c r="D50" i="1"/>
  <c r="AV49" i="1"/>
  <c r="AK49" i="1"/>
  <c r="Z49" i="1"/>
  <c r="O49" i="1"/>
  <c r="D49" i="1"/>
  <c r="BD48" i="1"/>
  <c r="AZ48" i="1"/>
  <c r="AS48" i="1"/>
  <c r="AO48" i="1"/>
  <c r="AH48" i="1"/>
  <c r="AD48" i="1"/>
  <c r="W48" i="1"/>
  <c r="S48" i="1"/>
  <c r="L48" i="1"/>
  <c r="H48" i="1"/>
  <c r="Z46" i="1"/>
  <c r="O46" i="1"/>
  <c r="D46" i="1"/>
  <c r="AG45" i="1"/>
  <c r="AF45" i="1"/>
  <c r="AC45" i="1"/>
  <c r="AB45" i="1"/>
  <c r="AD45" i="1" s="1"/>
  <c r="Z45" i="1"/>
  <c r="V45" i="1"/>
  <c r="U45" i="1"/>
  <c r="R45" i="1"/>
  <c r="Q45" i="1"/>
  <c r="O45" i="1"/>
  <c r="K45" i="1"/>
  <c r="L45" i="1" s="1"/>
  <c r="J45" i="1"/>
  <c r="G45" i="1"/>
  <c r="F45" i="1"/>
  <c r="D45" i="1"/>
  <c r="AG44" i="1"/>
  <c r="AF44" i="1"/>
  <c r="AH44" i="1" s="1"/>
  <c r="AC44" i="1"/>
  <c r="AB44" i="1"/>
  <c r="Z44" i="1"/>
  <c r="V44" i="1"/>
  <c r="U44" i="1"/>
  <c r="R44" i="1"/>
  <c r="S44" i="1" s="1"/>
  <c r="Q44" i="1"/>
  <c r="O44" i="1"/>
  <c r="K44" i="1"/>
  <c r="J44" i="1"/>
  <c r="G44" i="1"/>
  <c r="F44" i="1"/>
  <c r="D44" i="1"/>
  <c r="AG43" i="1"/>
  <c r="AH43" i="1" s="1"/>
  <c r="AF43" i="1"/>
  <c r="AC43" i="1"/>
  <c r="AD43" i="1" s="1"/>
  <c r="AB43" i="1"/>
  <c r="Z43" i="1"/>
  <c r="V43" i="1"/>
  <c r="U43" i="1"/>
  <c r="R43" i="1"/>
  <c r="Q43" i="1"/>
  <c r="O43" i="1"/>
  <c r="K43" i="1"/>
  <c r="J43" i="1"/>
  <c r="G43" i="1"/>
  <c r="F43" i="1"/>
  <c r="D43" i="1"/>
  <c r="AG42" i="1"/>
  <c r="AF42" i="1"/>
  <c r="AC42" i="1"/>
  <c r="AB42" i="1"/>
  <c r="Z42" i="1"/>
  <c r="V42" i="1"/>
  <c r="W42" i="1" s="1"/>
  <c r="U42" i="1"/>
  <c r="R42" i="1"/>
  <c r="S42" i="1" s="1"/>
  <c r="Q42" i="1"/>
  <c r="O42" i="1"/>
  <c r="K42" i="1"/>
  <c r="J42" i="1"/>
  <c r="G42" i="1"/>
  <c r="F42" i="1"/>
  <c r="D42" i="1"/>
  <c r="AG41" i="1"/>
  <c r="AF41" i="1"/>
  <c r="AC41" i="1"/>
  <c r="AB41" i="1"/>
  <c r="Z41" i="1"/>
  <c r="V41" i="1"/>
  <c r="U41" i="1"/>
  <c r="R41" i="1"/>
  <c r="Q41" i="1"/>
  <c r="Q46" i="1" s="1"/>
  <c r="O41" i="1"/>
  <c r="K41" i="1"/>
  <c r="J41" i="1"/>
  <c r="G41" i="1"/>
  <c r="F41" i="1"/>
  <c r="D41" i="1"/>
  <c r="Z40" i="1"/>
  <c r="O40" i="1"/>
  <c r="D40" i="1"/>
  <c r="AG39" i="1"/>
  <c r="AF39" i="1"/>
  <c r="AH39" i="1" s="1"/>
  <c r="AC39" i="1"/>
  <c r="AB39" i="1"/>
  <c r="AD39" i="1" s="1"/>
  <c r="Z39" i="1"/>
  <c r="V39" i="1"/>
  <c r="U39" i="1"/>
  <c r="R39" i="1"/>
  <c r="S39" i="1" s="1"/>
  <c r="Q39" i="1"/>
  <c r="O39" i="1"/>
  <c r="K39" i="1"/>
  <c r="J39" i="1"/>
  <c r="G39" i="1"/>
  <c r="F39" i="1"/>
  <c r="D39" i="1"/>
  <c r="AG38" i="1"/>
  <c r="AH38" i="1" s="1"/>
  <c r="AF38" i="1"/>
  <c r="AC38" i="1"/>
  <c r="AB38" i="1"/>
  <c r="Z38" i="1"/>
  <c r="V38" i="1"/>
  <c r="U38" i="1"/>
  <c r="R38" i="1"/>
  <c r="S38" i="1" s="1"/>
  <c r="Q38" i="1"/>
  <c r="O38" i="1"/>
  <c r="K38" i="1"/>
  <c r="J38" i="1"/>
  <c r="G38" i="1"/>
  <c r="H38" i="1" s="1"/>
  <c r="F38" i="1"/>
  <c r="D38" i="1"/>
  <c r="AG37" i="1"/>
  <c r="AF37" i="1"/>
  <c r="AC37" i="1"/>
  <c r="AD37" i="1" s="1"/>
  <c r="AB37" i="1"/>
  <c r="Z37" i="1"/>
  <c r="V37" i="1"/>
  <c r="U37" i="1"/>
  <c r="R37" i="1"/>
  <c r="Q37" i="1"/>
  <c r="O37" i="1"/>
  <c r="K37" i="1"/>
  <c r="J37" i="1"/>
  <c r="G37" i="1"/>
  <c r="F37" i="1"/>
  <c r="H37" i="1" s="1"/>
  <c r="D37" i="1"/>
  <c r="AG36" i="1"/>
  <c r="AH36" i="1" s="1"/>
  <c r="AF36" i="1"/>
  <c r="AC36" i="1"/>
  <c r="AB36" i="1"/>
  <c r="Z36" i="1"/>
  <c r="V36" i="1"/>
  <c r="U36" i="1"/>
  <c r="W36" i="1" s="1"/>
  <c r="R36" i="1"/>
  <c r="Q36" i="1"/>
  <c r="O36" i="1"/>
  <c r="K36" i="1"/>
  <c r="J36" i="1"/>
  <c r="G36" i="1"/>
  <c r="F36" i="1"/>
  <c r="D36" i="1"/>
  <c r="AG35" i="1"/>
  <c r="AF35" i="1"/>
  <c r="AC35" i="1"/>
  <c r="AB35" i="1"/>
  <c r="AD35" i="1" s="1"/>
  <c r="Z35" i="1"/>
  <c r="V35" i="1"/>
  <c r="U35" i="1"/>
  <c r="R35" i="1"/>
  <c r="R40" i="1" s="1"/>
  <c r="Q35" i="1"/>
  <c r="O35" i="1"/>
  <c r="K35" i="1"/>
  <c r="J35" i="1"/>
  <c r="G35" i="1"/>
  <c r="F35" i="1"/>
  <c r="F40" i="1" s="1"/>
  <c r="D35" i="1"/>
  <c r="AG34" i="1"/>
  <c r="AF34" i="1"/>
  <c r="AC34" i="1"/>
  <c r="AB34" i="1"/>
  <c r="Z34" i="1"/>
  <c r="V34" i="1"/>
  <c r="U34" i="1"/>
  <c r="W34" i="1" s="1"/>
  <c r="R34" i="1"/>
  <c r="Q34" i="1"/>
  <c r="O34" i="1"/>
  <c r="K34" i="1"/>
  <c r="J34" i="1"/>
  <c r="L34" i="1" s="1"/>
  <c r="G34" i="1"/>
  <c r="F34" i="1"/>
  <c r="D34" i="1"/>
  <c r="AG33" i="1"/>
  <c r="AF33" i="1"/>
  <c r="AC33" i="1"/>
  <c r="AB33" i="1"/>
  <c r="Z33" i="1"/>
  <c r="V33" i="1"/>
  <c r="U33" i="1"/>
  <c r="R33" i="1"/>
  <c r="Q33" i="1"/>
  <c r="S33" i="1" s="1"/>
  <c r="O33" i="1"/>
  <c r="K33" i="1"/>
  <c r="J33" i="1"/>
  <c r="G33" i="1"/>
  <c r="H33" i="1" s="1"/>
  <c r="F33" i="1"/>
  <c r="D33" i="1"/>
  <c r="AG32" i="1"/>
  <c r="AF32" i="1"/>
  <c r="AC32" i="1"/>
  <c r="AD32" i="1" s="1"/>
  <c r="AB32" i="1"/>
  <c r="Z32" i="1"/>
  <c r="V32" i="1"/>
  <c r="W32" i="1" s="1"/>
  <c r="U32" i="1"/>
  <c r="R32" i="1"/>
  <c r="Q32" i="1"/>
  <c r="O32" i="1"/>
  <c r="K32" i="1"/>
  <c r="J32" i="1"/>
  <c r="G32" i="1"/>
  <c r="F32" i="1"/>
  <c r="D32" i="1"/>
  <c r="AG31" i="1"/>
  <c r="AF31" i="1"/>
  <c r="AH31" i="1" s="1"/>
  <c r="AC31" i="1"/>
  <c r="AB31" i="1"/>
  <c r="Z31" i="1"/>
  <c r="V31" i="1"/>
  <c r="U31" i="1"/>
  <c r="R31" i="1"/>
  <c r="Q31" i="1"/>
  <c r="O31" i="1"/>
  <c r="K31" i="1"/>
  <c r="J31" i="1"/>
  <c r="G31" i="1"/>
  <c r="F31" i="1"/>
  <c r="D31" i="1"/>
  <c r="AG30" i="1"/>
  <c r="AH30" i="1" s="1"/>
  <c r="AF30" i="1"/>
  <c r="AC30" i="1"/>
  <c r="AB30" i="1"/>
  <c r="AD30" i="1" s="1"/>
  <c r="Z30" i="1"/>
  <c r="V30" i="1"/>
  <c r="U30" i="1"/>
  <c r="R30" i="1"/>
  <c r="S30" i="1" s="1"/>
  <c r="Q30" i="1"/>
  <c r="O30" i="1"/>
  <c r="K30" i="1"/>
  <c r="J30" i="1"/>
  <c r="G30" i="1"/>
  <c r="F30" i="1"/>
  <c r="D30" i="1"/>
  <c r="Z29" i="1"/>
  <c r="O29" i="1"/>
  <c r="D29" i="1"/>
  <c r="AH28" i="1"/>
  <c r="AD28" i="1"/>
  <c r="W28" i="1"/>
  <c r="S28" i="1"/>
  <c r="L28" i="1"/>
  <c r="H28" i="1"/>
  <c r="Z26" i="1"/>
  <c r="O26" i="1"/>
  <c r="G26" i="1"/>
  <c r="D26" i="1"/>
  <c r="AG25" i="1"/>
  <c r="AF25" i="1"/>
  <c r="AC25" i="1"/>
  <c r="AB25" i="1"/>
  <c r="Z25" i="1"/>
  <c r="V25" i="1"/>
  <c r="U25" i="1"/>
  <c r="R25" i="1"/>
  <c r="Q25" i="1"/>
  <c r="O25" i="1"/>
  <c r="K25" i="1"/>
  <c r="J25" i="1"/>
  <c r="G25" i="1"/>
  <c r="F25" i="1"/>
  <c r="H25" i="1" s="1"/>
  <c r="D25" i="1"/>
  <c r="AG24" i="1"/>
  <c r="AH24" i="1" s="1"/>
  <c r="AF24" i="1"/>
  <c r="AC24" i="1"/>
  <c r="AD24" i="1" s="1"/>
  <c r="AB24" i="1"/>
  <c r="Z24" i="1"/>
  <c r="V24" i="1"/>
  <c r="W24" i="1" s="1"/>
  <c r="U24" i="1"/>
  <c r="R24" i="1"/>
  <c r="S24" i="1" s="1"/>
  <c r="Q24" i="1"/>
  <c r="O24" i="1"/>
  <c r="K24" i="1"/>
  <c r="J24" i="1"/>
  <c r="G24" i="1"/>
  <c r="F24" i="1"/>
  <c r="D24" i="1"/>
  <c r="AG23" i="1"/>
  <c r="AF23" i="1"/>
  <c r="AC23" i="1"/>
  <c r="AB23" i="1"/>
  <c r="AD23" i="1" s="1"/>
  <c r="Z23" i="1"/>
  <c r="V23" i="1"/>
  <c r="U23" i="1"/>
  <c r="R23" i="1"/>
  <c r="Q23" i="1"/>
  <c r="S23" i="1" s="1"/>
  <c r="O23" i="1"/>
  <c r="K23" i="1"/>
  <c r="L23" i="1" s="1"/>
  <c r="J23" i="1"/>
  <c r="G23" i="1"/>
  <c r="F23" i="1"/>
  <c r="D23" i="1"/>
  <c r="AG22" i="1"/>
  <c r="AF22" i="1"/>
  <c r="AC22" i="1"/>
  <c r="AB22" i="1"/>
  <c r="Z22" i="1"/>
  <c r="V22" i="1"/>
  <c r="U22" i="1"/>
  <c r="R22" i="1"/>
  <c r="S22" i="1" s="1"/>
  <c r="Q22" i="1"/>
  <c r="O22" i="1"/>
  <c r="K22" i="1"/>
  <c r="J22" i="1"/>
  <c r="G22" i="1"/>
  <c r="H22" i="1" s="1"/>
  <c r="F22" i="1"/>
  <c r="D22" i="1"/>
  <c r="AG21" i="1"/>
  <c r="AF21" i="1"/>
  <c r="AC21" i="1"/>
  <c r="AC26" i="1" s="1"/>
  <c r="AB21" i="1"/>
  <c r="Z21" i="1"/>
  <c r="W21" i="1"/>
  <c r="V21" i="1"/>
  <c r="U21" i="1"/>
  <c r="R21" i="1"/>
  <c r="S21" i="1" s="1"/>
  <c r="Q21" i="1"/>
  <c r="O21" i="1"/>
  <c r="K21" i="1"/>
  <c r="J21" i="1"/>
  <c r="H21" i="1"/>
  <c r="G21" i="1"/>
  <c r="F21" i="1"/>
  <c r="D21" i="1"/>
  <c r="Z20" i="1"/>
  <c r="O20" i="1"/>
  <c r="D20" i="1"/>
  <c r="AG19" i="1"/>
  <c r="AF19" i="1"/>
  <c r="AC19" i="1"/>
  <c r="AB19" i="1"/>
  <c r="Z19" i="1"/>
  <c r="V19" i="1"/>
  <c r="U19" i="1"/>
  <c r="R19" i="1"/>
  <c r="Q19" i="1"/>
  <c r="O19" i="1"/>
  <c r="K19" i="1"/>
  <c r="J19" i="1"/>
  <c r="G19" i="1"/>
  <c r="F19" i="1"/>
  <c r="D19" i="1"/>
  <c r="AG18" i="1"/>
  <c r="AH18" i="1" s="1"/>
  <c r="AF18" i="1"/>
  <c r="AC18" i="1"/>
  <c r="AD18" i="1" s="1"/>
  <c r="AB18" i="1"/>
  <c r="Z18" i="1"/>
  <c r="V18" i="1"/>
  <c r="W18" i="1" s="1"/>
  <c r="U18" i="1"/>
  <c r="R18" i="1"/>
  <c r="Q18" i="1"/>
  <c r="O18" i="1"/>
  <c r="K18" i="1"/>
  <c r="J18" i="1"/>
  <c r="G18" i="1"/>
  <c r="F18" i="1"/>
  <c r="D18" i="1"/>
  <c r="AK17" i="1"/>
  <c r="AG17" i="1"/>
  <c r="AF17" i="1"/>
  <c r="AC17" i="1"/>
  <c r="AB17" i="1"/>
  <c r="Z17" i="1"/>
  <c r="V17" i="1"/>
  <c r="U17" i="1"/>
  <c r="W17" i="1" s="1"/>
  <c r="R17" i="1"/>
  <c r="Q17" i="1"/>
  <c r="S17" i="1" s="1"/>
  <c r="O17" i="1"/>
  <c r="K17" i="1"/>
  <c r="J17" i="1"/>
  <c r="G17" i="1"/>
  <c r="F17" i="1"/>
  <c r="D17" i="1"/>
  <c r="AV16" i="1"/>
  <c r="AR16" i="1"/>
  <c r="AQ16" i="1"/>
  <c r="AN16" i="1"/>
  <c r="AO16" i="1" s="1"/>
  <c r="AM16" i="1"/>
  <c r="AK16" i="1"/>
  <c r="AG16" i="1"/>
  <c r="AF16" i="1"/>
  <c r="AH16" i="1" s="1"/>
  <c r="AC16" i="1"/>
  <c r="AB16" i="1"/>
  <c r="Z16" i="1"/>
  <c r="V16" i="1"/>
  <c r="U16" i="1"/>
  <c r="R16" i="1"/>
  <c r="Q16" i="1"/>
  <c r="O16" i="1"/>
  <c r="K16" i="1"/>
  <c r="J16" i="1"/>
  <c r="G16" i="1"/>
  <c r="H16" i="1" s="1"/>
  <c r="F16" i="1"/>
  <c r="D16" i="1"/>
  <c r="BC15" i="1"/>
  <c r="BB15" i="1"/>
  <c r="BB16" i="1" s="1"/>
  <c r="AY15" i="1"/>
  <c r="AX15" i="1"/>
  <c r="AV15" i="1"/>
  <c r="AK15" i="1"/>
  <c r="AG15" i="1"/>
  <c r="AF15" i="1"/>
  <c r="AC15" i="1"/>
  <c r="AB15" i="1"/>
  <c r="Z15" i="1"/>
  <c r="V15" i="1"/>
  <c r="U15" i="1"/>
  <c r="R15" i="1"/>
  <c r="Q15" i="1"/>
  <c r="O15" i="1"/>
  <c r="K15" i="1"/>
  <c r="J15" i="1"/>
  <c r="G15" i="1"/>
  <c r="F15" i="1"/>
  <c r="D15" i="1"/>
  <c r="AV14" i="1"/>
  <c r="AR14" i="1"/>
  <c r="AQ14" i="1"/>
  <c r="AN14" i="1"/>
  <c r="AM14" i="1"/>
  <c r="AK14" i="1"/>
  <c r="AG14" i="1"/>
  <c r="AF14" i="1"/>
  <c r="AC14" i="1"/>
  <c r="AB14" i="1"/>
  <c r="Z14" i="1"/>
  <c r="V14" i="1"/>
  <c r="U14" i="1"/>
  <c r="W14" i="1" s="1"/>
  <c r="R14" i="1"/>
  <c r="S14" i="1" s="1"/>
  <c r="Q14" i="1"/>
  <c r="O14" i="1"/>
  <c r="K14" i="1"/>
  <c r="J14" i="1"/>
  <c r="L14" i="1" s="1"/>
  <c r="G14" i="1"/>
  <c r="F14" i="1"/>
  <c r="D14" i="1"/>
  <c r="BC13" i="1"/>
  <c r="BB13" i="1"/>
  <c r="AY13" i="1"/>
  <c r="AX13" i="1"/>
  <c r="AV13" i="1"/>
  <c r="AR13" i="1"/>
  <c r="AQ13" i="1"/>
  <c r="AS13" i="1" s="1"/>
  <c r="AO13" i="1"/>
  <c r="AN13" i="1"/>
  <c r="AM13" i="1"/>
  <c r="AK13" i="1"/>
  <c r="AG13" i="1"/>
  <c r="AF13" i="1"/>
  <c r="AC13" i="1"/>
  <c r="AB13" i="1"/>
  <c r="Z13" i="1"/>
  <c r="V13" i="1"/>
  <c r="W13" i="1" s="1"/>
  <c r="U13" i="1"/>
  <c r="R13" i="1"/>
  <c r="Q13" i="1"/>
  <c r="O13" i="1"/>
  <c r="K13" i="1"/>
  <c r="J13" i="1"/>
  <c r="G13" i="1"/>
  <c r="H13" i="1" s="1"/>
  <c r="F13" i="1"/>
  <c r="D13" i="1"/>
  <c r="BC12" i="1"/>
  <c r="BD12" i="1" s="1"/>
  <c r="BB12" i="1"/>
  <c r="AY12" i="1"/>
  <c r="AX12" i="1"/>
  <c r="AV12" i="1"/>
  <c r="AR12" i="1"/>
  <c r="AQ12" i="1"/>
  <c r="AN12" i="1"/>
  <c r="AM12" i="1"/>
  <c r="AK12" i="1"/>
  <c r="AG12" i="1"/>
  <c r="AF12" i="1"/>
  <c r="AC12" i="1"/>
  <c r="AB12" i="1"/>
  <c r="AD12" i="1" s="1"/>
  <c r="Z12" i="1"/>
  <c r="V12" i="1"/>
  <c r="U12" i="1"/>
  <c r="R12" i="1"/>
  <c r="Q12" i="1"/>
  <c r="O12" i="1"/>
  <c r="K12" i="1"/>
  <c r="J12" i="1"/>
  <c r="G12" i="1"/>
  <c r="F12" i="1"/>
  <c r="D12" i="1"/>
  <c r="BC11" i="1"/>
  <c r="BB11" i="1"/>
  <c r="AY11" i="1"/>
  <c r="AX11" i="1"/>
  <c r="AV11" i="1"/>
  <c r="AR11" i="1"/>
  <c r="AQ11" i="1"/>
  <c r="AN11" i="1"/>
  <c r="AO11" i="1" s="1"/>
  <c r="AM11" i="1"/>
  <c r="AK11" i="1"/>
  <c r="AG11" i="1"/>
  <c r="AF11" i="1"/>
  <c r="AC11" i="1"/>
  <c r="AB11" i="1"/>
  <c r="Z11" i="1"/>
  <c r="V11" i="1"/>
  <c r="U11" i="1"/>
  <c r="R11" i="1"/>
  <c r="Q11" i="1"/>
  <c r="O11" i="1"/>
  <c r="K11" i="1"/>
  <c r="J11" i="1"/>
  <c r="G11" i="1"/>
  <c r="F11" i="1"/>
  <c r="D11" i="1"/>
  <c r="BC10" i="1"/>
  <c r="BB10" i="1"/>
  <c r="AY10" i="1"/>
  <c r="AX10" i="1"/>
  <c r="AV10" i="1"/>
  <c r="AR10" i="1"/>
  <c r="AQ10" i="1"/>
  <c r="AN10" i="1"/>
  <c r="AM10" i="1"/>
  <c r="AM17" i="1" s="1"/>
  <c r="AK10" i="1"/>
  <c r="AG10" i="1"/>
  <c r="AF10" i="1"/>
  <c r="AC10" i="1"/>
  <c r="AB10" i="1"/>
  <c r="AD10" i="1" s="1"/>
  <c r="Z10" i="1"/>
  <c r="V10" i="1"/>
  <c r="W10" i="1" s="1"/>
  <c r="U10" i="1"/>
  <c r="R10" i="1"/>
  <c r="Q10" i="1"/>
  <c r="Q26" i="1" s="1"/>
  <c r="O10" i="1"/>
  <c r="K10" i="1"/>
  <c r="J10" i="1"/>
  <c r="G10" i="1"/>
  <c r="F10" i="1"/>
  <c r="D10" i="1"/>
  <c r="AV9" i="1"/>
  <c r="AK9" i="1"/>
  <c r="Z9" i="1"/>
  <c r="O9" i="1"/>
  <c r="D9" i="1"/>
  <c r="BD8" i="1"/>
  <c r="AZ8" i="1"/>
  <c r="AV8" i="1"/>
  <c r="AS8" i="1"/>
  <c r="AO8" i="1"/>
  <c r="AK8" i="1"/>
  <c r="AH8" i="1"/>
  <c r="AD8" i="1"/>
  <c r="Z8" i="1"/>
  <c r="W8" i="1"/>
  <c r="S8" i="1"/>
  <c r="O8" i="1"/>
  <c r="L8" i="1"/>
  <c r="K8" i="1"/>
  <c r="J8" i="1"/>
  <c r="H8" i="1"/>
  <c r="G8" i="1"/>
  <c r="F8" i="1"/>
  <c r="D8" i="1"/>
  <c r="J6" i="1"/>
  <c r="AQ6" i="1" s="1"/>
  <c r="F6" i="1"/>
  <c r="AX6" i="1" s="1"/>
  <c r="AV3" i="1"/>
  <c r="AK3" i="1"/>
  <c r="Z3" i="1"/>
  <c r="O3" i="1"/>
  <c r="D3" i="1"/>
  <c r="AZ51" i="1" l="1"/>
  <c r="H77" i="1"/>
  <c r="AZ94" i="1"/>
  <c r="L121" i="1"/>
  <c r="L135" i="1"/>
  <c r="AH11" i="1"/>
  <c r="AM56" i="1"/>
  <c r="L132" i="1"/>
  <c r="W160" i="1"/>
  <c r="S171" i="1"/>
  <c r="BD10" i="1"/>
  <c r="S16" i="1"/>
  <c r="W41" i="1"/>
  <c r="H43" i="1"/>
  <c r="AS54" i="1"/>
  <c r="H55" i="1"/>
  <c r="BB57" i="1"/>
  <c r="AH59" i="1"/>
  <c r="S64" i="1"/>
  <c r="Q71" i="1"/>
  <c r="L96" i="1"/>
  <c r="AH101" i="1"/>
  <c r="H119" i="1"/>
  <c r="W123" i="1"/>
  <c r="BD123" i="1"/>
  <c r="W147" i="1"/>
  <c r="L152" i="1"/>
  <c r="H160" i="1"/>
  <c r="L163" i="1"/>
  <c r="AN15" i="1"/>
  <c r="S12" i="1"/>
  <c r="AS14" i="1"/>
  <c r="Q20" i="1"/>
  <c r="W19" i="1"/>
  <c r="AD25" i="1"/>
  <c r="S31" i="1"/>
  <c r="L35" i="1"/>
  <c r="L38" i="1"/>
  <c r="AD38" i="1"/>
  <c r="L42" i="1"/>
  <c r="AO51" i="1"/>
  <c r="BD52" i="1"/>
  <c r="AZ53" i="1"/>
  <c r="AD56" i="1"/>
  <c r="S57" i="1"/>
  <c r="W58" i="1"/>
  <c r="S62" i="1"/>
  <c r="S63" i="1"/>
  <c r="AD68" i="1"/>
  <c r="L79" i="1"/>
  <c r="H94" i="1"/>
  <c r="AZ95" i="1"/>
  <c r="AZ118" i="1"/>
  <c r="AS119" i="1"/>
  <c r="AZ121" i="1"/>
  <c r="AZ124" i="1"/>
  <c r="W161" i="1"/>
  <c r="S173" i="1"/>
  <c r="W39" i="1"/>
  <c r="L53" i="1"/>
  <c r="H54" i="1"/>
  <c r="AD61" i="1"/>
  <c r="W68" i="1"/>
  <c r="L72" i="1"/>
  <c r="BD119" i="1"/>
  <c r="L124" i="1"/>
  <c r="H137" i="1"/>
  <c r="AD13" i="1"/>
  <c r="L22" i="1"/>
  <c r="AH32" i="1"/>
  <c r="W38" i="1"/>
  <c r="L70" i="1"/>
  <c r="H74" i="1"/>
  <c r="S94" i="1"/>
  <c r="AD100" i="1"/>
  <c r="AZ120" i="1"/>
  <c r="AQ15" i="1"/>
  <c r="AB46" i="1"/>
  <c r="F65" i="1"/>
  <c r="L10" i="1"/>
  <c r="H11" i="1"/>
  <c r="L17" i="1"/>
  <c r="L19" i="1"/>
  <c r="AH25" i="1"/>
  <c r="W31" i="1"/>
  <c r="AD34" i="1"/>
  <c r="AC40" i="1"/>
  <c r="AD36" i="1"/>
  <c r="K46" i="1"/>
  <c r="AD41" i="1"/>
  <c r="AH45" i="1"/>
  <c r="K71" i="1"/>
  <c r="BD53" i="1"/>
  <c r="AH56" i="1"/>
  <c r="W57" i="1"/>
  <c r="H59" i="1"/>
  <c r="W62" i="1"/>
  <c r="H63" i="1"/>
  <c r="F71" i="1"/>
  <c r="AH68" i="1"/>
  <c r="S69" i="1"/>
  <c r="L76" i="1"/>
  <c r="AS94" i="1"/>
  <c r="AO95" i="1"/>
  <c r="BD95" i="1"/>
  <c r="W121" i="1"/>
  <c r="BD121" i="1"/>
  <c r="AS123" i="1"/>
  <c r="L147" i="1"/>
  <c r="H148" i="1"/>
  <c r="H162" i="1"/>
  <c r="S18" i="1"/>
  <c r="AH19" i="1"/>
  <c r="AD31" i="1"/>
  <c r="S35" i="1"/>
  <c r="S36" i="1"/>
  <c r="W45" i="1"/>
  <c r="S50" i="1"/>
  <c r="AD57" i="1"/>
  <c r="AD62" i="1"/>
  <c r="H69" i="1"/>
  <c r="L75" i="1"/>
  <c r="AH94" i="1"/>
  <c r="AZ123" i="1"/>
  <c r="W185" i="1"/>
  <c r="AH52" i="1"/>
  <c r="H134" i="1"/>
  <c r="AZ12" i="1"/>
  <c r="AB66" i="1"/>
  <c r="AS55" i="1"/>
  <c r="U71" i="1"/>
  <c r="AD11" i="1"/>
  <c r="V20" i="1"/>
  <c r="L16" i="1"/>
  <c r="W22" i="1"/>
  <c r="L30" i="1"/>
  <c r="AH42" i="1"/>
  <c r="L52" i="1"/>
  <c r="AQ58" i="1"/>
  <c r="J65" i="1"/>
  <c r="L89" i="1"/>
  <c r="S150" i="1"/>
  <c r="S182" i="1"/>
  <c r="H19" i="1"/>
  <c r="AH54" i="1"/>
  <c r="L59" i="1"/>
  <c r="S184" i="1"/>
  <c r="AB20" i="1"/>
  <c r="W35" i="1"/>
  <c r="J46" i="1"/>
  <c r="BD51" i="1"/>
  <c r="S52" i="1"/>
  <c r="S54" i="1"/>
  <c r="BB55" i="1"/>
  <c r="BD54" i="1"/>
  <c r="S58" i="1"/>
  <c r="AH58" i="1"/>
  <c r="H66" i="1"/>
  <c r="AF72" i="1"/>
  <c r="AH67" i="1"/>
  <c r="S70" i="1"/>
  <c r="L118" i="1"/>
  <c r="AD121" i="1"/>
  <c r="AS121" i="1"/>
  <c r="H122" i="1"/>
  <c r="W122" i="1"/>
  <c r="W148" i="1"/>
  <c r="S149" i="1"/>
  <c r="L150" i="1"/>
  <c r="S162" i="1"/>
  <c r="W171" i="1"/>
  <c r="AB6" i="1"/>
  <c r="AB114" i="1" s="1"/>
  <c r="L15" i="1"/>
  <c r="BC16" i="1"/>
  <c r="BD15" i="1"/>
  <c r="L32" i="1"/>
  <c r="L44" i="1"/>
  <c r="AC46" i="1"/>
  <c r="L51" i="1"/>
  <c r="AD64" i="1"/>
  <c r="AH71" i="1"/>
  <c r="L74" i="1"/>
  <c r="H100" i="1"/>
  <c r="AS11" i="1"/>
  <c r="AO12" i="1"/>
  <c r="AH13" i="1"/>
  <c r="AD42" i="1"/>
  <c r="AS51" i="1"/>
  <c r="AH62" i="1"/>
  <c r="AH63" i="1"/>
  <c r="W70" i="1"/>
  <c r="H73" i="1"/>
  <c r="AD96" i="1"/>
  <c r="W120" i="1"/>
  <c r="AO120" i="1"/>
  <c r="AH121" i="1"/>
  <c r="L161" i="1"/>
  <c r="F114" i="1"/>
  <c r="F128" i="1" s="1"/>
  <c r="F143" i="1" s="1"/>
  <c r="F154" i="1" s="1"/>
  <c r="AM6" i="1"/>
  <c r="AD16" i="1"/>
  <c r="H34" i="1"/>
  <c r="S37" i="1"/>
  <c r="AH37" i="1"/>
  <c r="AO53" i="1"/>
  <c r="AZ54" i="1"/>
  <c r="H14" i="1"/>
  <c r="G71" i="1"/>
  <c r="S25" i="1"/>
  <c r="AH33" i="1"/>
  <c r="L39" i="1"/>
  <c r="H50" i="1"/>
  <c r="W50" i="1"/>
  <c r="BD50" i="1"/>
  <c r="W55" i="1"/>
  <c r="AO55" i="1"/>
  <c r="AN56" i="1"/>
  <c r="H56" i="1"/>
  <c r="U65" i="1"/>
  <c r="H68" i="1"/>
  <c r="V71" i="1"/>
  <c r="H72" i="1"/>
  <c r="AH124" i="1"/>
  <c r="AR58" i="1"/>
  <c r="S11" i="1"/>
  <c r="H15" i="1"/>
  <c r="W33" i="1"/>
  <c r="W43" i="1"/>
  <c r="H44" i="1"/>
  <c r="AD71" i="1"/>
  <c r="Q6" i="1"/>
  <c r="Q143" i="1" s="1"/>
  <c r="Q154" i="1" s="1"/>
  <c r="Q167" i="1" s="1"/>
  <c r="Q178" i="1" s="1"/>
  <c r="V40" i="1"/>
  <c r="AS12" i="1"/>
  <c r="J26" i="1"/>
  <c r="L12" i="1"/>
  <c r="AN17" i="1"/>
  <c r="H18" i="1"/>
  <c r="K20" i="1"/>
  <c r="K26" i="1"/>
  <c r="AB26" i="1"/>
  <c r="W23" i="1"/>
  <c r="AF40" i="1"/>
  <c r="S45" i="1"/>
  <c r="AD54" i="1"/>
  <c r="L57" i="1"/>
  <c r="W59" i="1"/>
  <c r="G65" i="1"/>
  <c r="W61" i="1"/>
  <c r="L67" i="1"/>
  <c r="BD94" i="1"/>
  <c r="AH119" i="1"/>
  <c r="AZ122" i="1"/>
  <c r="W150" i="1"/>
  <c r="L159" i="1"/>
  <c r="W66" i="1"/>
  <c r="H76" i="1"/>
  <c r="AO94" i="1"/>
  <c r="S95" i="1"/>
  <c r="AH95" i="1"/>
  <c r="AZ119" i="1"/>
  <c r="S121" i="1"/>
  <c r="BD122" i="1"/>
  <c r="H133" i="1"/>
  <c r="S160" i="1"/>
  <c r="W162" i="1"/>
  <c r="W184" i="1"/>
  <c r="AZ11" i="1"/>
  <c r="AX14" i="1"/>
  <c r="L18" i="1"/>
  <c r="H24" i="1"/>
  <c r="H30" i="1"/>
  <c r="V46" i="1"/>
  <c r="AD33" i="1"/>
  <c r="K40" i="1"/>
  <c r="H36" i="1"/>
  <c r="AF46" i="1"/>
  <c r="L43" i="1"/>
  <c r="L50" i="1"/>
  <c r="H52" i="1"/>
  <c r="W52" i="1"/>
  <c r="AS53" i="1"/>
  <c r="AR56" i="1"/>
  <c r="W56" i="1"/>
  <c r="H57" i="1"/>
  <c r="L60" i="1"/>
  <c r="AD67" i="1"/>
  <c r="L69" i="1"/>
  <c r="AH89" i="1"/>
  <c r="L122" i="1"/>
  <c r="W124" i="1"/>
  <c r="W149" i="1"/>
  <c r="W151" i="1"/>
  <c r="AH10" i="1"/>
  <c r="BD11" i="1"/>
  <c r="BB14" i="1"/>
  <c r="AD14" i="1"/>
  <c r="AH17" i="1"/>
  <c r="AD19" i="1"/>
  <c r="U26" i="1"/>
  <c r="AB40" i="1"/>
  <c r="AD50" i="1"/>
  <c r="H51" i="1"/>
  <c r="S53" i="1"/>
  <c r="W54" i="1"/>
  <c r="AO54" i="1"/>
  <c r="AX57" i="1"/>
  <c r="H58" i="1"/>
  <c r="Q65" i="1"/>
  <c r="L66" i="1"/>
  <c r="AD101" i="1"/>
  <c r="L119" i="1"/>
  <c r="AO119" i="1"/>
  <c r="H121" i="1"/>
  <c r="AS122" i="1"/>
  <c r="H123" i="1"/>
  <c r="L151" i="1"/>
  <c r="W158" i="1"/>
  <c r="S161" i="1"/>
  <c r="L162" i="1"/>
  <c r="H163" i="1"/>
  <c r="W172" i="1"/>
  <c r="S185" i="1"/>
  <c r="AY14" i="1"/>
  <c r="L13" i="1"/>
  <c r="U20" i="1"/>
  <c r="AH22" i="1"/>
  <c r="L25" i="1"/>
  <c r="L31" i="1"/>
  <c r="S34" i="1"/>
  <c r="Q40" i="1"/>
  <c r="L37" i="1"/>
  <c r="H42" i="1"/>
  <c r="AD44" i="1"/>
  <c r="R65" i="1"/>
  <c r="AH100" i="1"/>
  <c r="S174" i="1"/>
  <c r="R71" i="1"/>
  <c r="S66" i="1"/>
  <c r="AH21" i="1"/>
  <c r="AG26" i="1"/>
  <c r="AZ10" i="1"/>
  <c r="L11" i="1"/>
  <c r="BD13" i="1"/>
  <c r="AG20" i="1"/>
  <c r="AH15" i="1"/>
  <c r="AQ17" i="1"/>
  <c r="L24" i="1"/>
  <c r="G46" i="1"/>
  <c r="H12" i="1"/>
  <c r="AH14" i="1"/>
  <c r="BC14" i="1"/>
  <c r="S15" i="1"/>
  <c r="G20" i="1"/>
  <c r="AC66" i="1"/>
  <c r="AY16" i="1"/>
  <c r="AZ15" i="1"/>
  <c r="H17" i="1"/>
  <c r="AH12" i="1"/>
  <c r="AM15" i="1"/>
  <c r="AO14" i="1"/>
  <c r="AR15" i="1"/>
  <c r="L41" i="1"/>
  <c r="R26" i="1"/>
  <c r="S10" i="1"/>
  <c r="W11" i="1"/>
  <c r="AC20" i="1"/>
  <c r="AD15" i="1"/>
  <c r="R46" i="1"/>
  <c r="S41" i="1"/>
  <c r="J114" i="1"/>
  <c r="J128" i="1" s="1"/>
  <c r="J143" i="1" s="1"/>
  <c r="J154" i="1" s="1"/>
  <c r="AF6" i="1"/>
  <c r="AF114" i="1" s="1"/>
  <c r="U6" i="1"/>
  <c r="BB6" i="1"/>
  <c r="R20" i="1"/>
  <c r="U40" i="1"/>
  <c r="U46" i="1"/>
  <c r="S43" i="1"/>
  <c r="AO50" i="1"/>
  <c r="BD124" i="1"/>
  <c r="S13" i="1"/>
  <c r="AR17" i="1"/>
  <c r="W25" i="1"/>
  <c r="AH34" i="1"/>
  <c r="L36" i="1"/>
  <c r="S55" i="1"/>
  <c r="AH60" i="1"/>
  <c r="S61" i="1"/>
  <c r="L62" i="1"/>
  <c r="W63" i="1"/>
  <c r="L73" i="1"/>
  <c r="L77" i="1"/>
  <c r="H79" i="1"/>
  <c r="Q114" i="1"/>
  <c r="L134" i="1"/>
  <c r="H136" i="1"/>
  <c r="AO10" i="1"/>
  <c r="W12" i="1"/>
  <c r="F20" i="1"/>
  <c r="AF20" i="1"/>
  <c r="AX16" i="1"/>
  <c r="AS16" i="1"/>
  <c r="H60" i="1"/>
  <c r="AG66" i="1"/>
  <c r="AB72" i="1"/>
  <c r="H75" i="1"/>
  <c r="AH118" i="1"/>
  <c r="W119" i="1"/>
  <c r="L120" i="1"/>
  <c r="AD120" i="1"/>
  <c r="AD124" i="1"/>
  <c r="H132" i="1"/>
  <c r="S183" i="1"/>
  <c r="W16" i="1"/>
  <c r="L21" i="1"/>
  <c r="H23" i="1"/>
  <c r="BC57" i="1"/>
  <c r="BD56" i="1"/>
  <c r="AD59" i="1"/>
  <c r="S67" i="1"/>
  <c r="L68" i="1"/>
  <c r="H96" i="1"/>
  <c r="AD123" i="1"/>
  <c r="H149" i="1"/>
  <c r="W183" i="1"/>
  <c r="H10" i="1"/>
  <c r="J20" i="1"/>
  <c r="W15" i="1"/>
  <c r="S19" i="1"/>
  <c r="AD21" i="1"/>
  <c r="H31" i="1"/>
  <c r="W44" i="1"/>
  <c r="H45" i="1"/>
  <c r="AH50" i="1"/>
  <c r="AG72" i="1"/>
  <c r="AS57" i="1"/>
  <c r="AO122" i="1"/>
  <c r="S124" i="1"/>
  <c r="H147" i="1"/>
  <c r="H151" i="1"/>
  <c r="AS10" i="1"/>
  <c r="W30" i="1"/>
  <c r="S32" i="1"/>
  <c r="H35" i="1"/>
  <c r="G40" i="1"/>
  <c r="H39" i="1"/>
  <c r="H41" i="1"/>
  <c r="F46" i="1"/>
  <c r="L58" i="1"/>
  <c r="K65" i="1"/>
  <c r="W69" i="1"/>
  <c r="AD94" i="1"/>
  <c r="H118" i="1"/>
  <c r="AZ13" i="1"/>
  <c r="W175" i="1"/>
  <c r="AF26" i="1"/>
  <c r="AH23" i="1"/>
  <c r="L33" i="1"/>
  <c r="W37" i="1"/>
  <c r="S51" i="1"/>
  <c r="AH53" i="1"/>
  <c r="AY55" i="1"/>
  <c r="AH57" i="1"/>
  <c r="H61" i="1"/>
  <c r="H64" i="1"/>
  <c r="AH64" i="1"/>
  <c r="H67" i="1"/>
  <c r="H70" i="1"/>
  <c r="AH70" i="1"/>
  <c r="H89" i="1"/>
  <c r="W95" i="1"/>
  <c r="AO118" i="1"/>
  <c r="BD120" i="1"/>
  <c r="AH123" i="1"/>
  <c r="H125" i="1"/>
  <c r="L138" i="1"/>
  <c r="L160" i="1"/>
  <c r="AD17" i="1"/>
  <c r="F26" i="1"/>
  <c r="AD22" i="1"/>
  <c r="H32" i="1"/>
  <c r="AG40" i="1"/>
  <c r="AH35" i="1"/>
  <c r="W51" i="1"/>
  <c r="AZ52" i="1"/>
  <c r="L55" i="1"/>
  <c r="AZ56" i="1"/>
  <c r="AM58" i="1"/>
  <c r="AD63" i="1"/>
  <c r="AD69" i="1"/>
  <c r="H78" i="1"/>
  <c r="W94" i="1"/>
  <c r="AH96" i="1"/>
  <c r="L101" i="1"/>
  <c r="AS118" i="1"/>
  <c r="S120" i="1"/>
  <c r="AH122" i="1"/>
  <c r="L125" i="1"/>
  <c r="H135" i="1"/>
  <c r="S158" i="1"/>
  <c r="S172" i="1"/>
  <c r="W174" i="1"/>
  <c r="W182" i="1"/>
  <c r="V26" i="1"/>
  <c r="J40" i="1"/>
  <c r="AG46" i="1"/>
  <c r="AH41" i="1"/>
  <c r="AN58" i="1"/>
  <c r="J71" i="1"/>
  <c r="AO57" i="1"/>
  <c r="U143" i="1" l="1"/>
  <c r="U154" i="1" s="1"/>
  <c r="U167" i="1" s="1"/>
  <c r="U178" i="1" s="1"/>
  <c r="U114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;\(#,##0.0\)"/>
    <numFmt numFmtId="166" formatCode="0.0;\ \(0.0\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sz val="8"/>
      <color theme="1"/>
      <name val="Neo Sans Pro"/>
      <family val="2"/>
    </font>
    <font>
      <b/>
      <sz val="10"/>
      <color rgb="FF00B0F0"/>
      <name val="Neo Sans Pro"/>
      <family val="2"/>
    </font>
    <font>
      <b/>
      <sz val="10"/>
      <color theme="1"/>
      <name val="Neo Sans Pro"/>
      <family val="2"/>
    </font>
    <font>
      <i/>
      <sz val="10"/>
      <color theme="1"/>
      <name val="Neo Sans Pro"/>
      <family val="2"/>
    </font>
    <font>
      <i/>
      <sz val="8"/>
      <color rgb="FFFF0000"/>
      <name val="Neo Sans Pro"/>
      <family val="2"/>
    </font>
    <font>
      <b/>
      <sz val="11"/>
      <color theme="1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00076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2" borderId="0" xfId="0" quotePrefix="1" applyFont="1" applyFill="1"/>
    <xf numFmtId="0" fontId="4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5" fillId="2" borderId="0" xfId="0" applyFont="1" applyFill="1"/>
    <xf numFmtId="0" fontId="4" fillId="3" borderId="0" xfId="0" applyFont="1" applyFill="1" applyAlignment="1">
      <alignment horizontal="right" indent="1"/>
    </xf>
    <xf numFmtId="0" fontId="6" fillId="2" borderId="3" xfId="0" applyFont="1" applyFill="1" applyBorder="1"/>
    <xf numFmtId="0" fontId="2" fillId="2" borderId="3" xfId="0" applyFont="1" applyFill="1" applyBorder="1"/>
    <xf numFmtId="0" fontId="7" fillId="2" borderId="0" xfId="0" applyFont="1" applyFill="1"/>
    <xf numFmtId="165" fontId="7" fillId="4" borderId="0" xfId="0" applyNumberFormat="1" applyFont="1" applyFill="1" applyAlignment="1">
      <alignment horizontal="right" indent="1"/>
    </xf>
    <xf numFmtId="165" fontId="7" fillId="2" borderId="0" xfId="0" applyNumberFormat="1" applyFont="1" applyFill="1" applyAlignment="1">
      <alignment horizontal="right" indent="1"/>
    </xf>
    <xf numFmtId="166" fontId="7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2"/>
    </xf>
    <xf numFmtId="165" fontId="2" fillId="4" borderId="0" xfId="0" applyNumberFormat="1" applyFont="1" applyFill="1" applyAlignment="1">
      <alignment horizontal="right" indent="1"/>
    </xf>
    <xf numFmtId="165" fontId="2" fillId="2" borderId="0" xfId="0" applyNumberFormat="1" applyFont="1" applyFill="1" applyAlignment="1">
      <alignment horizontal="right" indent="1"/>
    </xf>
    <xf numFmtId="166" fontId="2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left" indent="2"/>
    </xf>
    <xf numFmtId="0" fontId="8" fillId="2" borderId="0" xfId="0" applyFont="1" applyFill="1"/>
    <xf numFmtId="165" fontId="8" fillId="4" borderId="0" xfId="0" applyNumberFormat="1" applyFont="1" applyFill="1" applyAlignment="1">
      <alignment horizontal="right" indent="1"/>
    </xf>
    <xf numFmtId="165" fontId="8" fillId="2" borderId="0" xfId="0" applyNumberFormat="1" applyFont="1" applyFill="1" applyAlignment="1">
      <alignment horizontal="right" indent="1"/>
    </xf>
    <xf numFmtId="166" fontId="8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4"/>
    </xf>
    <xf numFmtId="164" fontId="8" fillId="4" borderId="0" xfId="0" applyNumberFormat="1" applyFont="1" applyFill="1" applyAlignment="1">
      <alignment horizontal="right" indent="1"/>
    </xf>
    <xf numFmtId="164" fontId="8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8" fillId="2" borderId="3" xfId="0" applyFont="1" applyFill="1" applyBorder="1" applyAlignment="1">
      <alignment horizontal="left" indent="2"/>
    </xf>
    <xf numFmtId="164" fontId="8" fillId="4" borderId="3" xfId="0" applyNumberFormat="1" applyFont="1" applyFill="1" applyBorder="1" applyAlignment="1">
      <alignment horizontal="right" indent="1"/>
    </xf>
    <xf numFmtId="164" fontId="8" fillId="2" borderId="3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right" indent="1"/>
    </xf>
    <xf numFmtId="0" fontId="8" fillId="2" borderId="0" xfId="0" applyFont="1" applyFill="1" applyAlignment="1">
      <alignment horizontal="left" indent="4"/>
    </xf>
    <xf numFmtId="0" fontId="2" fillId="5" borderId="0" xfId="0" applyFont="1" applyFill="1"/>
    <xf numFmtId="0" fontId="9" fillId="2" borderId="0" xfId="0" applyFont="1" applyFill="1"/>
    <xf numFmtId="0" fontId="10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LACI&#211;N%20CON%20INVERSORES/NEW/RESULTS/2017/3T/Suport%20Info/TABLAS%20NOTA%20IR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ABEZADOS"/>
      <sheetName val="GRUPO"/>
      <sheetName val="SANTILLANA"/>
      <sheetName val="RADIO"/>
      <sheetName val="NOTICIAS"/>
      <sheetName val="MEDIA CAPITAL"/>
      <sheetName val="TRANSFORMACIÓN"/>
      <sheetName val="AUDIOVISUAL"/>
      <sheetName val="To Publish"/>
      <sheetName val="Hoja1"/>
    </sheetNames>
    <sheetDataSet>
      <sheetData sheetId="0"/>
      <sheetData sheetId="1">
        <row r="6">
          <cell r="T6" t="str">
            <v>ENERO - SEPTIEMBRE</v>
          </cell>
          <cell r="X6" t="str">
            <v>JULIO - SEPTIEMBRE</v>
          </cell>
        </row>
        <row r="8">
          <cell r="T8">
            <v>2017</v>
          </cell>
          <cell r="U8">
            <v>2016</v>
          </cell>
          <cell r="X8">
            <v>2017</v>
          </cell>
          <cell r="Y8">
            <v>2016</v>
          </cell>
        </row>
        <row r="10">
          <cell r="T10">
            <v>903.77504486671103</v>
          </cell>
          <cell r="U10">
            <v>911.9246319475684</v>
          </cell>
          <cell r="X10">
            <v>317.57274610738182</v>
          </cell>
          <cell r="Y10">
            <v>362.84414685337322</v>
          </cell>
        </row>
        <row r="11">
          <cell r="T11">
            <v>426.03029185700274</v>
          </cell>
          <cell r="U11">
            <v>454.87730681607906</v>
          </cell>
          <cell r="X11">
            <v>181.42581837808547</v>
          </cell>
          <cell r="Y11">
            <v>205.43047918474812</v>
          </cell>
        </row>
        <row r="12">
          <cell r="T12">
            <v>477.74475300970829</v>
          </cell>
          <cell r="U12">
            <v>457.04732513148923</v>
          </cell>
          <cell r="X12">
            <v>136.14692772929624</v>
          </cell>
          <cell r="Y12">
            <v>157.41366766862495</v>
          </cell>
        </row>
        <row r="13">
          <cell r="T13">
            <v>3.7484920000000002</v>
          </cell>
          <cell r="U13">
            <v>4.7065110000000008</v>
          </cell>
          <cell r="X13">
            <v>3.6804140000000003</v>
          </cell>
          <cell r="Y13">
            <v>4.6383810000000008</v>
          </cell>
        </row>
        <row r="14">
          <cell r="T14">
            <v>473.99626100970823</v>
          </cell>
          <cell r="U14">
            <v>452.34081413148925</v>
          </cell>
          <cell r="X14">
            <v>132.46651372929614</v>
          </cell>
          <cell r="Y14">
            <v>152.77528666862497</v>
          </cell>
        </row>
        <row r="15">
          <cell r="T15">
            <v>194.8882547047028</v>
          </cell>
          <cell r="U15">
            <v>190.41331435124391</v>
          </cell>
          <cell r="X15">
            <v>77.791124990722778</v>
          </cell>
          <cell r="Y15">
            <v>111.49783293344855</v>
          </cell>
        </row>
        <row r="16">
          <cell r="T16">
            <v>70.850910413141136</v>
          </cell>
          <cell r="U16">
            <v>75.873710109297676</v>
          </cell>
          <cell r="X16">
            <v>55.611682766977879</v>
          </cell>
          <cell r="Y16">
            <v>73.548777810290076</v>
          </cell>
        </row>
        <row r="17">
          <cell r="T17">
            <v>124.03734429156165</v>
          </cell>
          <cell r="U17">
            <v>114.53960424194622</v>
          </cell>
          <cell r="X17">
            <v>22.179442223744871</v>
          </cell>
          <cell r="Y17">
            <v>37.949055123158459</v>
          </cell>
        </row>
        <row r="18">
          <cell r="T18">
            <v>0.55700300000000091</v>
          </cell>
          <cell r="U18">
            <v>0.725989</v>
          </cell>
          <cell r="X18">
            <v>2.0792350000000011</v>
          </cell>
          <cell r="Y18">
            <v>2.9326100000000004</v>
          </cell>
        </row>
        <row r="19">
          <cell r="T19">
            <v>123.48034129156166</v>
          </cell>
          <cell r="U19">
            <v>113.81361524194622</v>
          </cell>
          <cell r="X19">
            <v>20.100207223744874</v>
          </cell>
          <cell r="Y19">
            <v>35.016445123158462</v>
          </cell>
        </row>
        <row r="21">
          <cell r="T21">
            <v>124.48945423654463</v>
          </cell>
          <cell r="U21">
            <v>103.66008562212035</v>
          </cell>
          <cell r="X21">
            <v>41.356106692448378</v>
          </cell>
          <cell r="Y21">
            <v>62.532000932009026</v>
          </cell>
        </row>
        <row r="22">
          <cell r="T22">
            <v>36.258189162460113</v>
          </cell>
          <cell r="U22">
            <v>24.832668763570094</v>
          </cell>
          <cell r="X22">
            <v>29.158502542284101</v>
          </cell>
          <cell r="Y22">
            <v>35.265148468290022</v>
          </cell>
        </row>
        <row r="23">
          <cell r="T23">
            <v>88.231265074084519</v>
          </cell>
          <cell r="U23">
            <v>78.827416858550237</v>
          </cell>
          <cell r="X23">
            <v>12.197604150164281</v>
          </cell>
          <cell r="Y23">
            <v>27.266852463718976</v>
          </cell>
        </row>
        <row r="24">
          <cell r="T24">
            <v>0.1139560000000007</v>
          </cell>
          <cell r="U24">
            <v>0.33158499999999996</v>
          </cell>
          <cell r="X24">
            <v>1.6409210000000005</v>
          </cell>
          <cell r="Y24">
            <v>2.5284200000000001</v>
          </cell>
        </row>
        <row r="25">
          <cell r="T25">
            <v>88.117309074084517</v>
          </cell>
          <cell r="U25">
            <v>78.495831858550233</v>
          </cell>
          <cell r="X25">
            <v>10.556683150164289</v>
          </cell>
          <cell r="Y25">
            <v>24.738432463718979</v>
          </cell>
        </row>
        <row r="30">
          <cell r="T30">
            <v>885.24384176537035</v>
          </cell>
          <cell r="U30">
            <v>911.9246319475684</v>
          </cell>
          <cell r="X30">
            <v>324.37266663849641</v>
          </cell>
          <cell r="Y30">
            <v>362.84414685337322</v>
          </cell>
        </row>
        <row r="31">
          <cell r="T31">
            <v>426.03029185700274</v>
          </cell>
          <cell r="U31">
            <v>454.87730681607906</v>
          </cell>
          <cell r="X31">
            <v>181.42581837808547</v>
          </cell>
          <cell r="Y31">
            <v>205.43047918474812</v>
          </cell>
        </row>
        <row r="32">
          <cell r="T32">
            <v>459.21354990836761</v>
          </cell>
          <cell r="U32">
            <v>457.04732513148923</v>
          </cell>
          <cell r="X32">
            <v>142.94684826041089</v>
          </cell>
          <cell r="Y32">
            <v>157.41366766862495</v>
          </cell>
        </row>
        <row r="33">
          <cell r="T33">
            <v>3.7484920000000002</v>
          </cell>
          <cell r="U33">
            <v>4.7065110000000008</v>
          </cell>
          <cell r="X33">
            <v>3.6804140000000003</v>
          </cell>
          <cell r="Y33">
            <v>4.6383810000000008</v>
          </cell>
        </row>
        <row r="34">
          <cell r="T34">
            <v>455.46505790836756</v>
          </cell>
          <cell r="U34">
            <v>452.34081413148925</v>
          </cell>
          <cell r="X34">
            <v>139.26643426041079</v>
          </cell>
          <cell r="Y34">
            <v>152.77528666862497</v>
          </cell>
        </row>
        <row r="35">
          <cell r="T35">
            <v>186.16619281048852</v>
          </cell>
          <cell r="U35">
            <v>190.41331435124391</v>
          </cell>
          <cell r="X35">
            <v>79.887347736138764</v>
          </cell>
          <cell r="Y35">
            <v>111.49783293344855</v>
          </cell>
        </row>
        <row r="36">
          <cell r="T36">
            <v>70.850910413141136</v>
          </cell>
          <cell r="U36">
            <v>75.873710109297676</v>
          </cell>
          <cell r="X36">
            <v>55.611682766977879</v>
          </cell>
          <cell r="Y36">
            <v>73.548777810290076</v>
          </cell>
        </row>
        <row r="37">
          <cell r="T37">
            <v>115.31528239734737</v>
          </cell>
          <cell r="U37">
            <v>114.53960424194622</v>
          </cell>
          <cell r="X37">
            <v>24.275664969160871</v>
          </cell>
          <cell r="Y37">
            <v>37.949055123158459</v>
          </cell>
        </row>
        <row r="38">
          <cell r="T38">
            <v>0.55700300000000091</v>
          </cell>
          <cell r="U38">
            <v>0.725989</v>
          </cell>
          <cell r="X38">
            <v>2.0792350000000011</v>
          </cell>
          <cell r="Y38">
            <v>2.9326100000000004</v>
          </cell>
        </row>
        <row r="39">
          <cell r="T39">
            <v>114.75827939734738</v>
          </cell>
          <cell r="U39">
            <v>113.81361524194622</v>
          </cell>
          <cell r="X39">
            <v>22.196429969160874</v>
          </cell>
          <cell r="Y39">
            <v>35.016445123158462</v>
          </cell>
        </row>
        <row r="41">
          <cell r="T41">
            <v>117.14038360945986</v>
          </cell>
          <cell r="U41">
            <v>103.66008562212035</v>
          </cell>
          <cell r="X41">
            <v>42.963433815567356</v>
          </cell>
          <cell r="Y41">
            <v>62.532000932009026</v>
          </cell>
        </row>
        <row r="42">
          <cell r="T42">
            <v>36.258189162460113</v>
          </cell>
          <cell r="U42">
            <v>24.832668763570094</v>
          </cell>
          <cell r="X42">
            <v>29.158502542284101</v>
          </cell>
          <cell r="Y42">
            <v>35.265148468290022</v>
          </cell>
        </row>
        <row r="43">
          <cell r="T43">
            <v>80.882194446999748</v>
          </cell>
          <cell r="U43">
            <v>78.827416858550237</v>
          </cell>
          <cell r="X43">
            <v>13.804931273283259</v>
          </cell>
          <cell r="Y43">
            <v>27.266852463718976</v>
          </cell>
        </row>
        <row r="44">
          <cell r="T44">
            <v>0.1139560000000007</v>
          </cell>
          <cell r="U44">
            <v>0.33158499999999996</v>
          </cell>
          <cell r="X44">
            <v>1.6409210000000005</v>
          </cell>
          <cell r="Y44">
            <v>2.5284200000000001</v>
          </cell>
        </row>
        <row r="45">
          <cell r="T45">
            <v>80.768238446999746</v>
          </cell>
          <cell r="U45">
            <v>78.495831858550233</v>
          </cell>
          <cell r="X45">
            <v>12.164010273283267</v>
          </cell>
          <cell r="Y45">
            <v>24.738432463718979</v>
          </cell>
        </row>
        <row r="50">
          <cell r="T50">
            <v>893.6010604433319</v>
          </cell>
          <cell r="U50">
            <v>897.40637225822297</v>
          </cell>
          <cell r="X50">
            <v>317.4130684800449</v>
          </cell>
          <cell r="Y50">
            <v>358.08331613641997</v>
          </cell>
        </row>
        <row r="51">
          <cell r="T51">
            <v>430.66379785700275</v>
          </cell>
          <cell r="U51">
            <v>454.87730681607906</v>
          </cell>
          <cell r="X51">
            <v>186.05932437808548</v>
          </cell>
          <cell r="Y51">
            <v>205.43047918474812</v>
          </cell>
        </row>
        <row r="52">
          <cell r="T52">
            <v>462.93726258632921</v>
          </cell>
          <cell r="U52">
            <v>442.52906544214392</v>
          </cell>
          <cell r="X52">
            <v>131.35374410195948</v>
          </cell>
          <cell r="Y52">
            <v>152.65283695167187</v>
          </cell>
        </row>
        <row r="53">
          <cell r="T53">
            <v>3.7484920000000002</v>
          </cell>
          <cell r="U53">
            <v>4.7065110000000008</v>
          </cell>
          <cell r="X53">
            <v>3.6804140000000003</v>
          </cell>
          <cell r="Y53">
            <v>4.6383810000000008</v>
          </cell>
        </row>
        <row r="54">
          <cell r="T54">
            <v>459.18877058632916</v>
          </cell>
          <cell r="U54">
            <v>437.82255444214394</v>
          </cell>
          <cell r="X54">
            <v>127.67333010195938</v>
          </cell>
          <cell r="Y54">
            <v>148.01445595167189</v>
          </cell>
        </row>
        <row r="55">
          <cell r="T55">
            <v>715.55080964766194</v>
          </cell>
          <cell r="U55">
            <v>721.89860561311298</v>
          </cell>
          <cell r="X55">
            <v>240.15220923775496</v>
          </cell>
          <cell r="Y55">
            <v>251.36630919526266</v>
          </cell>
        </row>
        <row r="56">
          <cell r="T56">
            <v>366.36982187002468</v>
          </cell>
          <cell r="U56">
            <v>382.94648378678136</v>
          </cell>
          <cell r="X56">
            <v>127.34101995110746</v>
          </cell>
          <cell r="Y56">
            <v>133.35156921445801</v>
          </cell>
        </row>
        <row r="57">
          <cell r="T57">
            <v>349.18098777763726</v>
          </cell>
          <cell r="U57">
            <v>338.95212182633162</v>
          </cell>
          <cell r="X57">
            <v>112.81118928664745</v>
          </cell>
          <cell r="Y57">
            <v>118.01473998080468</v>
          </cell>
        </row>
        <row r="58">
          <cell r="T58">
            <v>3.3390139999999993</v>
          </cell>
          <cell r="U58">
            <v>3.9839140000000008</v>
          </cell>
          <cell r="X58">
            <v>1.7482539999999991</v>
          </cell>
          <cell r="Y58">
            <v>1.7091630000000007</v>
          </cell>
        </row>
        <row r="59">
          <cell r="T59">
            <v>345.84197377763724</v>
          </cell>
          <cell r="U59">
            <v>334.96820782633165</v>
          </cell>
          <cell r="X59">
            <v>111.06293528664742</v>
          </cell>
          <cell r="Y59">
            <v>116.30557698080472</v>
          </cell>
        </row>
        <row r="60">
          <cell r="T60">
            <v>178.05025079567</v>
          </cell>
          <cell r="U60">
            <v>175.50776664511</v>
          </cell>
          <cell r="X60">
            <v>77.260859242289996</v>
          </cell>
          <cell r="Y60">
            <v>106.71700694115729</v>
          </cell>
        </row>
        <row r="61">
          <cell r="T61">
            <v>64.293975986978054</v>
          </cell>
          <cell r="U61">
            <v>71.930823029297699</v>
          </cell>
          <cell r="X61">
            <v>58.718304426977994</v>
          </cell>
          <cell r="Y61">
            <v>72.078909970290098</v>
          </cell>
        </row>
        <row r="62">
          <cell r="T62">
            <v>113.75627480869194</v>
          </cell>
          <cell r="U62">
            <v>103.57694361581231</v>
          </cell>
          <cell r="X62">
            <v>18.542554815312002</v>
          </cell>
          <cell r="Y62">
            <v>34.63809697086721</v>
          </cell>
        </row>
        <row r="63">
          <cell r="T63">
            <v>0.40947800000000095</v>
          </cell>
          <cell r="U63">
            <v>0.72259699999999993</v>
          </cell>
          <cell r="X63">
            <v>1.932160000000001</v>
          </cell>
          <cell r="Y63">
            <v>2.9292180000000001</v>
          </cell>
        </row>
        <row r="64">
          <cell r="T64">
            <v>113.34679680869195</v>
          </cell>
          <cell r="U64">
            <v>102.85434661581232</v>
          </cell>
          <cell r="X64">
            <v>16.610394815312006</v>
          </cell>
          <cell r="Y64">
            <v>31.708878970867204</v>
          </cell>
        </row>
        <row r="66">
          <cell r="T66">
            <v>102.49954160371966</v>
          </cell>
          <cell r="U66">
            <v>89.81282101066779</v>
          </cell>
          <cell r="X66">
            <v>36.458167445297349</v>
          </cell>
          <cell r="Y66">
            <v>58.332359836242304</v>
          </cell>
        </row>
        <row r="67">
          <cell r="T67">
            <v>23.851089213601618</v>
          </cell>
          <cell r="U67">
            <v>21.28652068357011</v>
          </cell>
          <cell r="X67">
            <v>27.631618202284166</v>
          </cell>
          <cell r="Y67">
            <v>34.192019628290048</v>
          </cell>
        </row>
        <row r="68">
          <cell r="T68">
            <v>78.648452390118052</v>
          </cell>
          <cell r="U68">
            <v>68.526300327097672</v>
          </cell>
          <cell r="X68">
            <v>8.82654924301319</v>
          </cell>
          <cell r="Y68">
            <v>24.140340207952242</v>
          </cell>
        </row>
        <row r="69">
          <cell r="T69">
            <v>-3.3568999999999301E-2</v>
          </cell>
          <cell r="U69">
            <v>0.32819299999999996</v>
          </cell>
          <cell r="X69">
            <v>1.4938460000000007</v>
          </cell>
          <cell r="Y69">
            <v>2.5250279999999998</v>
          </cell>
        </row>
        <row r="70">
          <cell r="T70">
            <v>78.682021390118052</v>
          </cell>
          <cell r="U70">
            <v>68.198107327097674</v>
          </cell>
          <cell r="X70">
            <v>7.3327032430131993</v>
          </cell>
          <cell r="Y70">
            <v>21.61531220795225</v>
          </cell>
        </row>
        <row r="72">
          <cell r="T72">
            <v>-36.986601461907796</v>
          </cell>
          <cell r="U72">
            <v>-41.706810535405602</v>
          </cell>
          <cell r="X72">
            <v>-13.035501395405696</v>
          </cell>
          <cell r="Y72">
            <v>-18.1200056881781</v>
          </cell>
        </row>
        <row r="73">
          <cell r="T73">
            <v>-37.241737349037599</v>
          </cell>
          <cell r="U73">
            <v>-42.421405587266101</v>
          </cell>
          <cell r="X73">
            <v>-12.174317069312302</v>
          </cell>
          <cell r="Y73">
            <v>-13.189561496703899</v>
          </cell>
        </row>
        <row r="74">
          <cell r="T74">
            <v>0.25513588712980351</v>
          </cell>
          <cell r="U74">
            <v>0.7145950518604991</v>
          </cell>
          <cell r="X74">
            <v>-0.86118432609339379</v>
          </cell>
          <cell r="Y74">
            <v>-4.9304441914742014</v>
          </cell>
        </row>
        <row r="75">
          <cell r="T75">
            <v>1.6203167378905201</v>
          </cell>
          <cell r="U75">
            <v>2.8639747220285399</v>
          </cell>
          <cell r="X75">
            <v>1.0639345741247941</v>
          </cell>
          <cell r="Y75">
            <v>0.94345293608039982</v>
          </cell>
        </row>
        <row r="76">
          <cell r="T76">
            <v>67.133256879702387</v>
          </cell>
          <cell r="U76">
            <v>50.969985197290725</v>
          </cell>
          <cell r="X76">
            <v>24.486600624016447</v>
          </cell>
          <cell r="Y76">
            <v>41.155807084144598</v>
          </cell>
        </row>
        <row r="77">
          <cell r="T77">
            <v>36.635255943711698</v>
          </cell>
          <cell r="U77">
            <v>26.194568257046928</v>
          </cell>
          <cell r="X77">
            <v>14.406767509854486</v>
          </cell>
          <cell r="Y77">
            <v>11.180633169906178</v>
          </cell>
        </row>
        <row r="78">
          <cell r="T78">
            <v>65.428151420626904</v>
          </cell>
          <cell r="U78">
            <v>-9.6431978127667008</v>
          </cell>
          <cell r="X78">
            <v>73.095795047531297</v>
          </cell>
          <cell r="Y78">
            <v>-1.5786804692650609</v>
          </cell>
        </row>
        <row r="79">
          <cell r="T79">
            <v>-20.062215705848001</v>
          </cell>
          <cell r="U79">
            <v>-20.464968373102501</v>
          </cell>
          <cell r="X79">
            <v>-5.8758639610739003</v>
          </cell>
          <cell r="Y79">
            <v>-7.1158225041045</v>
          </cell>
        </row>
        <row r="80">
          <cell r="T80">
            <v>-54.992366317109337</v>
          </cell>
          <cell r="U80">
            <v>13.953875865635556</v>
          </cell>
          <cell r="X80">
            <v>-68.891826019751448</v>
          </cell>
          <cell r="Y80">
            <v>24.438031879398778</v>
          </cell>
        </row>
        <row r="90">
          <cell r="T90">
            <v>19.440996423379101</v>
          </cell>
          <cell r="U90">
            <v>14.518259689345316</v>
          </cell>
          <cell r="X90">
            <v>9.4266896273367955</v>
          </cell>
          <cell r="Y90">
            <v>4.7608307169530804</v>
          </cell>
        </row>
        <row r="91">
          <cell r="T91">
            <v>14.8074904233791</v>
          </cell>
          <cell r="U91">
            <v>14.518259689345316</v>
          </cell>
          <cell r="X91">
            <v>4.7931836273367949</v>
          </cell>
          <cell r="Y91">
            <v>4.7608307169530804</v>
          </cell>
        </row>
        <row r="97">
          <cell r="T97">
            <v>-6.6640194856536947</v>
          </cell>
          <cell r="U97">
            <v>-0.38728801678859526</v>
          </cell>
          <cell r="X97">
            <v>-0.3705881210959765</v>
          </cell>
          <cell r="Y97">
            <v>-1.999527533816714E-2</v>
          </cell>
        </row>
        <row r="98">
          <cell r="T98">
            <v>-15.82507673006894</v>
          </cell>
          <cell r="U98">
            <v>-9.5840725570866905</v>
          </cell>
          <cell r="X98">
            <v>-3.4124295327018022</v>
          </cell>
          <cell r="Y98">
            <v>-3.0302045053582312</v>
          </cell>
        </row>
        <row r="99">
          <cell r="T99">
            <v>9.1610572444152449</v>
          </cell>
          <cell r="U99">
            <v>9.1967845402980952</v>
          </cell>
          <cell r="X99">
            <v>3.0418414116058257</v>
          </cell>
          <cell r="Y99">
            <v>3.010209230020064</v>
          </cell>
        </row>
        <row r="104">
          <cell r="T104">
            <v>-0.51840272379216157</v>
          </cell>
          <cell r="U104">
            <v>1.0582830946813624</v>
          </cell>
          <cell r="X104">
            <v>0.26583250128175306</v>
          </cell>
          <cell r="Y104">
            <v>0.58118489652453298</v>
          </cell>
        </row>
        <row r="105">
          <cell r="T105">
            <v>0.69825679890323844</v>
          </cell>
          <cell r="U105">
            <v>0.66154409468136244</v>
          </cell>
          <cell r="X105">
            <v>0.26583250128175306</v>
          </cell>
          <cell r="Y105">
            <v>0.18444589652453303</v>
          </cell>
        </row>
        <row r="106">
          <cell r="T106">
            <v>-1.2166595226954</v>
          </cell>
          <cell r="U106">
            <v>0.39673899999999995</v>
          </cell>
          <cell r="X106">
            <v>0</v>
          </cell>
          <cell r="Y106">
            <v>0.39673899999999995</v>
          </cell>
        </row>
        <row r="120">
          <cell r="T120">
            <v>903.77504486671103</v>
          </cell>
          <cell r="U120">
            <v>911.9246319475684</v>
          </cell>
          <cell r="X120">
            <v>317.57274610738182</v>
          </cell>
          <cell r="Y120">
            <v>362.84414685337322</v>
          </cell>
        </row>
        <row r="121">
          <cell r="T121">
            <v>522.60915839456095</v>
          </cell>
          <cell r="U121">
            <v>513.53481840634299</v>
          </cell>
          <cell r="X121">
            <v>194.58767496488196</v>
          </cell>
          <cell r="Y121">
            <v>233.97414129848801</v>
          </cell>
        </row>
        <row r="122">
          <cell r="T122">
            <v>217.62852707372812</v>
          </cell>
          <cell r="U122">
            <v>222.26512538231933</v>
          </cell>
          <cell r="X122">
            <v>70.846315585678809</v>
          </cell>
          <cell r="Y122">
            <v>74.707651448068106</v>
          </cell>
        </row>
        <row r="123">
          <cell r="T123">
            <v>157.42095472154497</v>
          </cell>
          <cell r="U123">
            <v>174.07240816515699</v>
          </cell>
          <cell r="X123">
            <v>48.367039217277977</v>
          </cell>
          <cell r="Y123">
            <v>52.040493211859982</v>
          </cell>
        </row>
        <row r="126">
          <cell r="T126">
            <v>115.30804198999999</v>
          </cell>
          <cell r="U126">
            <v>124.30154506000001</v>
          </cell>
          <cell r="X126">
            <v>36.27468180999999</v>
          </cell>
          <cell r="Y126">
            <v>39.035282020000011</v>
          </cell>
        </row>
        <row r="127">
          <cell r="T127">
            <v>-109.19163731312301</v>
          </cell>
          <cell r="U127">
            <v>-122.24926506625091</v>
          </cell>
          <cell r="X127">
            <v>-32.502965470456914</v>
          </cell>
          <cell r="Y127">
            <v>-36.913421125042888</v>
          </cell>
        </row>
        <row r="133">
          <cell r="T133">
            <v>194.8882547047028</v>
          </cell>
          <cell r="U133">
            <v>190.41331435124391</v>
          </cell>
          <cell r="X133">
            <v>77.791124990722778</v>
          </cell>
          <cell r="Y133">
            <v>111.49783293344855</v>
          </cell>
        </row>
        <row r="134">
          <cell r="T134">
            <v>167.59012521145021</v>
          </cell>
          <cell r="U134">
            <v>167.23670850311339</v>
          </cell>
          <cell r="X134">
            <v>73.3866497375205</v>
          </cell>
          <cell r="Y134">
            <v>104.42627102194066</v>
          </cell>
        </row>
        <row r="135">
          <cell r="T135">
            <v>34.113087445114331</v>
          </cell>
          <cell r="U135">
            <v>29.4547804104484</v>
          </cell>
          <cell r="X135">
            <v>8.2042907657086417</v>
          </cell>
          <cell r="Y135">
            <v>8.9212280705025755</v>
          </cell>
        </row>
        <row r="136">
          <cell r="T136">
            <v>4.5127304994734292</v>
          </cell>
          <cell r="U136">
            <v>7.4870677195189046</v>
          </cell>
          <cell r="X136">
            <v>-1.4468070873487004</v>
          </cell>
          <cell r="Y136">
            <v>0.10958030567482968</v>
          </cell>
        </row>
        <row r="139">
          <cell r="T139">
            <v>23.7783681829284</v>
          </cell>
          <cell r="U139">
            <v>23.535727087953799</v>
          </cell>
          <cell r="X139">
            <v>5.5187221523706</v>
          </cell>
          <cell r="Y139">
            <v>5.8657312586411976</v>
          </cell>
        </row>
        <row r="140">
          <cell r="T140">
            <v>-35.106056634263574</v>
          </cell>
          <cell r="U140">
            <v>-37.300969369790579</v>
          </cell>
          <cell r="X140">
            <v>-7.8717305775282647</v>
          </cell>
          <cell r="Y140">
            <v>-7.8249777233107061</v>
          </cell>
        </row>
        <row r="150">
          <cell r="T150">
            <v>178.05025079567</v>
          </cell>
          <cell r="U150">
            <v>175.50776664511</v>
          </cell>
          <cell r="X150">
            <v>77.260859242289996</v>
          </cell>
          <cell r="Y150">
            <v>106.71700694115729</v>
          </cell>
        </row>
        <row r="151">
          <cell r="T151">
            <v>5.6464331789638544</v>
          </cell>
          <cell r="U151">
            <v>5.3214751490472221</v>
          </cell>
          <cell r="X151">
            <v>1.7513422157309684</v>
          </cell>
          <cell r="Y151">
            <v>1.7506214869330181</v>
          </cell>
        </row>
        <row r="152">
          <cell r="T152">
            <v>15.82507673006894</v>
          </cell>
          <cell r="U152">
            <v>9.5840725570866905</v>
          </cell>
          <cell r="X152">
            <v>3.4124295327018022</v>
          </cell>
          <cell r="Y152">
            <v>3.0302045053582312</v>
          </cell>
        </row>
        <row r="153">
          <cell r="T153">
            <v>194.8882547047028</v>
          </cell>
          <cell r="U153">
            <v>190.41331435124391</v>
          </cell>
          <cell r="X153">
            <v>77.791124990722778</v>
          </cell>
          <cell r="Y153">
            <v>111.49783293344855</v>
          </cell>
        </row>
        <row r="154">
          <cell r="T154">
            <v>52.439278301008237</v>
          </cell>
          <cell r="U154">
            <v>56.751491836698101</v>
          </cell>
          <cell r="X154">
            <v>22.156451024890142</v>
          </cell>
          <cell r="Y154">
            <v>24.22312463062034</v>
          </cell>
        </row>
        <row r="155">
          <cell r="T155">
            <v>21.677073814181885</v>
          </cell>
          <cell r="U155">
            <v>29.272572562942077</v>
          </cell>
          <cell r="X155">
            <v>18.81271602263714</v>
          </cell>
          <cell r="Y155">
            <v>24.860179711868867</v>
          </cell>
        </row>
        <row r="156">
          <cell r="T156">
            <v>-3.7175516470319501</v>
          </cell>
          <cell r="U156">
            <v>0.72916432948338539</v>
          </cell>
          <cell r="X156">
            <v>-4.5341487492528838</v>
          </cell>
          <cell r="Y156">
            <v>-0.11747234104968207</v>
          </cell>
        </row>
        <row r="157">
          <cell r="T157">
            <v>124.48945423654463</v>
          </cell>
          <cell r="U157">
            <v>103.66008562212035</v>
          </cell>
          <cell r="X157">
            <v>41.356106692448378</v>
          </cell>
          <cell r="Y157">
            <v>62.532000932009026</v>
          </cell>
        </row>
        <row r="164">
          <cell r="T164">
            <v>-34.766445704291144</v>
          </cell>
          <cell r="U164">
            <v>-38.152232676355972</v>
          </cell>
          <cell r="X164">
            <v>-4.2481317975557999</v>
          </cell>
          <cell r="Y164">
            <v>-8.4602436087344266</v>
          </cell>
        </row>
        <row r="165">
          <cell r="T165">
            <v>-0.33961092997243014</v>
          </cell>
          <cell r="U165">
            <v>0.85126330656539295</v>
          </cell>
          <cell r="X165">
            <v>-3.6235987799724647</v>
          </cell>
          <cell r="Y165">
            <v>0.63526588542372053</v>
          </cell>
        </row>
        <row r="166">
          <cell r="T166">
            <v>-35.106056634263574</v>
          </cell>
          <cell r="U166">
            <v>-37.300969369790579</v>
          </cell>
          <cell r="X166">
            <v>-7.8717305775282647</v>
          </cell>
          <cell r="Y166">
            <v>-7.8249777233107061</v>
          </cell>
        </row>
        <row r="167">
          <cell r="T167">
            <v>-5.0464919848368606</v>
          </cell>
          <cell r="U167">
            <v>-2.5883915183995629</v>
          </cell>
          <cell r="X167">
            <v>-1.7525033707349951</v>
          </cell>
          <cell r="Y167">
            <v>-1.1297642399676864</v>
          </cell>
        </row>
        <row r="168">
          <cell r="T168">
            <v>0.13645893609424864</v>
          </cell>
          <cell r="U168">
            <v>0.12138524488476268</v>
          </cell>
          <cell r="X168">
            <v>0.1660755213606116</v>
          </cell>
          <cell r="Y168">
            <v>0.13520956541151441</v>
          </cell>
        </row>
        <row r="169">
          <cell r="T169">
            <v>-4.6335059999980217</v>
          </cell>
          <cell r="U169">
            <v>-8.0403000088349885E-4</v>
          </cell>
          <cell r="X169">
            <v>-4.6335059999974755</v>
          </cell>
          <cell r="Y169">
            <v>-1.0000528169462619E-8</v>
          </cell>
        </row>
        <row r="170">
          <cell r="T170">
            <v>-25.56251758552294</v>
          </cell>
          <cell r="U170">
            <v>-34.833159066274895</v>
          </cell>
          <cell r="X170">
            <v>-1.6517967281564054</v>
          </cell>
          <cell r="Y170">
            <v>-6.8304230387540059</v>
          </cell>
        </row>
      </sheetData>
      <sheetData sheetId="2">
        <row r="10">
          <cell r="T10">
            <v>522.60915839456095</v>
          </cell>
          <cell r="U10">
            <v>513.53481840634299</v>
          </cell>
          <cell r="X10">
            <v>194.58767496488196</v>
          </cell>
          <cell r="Y10">
            <v>233.97414129848801</v>
          </cell>
        </row>
        <row r="11">
          <cell r="T11">
            <v>139.06418482874761</v>
          </cell>
          <cell r="U11">
            <v>151.87014215600266</v>
          </cell>
          <cell r="X11">
            <v>92.521348441855196</v>
          </cell>
          <cell r="Y11">
            <v>111.78437834404312</v>
          </cell>
        </row>
        <row r="12">
          <cell r="T12">
            <v>383.54497356581334</v>
          </cell>
          <cell r="U12">
            <v>361.66467625034034</v>
          </cell>
          <cell r="X12">
            <v>102.06632652302676</v>
          </cell>
          <cell r="Y12">
            <v>122.18976295444489</v>
          </cell>
        </row>
        <row r="13">
          <cell r="T13">
            <v>3.7484920000000002</v>
          </cell>
          <cell r="U13">
            <v>4.7065110000000008</v>
          </cell>
          <cell r="X13">
            <v>3.6804140000000003</v>
          </cell>
          <cell r="Y13">
            <v>4.6383810000000008</v>
          </cell>
        </row>
        <row r="14">
          <cell r="T14">
            <v>379.79648156581334</v>
          </cell>
          <cell r="U14">
            <v>356.95816525034036</v>
          </cell>
          <cell r="X14">
            <v>98.385912523026775</v>
          </cell>
          <cell r="Y14">
            <v>117.55138195444491</v>
          </cell>
        </row>
        <row r="15">
          <cell r="T15">
            <v>167.59012521145021</v>
          </cell>
          <cell r="U15">
            <v>167.23670850311339</v>
          </cell>
          <cell r="X15">
            <v>73.3866497375205</v>
          </cell>
          <cell r="Y15">
            <v>104.42627102194066</v>
          </cell>
        </row>
        <row r="16">
          <cell r="T16">
            <v>60.992472016975242</v>
          </cell>
          <cell r="U16">
            <v>68.441683379298524</v>
          </cell>
          <cell r="X16">
            <v>58.627110376976177</v>
          </cell>
          <cell r="Y16">
            <v>73.975768299999629</v>
          </cell>
        </row>
        <row r="17">
          <cell r="T17">
            <v>106.59765319447497</v>
          </cell>
          <cell r="U17">
            <v>98.795025123814867</v>
          </cell>
          <cell r="X17">
            <v>14.759539360544323</v>
          </cell>
          <cell r="Y17">
            <v>30.450502721941021</v>
          </cell>
        </row>
        <row r="18">
          <cell r="T18">
            <v>0.55700300000000091</v>
          </cell>
          <cell r="U18">
            <v>0.725989</v>
          </cell>
          <cell r="X18">
            <v>2.0792350000000011</v>
          </cell>
          <cell r="Y18">
            <v>2.9326100000000004</v>
          </cell>
        </row>
        <row r="19">
          <cell r="T19">
            <v>106.04065019447498</v>
          </cell>
          <cell r="U19">
            <v>98.069036123814868</v>
          </cell>
          <cell r="X19">
            <v>12.680304360544326</v>
          </cell>
          <cell r="Y19">
            <v>27.517892721941024</v>
          </cell>
        </row>
        <row r="21">
          <cell r="T21">
            <v>107.97389434189624</v>
          </cell>
          <cell r="U21">
            <v>98.967072252100877</v>
          </cell>
          <cell r="X21">
            <v>37.184434714569718</v>
          </cell>
          <cell r="Y21">
            <v>61.552172691971045</v>
          </cell>
        </row>
        <row r="22">
          <cell r="T22">
            <v>32.060832916975613</v>
          </cell>
          <cell r="U22">
            <v>32.838729599297935</v>
          </cell>
          <cell r="X22">
            <v>31.137609806976684</v>
          </cell>
          <cell r="Y22">
            <v>40.582430319999212</v>
          </cell>
        </row>
        <row r="23">
          <cell r="T23">
            <v>75.913061424920627</v>
          </cell>
          <cell r="U23">
            <v>66.128342652802942</v>
          </cell>
          <cell r="X23">
            <v>6.0468249075930345</v>
          </cell>
          <cell r="Y23">
            <v>20.969742371971833</v>
          </cell>
        </row>
        <row r="24">
          <cell r="T24">
            <v>0.11395600000000121</v>
          </cell>
          <cell r="U24">
            <v>0.33158499999999996</v>
          </cell>
          <cell r="X24">
            <v>1.6409210000000012</v>
          </cell>
          <cell r="Y24">
            <v>2.5284200000000001</v>
          </cell>
        </row>
        <row r="25">
          <cell r="T25">
            <v>75.799105424920626</v>
          </cell>
          <cell r="U25">
            <v>65.796757652802938</v>
          </cell>
          <cell r="X25">
            <v>4.4059039075930286</v>
          </cell>
          <cell r="Y25">
            <v>18.441322371971829</v>
          </cell>
        </row>
        <row r="30">
          <cell r="T30">
            <v>504.52664885385559</v>
          </cell>
          <cell r="U30">
            <v>513.53481840634299</v>
          </cell>
          <cell r="X30">
            <v>199.35302390356958</v>
          </cell>
          <cell r="Y30">
            <v>233.97414129848801</v>
          </cell>
        </row>
        <row r="31">
          <cell r="T31">
            <v>139.06418482874761</v>
          </cell>
          <cell r="U31">
            <v>151.87014215600266</v>
          </cell>
          <cell r="X31">
            <v>92.521348441855196</v>
          </cell>
          <cell r="Y31">
            <v>111.78437834404312</v>
          </cell>
        </row>
        <row r="32">
          <cell r="T32">
            <v>365.46246402510798</v>
          </cell>
          <cell r="U32">
            <v>361.66467625034034</v>
          </cell>
          <cell r="X32">
            <v>106.83167546171438</v>
          </cell>
          <cell r="Y32">
            <v>122.18976295444489</v>
          </cell>
        </row>
        <row r="33">
          <cell r="T33">
            <v>3.7484920000000002</v>
          </cell>
          <cell r="U33">
            <v>4.7065110000000008</v>
          </cell>
          <cell r="X33">
            <v>3.6804140000000003</v>
          </cell>
          <cell r="Y33">
            <v>4.6383810000000008</v>
          </cell>
        </row>
        <row r="34">
          <cell r="T34">
            <v>361.71397202510798</v>
          </cell>
          <cell r="U34">
            <v>356.95816525034036</v>
          </cell>
          <cell r="X34">
            <v>103.1512614617144</v>
          </cell>
          <cell r="Y34">
            <v>117.55138195444491</v>
          </cell>
        </row>
        <row r="35">
          <cell r="T35">
            <v>158.60319005046463</v>
          </cell>
          <cell r="U35">
            <v>167.23670850311339</v>
          </cell>
          <cell r="X35">
            <v>75.130630965654575</v>
          </cell>
          <cell r="Y35">
            <v>104.42627102194066</v>
          </cell>
        </row>
        <row r="36">
          <cell r="T36">
            <v>60.992472016975256</v>
          </cell>
          <cell r="U36">
            <v>68.441683379298524</v>
          </cell>
          <cell r="X36">
            <v>58.627110376976191</v>
          </cell>
          <cell r="Y36">
            <v>73.975768299999629</v>
          </cell>
        </row>
        <row r="37">
          <cell r="T37">
            <v>97.610718033489377</v>
          </cell>
          <cell r="U37">
            <v>98.795025123814867</v>
          </cell>
          <cell r="X37">
            <v>16.503520588678384</v>
          </cell>
          <cell r="Y37">
            <v>30.450502721941021</v>
          </cell>
        </row>
        <row r="38">
          <cell r="T38">
            <v>0.55700300000000091</v>
          </cell>
          <cell r="U38">
            <v>0.725989</v>
          </cell>
          <cell r="X38">
            <v>2.0792350000000011</v>
          </cell>
          <cell r="Y38">
            <v>2.9326100000000004</v>
          </cell>
        </row>
        <row r="39">
          <cell r="T39">
            <v>97.053715033489382</v>
          </cell>
          <cell r="U39">
            <v>98.069036123814868</v>
          </cell>
          <cell r="X39">
            <v>14.424285588678387</v>
          </cell>
          <cell r="Y39">
            <v>27.517892721941024</v>
          </cell>
        </row>
        <row r="41">
          <cell r="T41">
            <v>100.24851885204967</v>
          </cell>
          <cell r="U41">
            <v>98.967072252100877</v>
          </cell>
          <cell r="X41">
            <v>38.494365698928078</v>
          </cell>
          <cell r="Y41">
            <v>61.552172691971045</v>
          </cell>
        </row>
        <row r="42">
          <cell r="T42">
            <v>32.060832916975613</v>
          </cell>
          <cell r="U42">
            <v>32.838729599297935</v>
          </cell>
          <cell r="X42">
            <v>31.137609806976684</v>
          </cell>
          <cell r="Y42">
            <v>40.582430319999212</v>
          </cell>
        </row>
        <row r="43">
          <cell r="T43">
            <v>68.187685935074057</v>
          </cell>
          <cell r="U43">
            <v>66.128342652802942</v>
          </cell>
          <cell r="X43">
            <v>7.3567558919513942</v>
          </cell>
          <cell r="Y43">
            <v>20.969742371971833</v>
          </cell>
        </row>
        <row r="44">
          <cell r="T44">
            <v>0.11395600000000121</v>
          </cell>
          <cell r="U44">
            <v>0.33158499999999996</v>
          </cell>
          <cell r="X44">
            <v>1.6409210000000012</v>
          </cell>
          <cell r="Y44">
            <v>2.5284200000000001</v>
          </cell>
        </row>
        <row r="45">
          <cell r="T45">
            <v>68.073729935074056</v>
          </cell>
          <cell r="U45">
            <v>65.796757652802938</v>
          </cell>
          <cell r="X45">
            <v>5.7158348919513955</v>
          </cell>
          <cell r="Y45">
            <v>18.441322371971829</v>
          </cell>
        </row>
        <row r="50">
          <cell r="T50">
            <v>522.60915839456095</v>
          </cell>
          <cell r="U50">
            <v>513.53481840634299</v>
          </cell>
          <cell r="X50">
            <v>194.58767496488196</v>
          </cell>
          <cell r="Y50">
            <v>233.97414129848801</v>
          </cell>
        </row>
        <row r="51">
          <cell r="T51">
            <v>139.06418482874761</v>
          </cell>
          <cell r="U51">
            <v>151.87014215600266</v>
          </cell>
          <cell r="X51">
            <v>92.521348441855196</v>
          </cell>
          <cell r="Y51">
            <v>111.78437834404312</v>
          </cell>
        </row>
        <row r="52">
          <cell r="T52">
            <v>383.54497356581334</v>
          </cell>
          <cell r="U52">
            <v>361.66467625034034</v>
          </cell>
          <cell r="X52">
            <v>102.06632652302676</v>
          </cell>
          <cell r="Y52">
            <v>122.18976295444489</v>
          </cell>
        </row>
        <row r="53">
          <cell r="T53">
            <v>3.7484920000000002</v>
          </cell>
          <cell r="U53">
            <v>4.7065110000000008</v>
          </cell>
          <cell r="X53">
            <v>3.6804140000000003</v>
          </cell>
          <cell r="Y53">
            <v>4.6383810000000008</v>
          </cell>
        </row>
        <row r="54">
          <cell r="T54">
            <v>379.79648156581334</v>
          </cell>
          <cell r="U54">
            <v>356.95816525034036</v>
          </cell>
          <cell r="X54">
            <v>98.385912523026775</v>
          </cell>
          <cell r="Y54">
            <v>117.55138195444491</v>
          </cell>
        </row>
        <row r="55">
          <cell r="T55">
            <v>358.715743031648</v>
          </cell>
          <cell r="U55">
            <v>349.71419907096799</v>
          </cell>
          <cell r="X55">
            <v>122.59121792483822</v>
          </cell>
          <cell r="Y55">
            <v>130.88457109041431</v>
          </cell>
        </row>
        <row r="56">
          <cell r="T56">
            <v>78.838081001772366</v>
          </cell>
          <cell r="U56">
            <v>83.71183214670414</v>
          </cell>
          <cell r="X56">
            <v>33.896955174879011</v>
          </cell>
          <cell r="Y56">
            <v>37.956976124043479</v>
          </cell>
        </row>
        <row r="57">
          <cell r="T57">
            <v>279.87766202987564</v>
          </cell>
          <cell r="U57">
            <v>266.00236692426387</v>
          </cell>
          <cell r="X57">
            <v>88.694262749959194</v>
          </cell>
          <cell r="Y57">
            <v>92.927594966370862</v>
          </cell>
        </row>
        <row r="58">
          <cell r="T58">
            <v>3.3390139999999993</v>
          </cell>
          <cell r="U58">
            <v>3.9839140000000008</v>
          </cell>
          <cell r="X58">
            <v>1.7482539999999991</v>
          </cell>
          <cell r="Y58">
            <v>1.7091630000000007</v>
          </cell>
        </row>
        <row r="59">
          <cell r="T59">
            <v>276.53864802987562</v>
          </cell>
          <cell r="U59">
            <v>262.0184529242639</v>
          </cell>
          <cell r="X59">
            <v>86.946008749959219</v>
          </cell>
          <cell r="Y59">
            <v>91.218431966370872</v>
          </cell>
        </row>
        <row r="60">
          <cell r="T60">
            <v>163.89341536291298</v>
          </cell>
          <cell r="U60">
            <v>163.820619335375</v>
          </cell>
          <cell r="X60">
            <v>71.996457040043765</v>
          </cell>
          <cell r="Y60">
            <v>103.0895702080737</v>
          </cell>
        </row>
        <row r="61">
          <cell r="T61">
            <v>60.226103826975248</v>
          </cell>
          <cell r="U61">
            <v>68.158310009298518</v>
          </cell>
          <cell r="X61">
            <v>58.624393266976185</v>
          </cell>
          <cell r="Y61">
            <v>73.827402219999641</v>
          </cell>
        </row>
        <row r="62">
          <cell r="T62">
            <v>103.66731153593773</v>
          </cell>
          <cell r="U62">
            <v>95.662309326076482</v>
          </cell>
          <cell r="X62">
            <v>13.37206377306758</v>
          </cell>
          <cell r="Y62">
            <v>29.262167988074054</v>
          </cell>
        </row>
        <row r="63">
          <cell r="T63">
            <v>0.40947800000000095</v>
          </cell>
          <cell r="U63">
            <v>0.72259699999999993</v>
          </cell>
          <cell r="X63">
            <v>1.932160000000001</v>
          </cell>
          <cell r="Y63">
            <v>2.9292180000000001</v>
          </cell>
        </row>
        <row r="64">
          <cell r="T64">
            <v>103.25783353593772</v>
          </cell>
          <cell r="U64">
            <v>94.939712326076489</v>
          </cell>
          <cell r="X64">
            <v>11.43990377306757</v>
          </cell>
          <cell r="Y64">
            <v>26.332949988074063</v>
          </cell>
        </row>
        <row r="66">
          <cell r="T66">
            <v>104.277184493359</v>
          </cell>
          <cell r="U66">
            <v>95.947722084362496</v>
          </cell>
          <cell r="X66">
            <v>35.794242017092998</v>
          </cell>
          <cell r="Y66">
            <v>60.612210878104094</v>
          </cell>
        </row>
        <row r="67">
          <cell r="T67">
            <v>31.294464726975619</v>
          </cell>
          <cell r="U67">
            <v>32.952095229297932</v>
          </cell>
          <cell r="X67">
            <v>31.134892696976706</v>
          </cell>
          <cell r="Y67">
            <v>40.830803239999213</v>
          </cell>
        </row>
        <row r="68">
          <cell r="T68">
            <v>72.982719766383383</v>
          </cell>
          <cell r="U68">
            <v>62.995626855064565</v>
          </cell>
          <cell r="X68">
            <v>4.6593493201162914</v>
          </cell>
          <cell r="Y68">
            <v>19.781407638104881</v>
          </cell>
        </row>
        <row r="69">
          <cell r="T69">
            <v>-3.3568999999998801E-2</v>
          </cell>
          <cell r="U69">
            <v>0.32819299999999996</v>
          </cell>
          <cell r="X69">
            <v>1.4938460000000011</v>
          </cell>
          <cell r="Y69">
            <v>2.5250279999999998</v>
          </cell>
        </row>
        <row r="70">
          <cell r="T70">
            <v>73.016288766383383</v>
          </cell>
          <cell r="U70">
            <v>62.667433855064566</v>
          </cell>
          <cell r="X70">
            <v>3.1655033201162865</v>
          </cell>
          <cell r="Y70">
            <v>17.256379638104882</v>
          </cell>
        </row>
        <row r="79">
          <cell r="T79">
            <v>0</v>
          </cell>
          <cell r="U79">
            <v>0</v>
          </cell>
          <cell r="X79">
            <v>0</v>
          </cell>
          <cell r="Y79">
            <v>0</v>
          </cell>
        </row>
        <row r="85">
          <cell r="T85">
            <v>-3.6967098485372398</v>
          </cell>
          <cell r="U85">
            <v>-3.41608916773838</v>
          </cell>
          <cell r="X85">
            <v>-1.3901926974767296</v>
          </cell>
          <cell r="Y85">
            <v>-1.3367008138669503</v>
          </cell>
        </row>
        <row r="86">
          <cell r="T86">
            <v>-3.6967098485372398</v>
          </cell>
          <cell r="U86">
            <v>-3.41608916773838</v>
          </cell>
          <cell r="X86">
            <v>-1.3901926974767296</v>
          </cell>
          <cell r="Y86">
            <v>-1.3367008138669503</v>
          </cell>
        </row>
        <row r="91">
          <cell r="T91">
            <v>0</v>
          </cell>
          <cell r="U91">
            <v>0</v>
          </cell>
        </row>
        <row r="106">
          <cell r="T106">
            <v>522.60915839456095</v>
          </cell>
          <cell r="U106">
            <v>513.53481840634299</v>
          </cell>
          <cell r="X106">
            <v>194.58767496488196</v>
          </cell>
          <cell r="Y106">
            <v>233.97414129848801</v>
          </cell>
        </row>
        <row r="107">
          <cell r="T107">
            <v>481.47687509835976</v>
          </cell>
          <cell r="U107">
            <v>470.52796108359905</v>
          </cell>
          <cell r="X107">
            <v>182.39300196104017</v>
          </cell>
          <cell r="Y107">
            <v>221.07973338614224</v>
          </cell>
        </row>
        <row r="108">
          <cell r="T108">
            <v>221.69457985281298</v>
          </cell>
          <cell r="U108">
            <v>198.57361907203457</v>
          </cell>
          <cell r="X108">
            <v>24.902894053697963</v>
          </cell>
          <cell r="Y108">
            <v>37.089654931742558</v>
          </cell>
        </row>
        <row r="109">
          <cell r="T109">
            <v>259.77841615291061</v>
          </cell>
          <cell r="U109">
            <v>271.98302889138444</v>
          </cell>
          <cell r="X109">
            <v>157.48666410037424</v>
          </cell>
          <cell r="Y109">
            <v>184.02561255340035</v>
          </cell>
        </row>
        <row r="110">
          <cell r="T110">
            <v>41.132283296201194</v>
          </cell>
          <cell r="U110">
            <v>43.006857322743954</v>
          </cell>
          <cell r="X110">
            <v>12.194673003841785</v>
          </cell>
          <cell r="Y110">
            <v>12.89440791234578</v>
          </cell>
        </row>
        <row r="117">
          <cell r="T117">
            <v>504.52664885385559</v>
          </cell>
          <cell r="U117">
            <v>513.53481840634299</v>
          </cell>
          <cell r="X117">
            <v>199.35302390356958</v>
          </cell>
          <cell r="Y117">
            <v>233.97414129848801</v>
          </cell>
        </row>
        <row r="118">
          <cell r="T118">
            <v>465.67654770826175</v>
          </cell>
          <cell r="U118">
            <v>470.52796108359905</v>
          </cell>
          <cell r="X118">
            <v>186.86922845351711</v>
          </cell>
          <cell r="Y118">
            <v>221.07973338614224</v>
          </cell>
        </row>
        <row r="119">
          <cell r="T119">
            <v>205.20891501314804</v>
          </cell>
          <cell r="U119">
            <v>198.57361907203457</v>
          </cell>
          <cell r="X119">
            <v>27.855393692174772</v>
          </cell>
          <cell r="Y119">
            <v>37.089654931742558</v>
          </cell>
        </row>
        <row r="120">
          <cell r="T120">
            <v>260.4637536024776</v>
          </cell>
          <cell r="U120">
            <v>271.98302889138444</v>
          </cell>
          <cell r="X120">
            <v>159.01039095437446</v>
          </cell>
          <cell r="Y120">
            <v>184.02561255340035</v>
          </cell>
        </row>
        <row r="121">
          <cell r="T121">
            <v>38.850101145593825</v>
          </cell>
          <cell r="U121">
            <v>43.006857322743954</v>
          </cell>
          <cell r="X121">
            <v>12.483795450052451</v>
          </cell>
          <cell r="Y121">
            <v>12.89440791234578</v>
          </cell>
        </row>
        <row r="130">
          <cell r="T130">
            <v>167.59012521145021</v>
          </cell>
          <cell r="U130">
            <v>167.23670850311339</v>
          </cell>
          <cell r="X130">
            <v>73.3866497375205</v>
          </cell>
          <cell r="Y130">
            <v>104.42627102194066</v>
          </cell>
        </row>
        <row r="131">
          <cell r="T131">
            <v>158.17378507148905</v>
          </cell>
          <cell r="U131">
            <v>154.79215694013078</v>
          </cell>
          <cell r="X131">
            <v>72.901565386101822</v>
          </cell>
          <cell r="Y131">
            <v>101.78088496974968</v>
          </cell>
        </row>
        <row r="132">
          <cell r="T132">
            <v>59.570796309963917</v>
          </cell>
          <cell r="U132">
            <v>47.112718489217691</v>
          </cell>
          <cell r="X132">
            <v>-16.591521724415266</v>
          </cell>
          <cell r="Y132">
            <v>-8.6491997534362852</v>
          </cell>
        </row>
        <row r="133">
          <cell r="T133">
            <v>98.591111214000989</v>
          </cell>
          <cell r="U133">
            <v>107.74698134730805</v>
          </cell>
          <cell r="X133">
            <v>89.439153185686052</v>
          </cell>
          <cell r="Y133">
            <v>110.48031184844041</v>
          </cell>
        </row>
        <row r="134">
          <cell r="T134">
            <v>9.4163401399611768</v>
          </cell>
          <cell r="U134">
            <v>12.444551562982619</v>
          </cell>
          <cell r="X134">
            <v>0.48508435141869199</v>
          </cell>
          <cell r="Y134">
            <v>2.6453860521909824</v>
          </cell>
        </row>
        <row r="141">
          <cell r="T141">
            <v>158.60319005046463</v>
          </cell>
          <cell r="U141">
            <v>167.23670850311339</v>
          </cell>
          <cell r="X141">
            <v>75.130630965654575</v>
          </cell>
          <cell r="Y141">
            <v>104.42627102194066</v>
          </cell>
        </row>
        <row r="142">
          <cell r="T142">
            <v>150.06845061715359</v>
          </cell>
          <cell r="U142">
            <v>154.79215694013078</v>
          </cell>
          <cell r="X142">
            <v>74.53211290899408</v>
          </cell>
          <cell r="Y142">
            <v>101.78088496974968</v>
          </cell>
        </row>
        <row r="143">
          <cell r="T143">
            <v>51.488962777734834</v>
          </cell>
          <cell r="U143">
            <v>47.112718489217691</v>
          </cell>
          <cell r="X143">
            <v>-15.742193205944965</v>
          </cell>
          <cell r="Y143">
            <v>-8.6491997534362852</v>
          </cell>
        </row>
        <row r="144">
          <cell r="T144">
            <v>98.567610291894596</v>
          </cell>
          <cell r="U144">
            <v>107.74698134730805</v>
          </cell>
          <cell r="X144">
            <v>90.262428567414887</v>
          </cell>
          <cell r="Y144">
            <v>110.48031184844041</v>
          </cell>
        </row>
        <row r="145">
          <cell r="T145">
            <v>8.5347394333110529</v>
          </cell>
          <cell r="U145">
            <v>12.444551562982619</v>
          </cell>
          <cell r="X145">
            <v>0.59851805666050417</v>
          </cell>
          <cell r="Y145">
            <v>2.6453860521909824</v>
          </cell>
        </row>
        <row r="156">
          <cell r="T156">
            <v>163.89341536291298</v>
          </cell>
          <cell r="U156">
            <v>163.820619335375</v>
          </cell>
          <cell r="X156">
            <v>71.996457040043765</v>
          </cell>
          <cell r="Y156">
            <v>103.0895702080737</v>
          </cell>
        </row>
        <row r="157">
          <cell r="T157">
            <v>3.6967098485372398</v>
          </cell>
          <cell r="U157">
            <v>3.41608916773838</v>
          </cell>
          <cell r="X157">
            <v>1.3901926974767296</v>
          </cell>
          <cell r="Y157">
            <v>1.3367008138669503</v>
          </cell>
        </row>
        <row r="158">
          <cell r="T158">
            <v>167.59012521145021</v>
          </cell>
          <cell r="U158">
            <v>167.23670850311339</v>
          </cell>
          <cell r="X158">
            <v>73.3866497375205</v>
          </cell>
          <cell r="Y158">
            <v>104.42627102194066</v>
          </cell>
        </row>
        <row r="159">
          <cell r="T159">
            <v>39.6118756101557</v>
          </cell>
          <cell r="U159">
            <v>41.5275890874344</v>
          </cell>
          <cell r="X159">
            <v>17.899956337891002</v>
          </cell>
          <cell r="Y159">
            <v>19.2330526215224</v>
          </cell>
        </row>
        <row r="160">
          <cell r="T160">
            <v>18.9220350580771</v>
          </cell>
          <cell r="U160">
            <v>25.878172934093897</v>
          </cell>
          <cell r="X160">
            <v>18.147400550759404</v>
          </cell>
          <cell r="Y160">
            <v>23.721639929496355</v>
          </cell>
        </row>
        <row r="161">
          <cell r="T161">
            <v>1.0823202013211741</v>
          </cell>
          <cell r="U161">
            <v>0.86387422948421744</v>
          </cell>
          <cell r="X161">
            <v>0.15485813430037687</v>
          </cell>
          <cell r="Y161">
            <v>-8.0594221049144377E-2</v>
          </cell>
        </row>
        <row r="162">
          <cell r="T162">
            <v>107.97389434189624</v>
          </cell>
          <cell r="U162">
            <v>98.967072252100877</v>
          </cell>
          <cell r="X162">
            <v>37.184434714569718</v>
          </cell>
          <cell r="Y162">
            <v>61.552172691971045</v>
          </cell>
        </row>
      </sheetData>
      <sheetData sheetId="3">
        <row r="10">
          <cell r="T10">
            <v>217.62852707372812</v>
          </cell>
          <cell r="U10">
            <v>222.26512538231933</v>
          </cell>
          <cell r="X10">
            <v>70.846315585678809</v>
          </cell>
          <cell r="Y10">
            <v>74.707651448068106</v>
          </cell>
        </row>
        <row r="11">
          <cell r="T11">
            <v>129.03484419</v>
          </cell>
          <cell r="U11">
            <v>129.50141708000001</v>
          </cell>
          <cell r="X11">
            <v>37.252511999999996</v>
          </cell>
          <cell r="Y11">
            <v>39.539687590000014</v>
          </cell>
        </row>
        <row r="12">
          <cell r="T12">
            <v>83.334475018501706</v>
          </cell>
          <cell r="U12">
            <v>83.953748229826914</v>
          </cell>
          <cell r="X12">
            <v>28.610297025516502</v>
          </cell>
          <cell r="Y12">
            <v>29.856539034404484</v>
          </cell>
        </row>
        <row r="13">
          <cell r="T13">
            <v>11.9571570410289</v>
          </cell>
          <cell r="U13">
            <v>15.524532020761301</v>
          </cell>
          <cell r="X13">
            <v>7.2312817594895495</v>
          </cell>
          <cell r="Y13">
            <v>7.4364953484816212</v>
          </cell>
        </row>
        <row r="14">
          <cell r="T14">
            <v>-6.6979491758024849</v>
          </cell>
          <cell r="U14">
            <v>-6.7145719482688992</v>
          </cell>
          <cell r="X14">
            <v>-2.2477751993272381</v>
          </cell>
          <cell r="Y14">
            <v>-2.125070524818014</v>
          </cell>
        </row>
        <row r="15">
          <cell r="T15">
            <v>34.113087445114331</v>
          </cell>
          <cell r="U15">
            <v>29.4547804104484</v>
          </cell>
          <cell r="X15">
            <v>8.2042907657086417</v>
          </cell>
          <cell r="Y15">
            <v>8.9212280705025755</v>
          </cell>
        </row>
        <row r="16">
          <cell r="T16">
            <v>14.7671469499999</v>
          </cell>
          <cell r="U16">
            <v>12.088068139999999</v>
          </cell>
          <cell r="X16">
            <v>0.47404027999999698</v>
          </cell>
          <cell r="Y16">
            <v>1.4887966499999976</v>
          </cell>
        </row>
        <row r="17">
          <cell r="T17">
            <v>20.770933327933331</v>
          </cell>
          <cell r="U17">
            <v>18.514786894721901</v>
          </cell>
          <cell r="X17">
            <v>8.4495803268645364</v>
          </cell>
          <cell r="Y17">
            <v>7.8736247678383382</v>
          </cell>
        </row>
        <row r="18">
          <cell r="T18">
            <v>-1.4249928328186201</v>
          </cell>
          <cell r="U18">
            <v>-1.1453464242734099</v>
          </cell>
          <cell r="X18">
            <v>-0.71932984115559018</v>
          </cell>
          <cell r="Y18">
            <v>-0.44010096733542892</v>
          </cell>
        </row>
        <row r="19">
          <cell r="T19">
            <v>-2.7777780076121417E-13</v>
          </cell>
          <cell r="U19">
            <v>-2.7282000000881101E-3</v>
          </cell>
          <cell r="X19">
            <v>-2.9976021664879227E-13</v>
          </cell>
          <cell r="Y19">
            <v>-1.0923800003296291E-3</v>
          </cell>
        </row>
        <row r="21">
          <cell r="T21">
            <v>26.276374452611961</v>
          </cell>
          <cell r="U21">
            <v>20.509531555114826</v>
          </cell>
          <cell r="X21">
            <v>5.6999480814970411</v>
          </cell>
          <cell r="Y21">
            <v>5.7782407248319512</v>
          </cell>
        </row>
        <row r="22">
          <cell r="T22">
            <v>10.497377259999901</v>
          </cell>
          <cell r="U22">
            <v>6.8917960800001001</v>
          </cell>
          <cell r="X22">
            <v>-1.0039081599999982</v>
          </cell>
          <cell r="Y22">
            <v>-0.53225115999990003</v>
          </cell>
        </row>
        <row r="23">
          <cell r="T23">
            <v>17.636922439988762</v>
          </cell>
          <cell r="U23">
            <v>15.720082758392508</v>
          </cell>
          <cell r="X23">
            <v>7.4703140419696279</v>
          </cell>
          <cell r="Y23">
            <v>6.7707622131718441</v>
          </cell>
        </row>
        <row r="24">
          <cell r="T24">
            <v>-1.8579252473768402</v>
          </cell>
          <cell r="U24">
            <v>-2.0996190832775001</v>
          </cell>
          <cell r="X24">
            <v>-0.76645780047268008</v>
          </cell>
          <cell r="Y24">
            <v>-0.45917794833952019</v>
          </cell>
        </row>
        <row r="25">
          <cell r="T25">
            <v>1.3811174426336947E-13</v>
          </cell>
          <cell r="U25">
            <v>-2.728200000281511E-3</v>
          </cell>
          <cell r="X25">
            <v>9.1482377229112899E-14</v>
          </cell>
          <cell r="Y25">
            <v>-1.0923800004727369E-3</v>
          </cell>
        </row>
        <row r="30">
          <cell r="T30">
            <v>217.17381017260115</v>
          </cell>
          <cell r="U30">
            <v>222.26512538231933</v>
          </cell>
          <cell r="X30">
            <v>72.583289948445326</v>
          </cell>
          <cell r="Y30">
            <v>74.707651448068106</v>
          </cell>
        </row>
        <row r="31">
          <cell r="T31">
            <v>129.03484419</v>
          </cell>
          <cell r="U31">
            <v>129.50141708000001</v>
          </cell>
          <cell r="X31">
            <v>37.252511999999996</v>
          </cell>
          <cell r="Y31">
            <v>39.539687590000014</v>
          </cell>
        </row>
        <row r="32">
          <cell r="T32">
            <v>82.919552970553454</v>
          </cell>
          <cell r="U32">
            <v>83.953748229826914</v>
          </cell>
          <cell r="X32">
            <v>30.303678862427446</v>
          </cell>
          <cell r="Y32">
            <v>29.856539034404484</v>
          </cell>
        </row>
        <row r="33">
          <cell r="T33">
            <v>11.913190889370551</v>
          </cell>
          <cell r="U33">
            <v>15.524532020761301</v>
          </cell>
          <cell r="X33">
            <v>7.2918653008746501</v>
          </cell>
          <cell r="Y33">
            <v>7.4364953484816212</v>
          </cell>
        </row>
        <row r="34">
          <cell r="T34">
            <v>-6.6937778773228551</v>
          </cell>
          <cell r="U34">
            <v>-6.7145719482688992</v>
          </cell>
          <cell r="X34">
            <v>-2.264766214856766</v>
          </cell>
          <cell r="Y34">
            <v>-2.125070524818014</v>
          </cell>
        </row>
        <row r="35">
          <cell r="T35">
            <v>34.267788684798091</v>
          </cell>
          <cell r="U35">
            <v>29.4547804104484</v>
          </cell>
          <cell r="X35">
            <v>8.561287239385944</v>
          </cell>
          <cell r="Y35">
            <v>8.9212280705025755</v>
          </cell>
        </row>
        <row r="36">
          <cell r="T36">
            <v>14.7671469499999</v>
          </cell>
          <cell r="U36">
            <v>12.088068139999999</v>
          </cell>
          <cell r="X36">
            <v>0.47404027999999698</v>
          </cell>
          <cell r="Y36">
            <v>1.4887966499999976</v>
          </cell>
        </row>
        <row r="37">
          <cell r="T37">
            <v>20.95295813441729</v>
          </cell>
          <cell r="U37">
            <v>18.514786894721901</v>
          </cell>
          <cell r="X37">
            <v>8.8750113678362084</v>
          </cell>
          <cell r="Y37">
            <v>7.8736247678383382</v>
          </cell>
        </row>
        <row r="38">
          <cell r="T38">
            <v>-1.4523163996188901</v>
          </cell>
          <cell r="U38">
            <v>-1.1453464242734099</v>
          </cell>
          <cell r="X38">
            <v>-0.7877644084498423</v>
          </cell>
          <cell r="Y38">
            <v>-0.44010096733542892</v>
          </cell>
        </row>
        <row r="39">
          <cell r="T39">
            <v>-2.0650148258027912E-13</v>
          </cell>
          <cell r="U39">
            <v>-2.7282000000881101E-3</v>
          </cell>
          <cell r="X39">
            <v>-4.1722181265413383E-13</v>
          </cell>
          <cell r="Y39">
            <v>-1.0923800003296291E-3</v>
          </cell>
        </row>
        <row r="41">
          <cell r="T41">
            <v>26.542960410007332</v>
          </cell>
          <cell r="U41">
            <v>20.509531555114826</v>
          </cell>
          <cell r="X41">
            <v>6.006186543020263</v>
          </cell>
          <cell r="Y41">
            <v>5.7782407248319512</v>
          </cell>
        </row>
        <row r="42">
          <cell r="T42">
            <v>10.497377259999901</v>
          </cell>
          <cell r="U42">
            <v>6.8917960800001001</v>
          </cell>
          <cell r="X42">
            <v>-1.0039081599999982</v>
          </cell>
          <cell r="Y42">
            <v>-0.53225115999990003</v>
          </cell>
        </row>
        <row r="43">
          <cell r="T43">
            <v>17.903610075022634</v>
          </cell>
          <cell r="U43">
            <v>15.720082758392508</v>
          </cell>
          <cell r="X43">
            <v>7.8469995060169406</v>
          </cell>
          <cell r="Y43">
            <v>6.7707622131718441</v>
          </cell>
        </row>
        <row r="44">
          <cell r="T44">
            <v>-1.8580269250153401</v>
          </cell>
          <cell r="U44">
            <v>-2.0996190832775001</v>
          </cell>
          <cell r="X44">
            <v>-0.83690480299663284</v>
          </cell>
          <cell r="Y44">
            <v>-0.45917794833952019</v>
          </cell>
        </row>
        <row r="45">
          <cell r="T45">
            <v>1.3722356584366935E-13</v>
          </cell>
          <cell r="U45">
            <v>-2.728200000281511E-3</v>
          </cell>
          <cell r="X45">
            <v>-4.6629367034256575E-14</v>
          </cell>
          <cell r="Y45">
            <v>-1.0923800004727369E-3</v>
          </cell>
        </row>
        <row r="50">
          <cell r="T50">
            <v>202.82103665034901</v>
          </cell>
          <cell r="U50">
            <v>207.74686569297401</v>
          </cell>
          <cell r="X50">
            <v>66.053131958342021</v>
          </cell>
          <cell r="Y50">
            <v>69.946820731114997</v>
          </cell>
        </row>
        <row r="51">
          <cell r="T51">
            <v>179.777553225285</v>
          </cell>
          <cell r="U51">
            <v>180.86446469932</v>
          </cell>
          <cell r="X51">
            <v>56.030047914777001</v>
          </cell>
          <cell r="Y51">
            <v>58.938596205738989</v>
          </cell>
        </row>
        <row r="52">
          <cell r="T52">
            <v>116.7790857</v>
          </cell>
          <cell r="U52">
            <v>116.51528125</v>
          </cell>
          <cell r="X52">
            <v>33.62819103999999</v>
          </cell>
          <cell r="Y52">
            <v>35.482151560000105</v>
          </cell>
        </row>
        <row r="53">
          <cell r="T53">
            <v>63.0967127500125</v>
          </cell>
          <cell r="U53">
            <v>64.378120629319994</v>
          </cell>
          <cell r="X53">
            <v>22.477745675144696</v>
          </cell>
          <cell r="Y53">
            <v>23.467659535738996</v>
          </cell>
        </row>
        <row r="54">
          <cell r="T54">
            <v>-9.8245224727492086E-2</v>
          </cell>
          <cell r="U54">
            <v>-2.8937179999999785E-2</v>
          </cell>
          <cell r="X54">
            <v>-7.588880036768586E-2</v>
          </cell>
          <cell r="Y54">
            <v>-1.1214890000111666E-2</v>
          </cell>
        </row>
        <row r="55">
          <cell r="T55">
            <v>23.043483425064011</v>
          </cell>
          <cell r="U55">
            <v>26.882400993654016</v>
          </cell>
          <cell r="X55">
            <v>10.023084043565021</v>
          </cell>
          <cell r="Y55">
            <v>11.008224525376008</v>
          </cell>
        </row>
        <row r="56">
          <cell r="T56">
            <v>178.70413837697751</v>
          </cell>
          <cell r="U56">
            <v>187.7183451516637</v>
          </cell>
          <cell r="X56">
            <v>60.26348724483671</v>
          </cell>
          <cell r="Y56">
            <v>63.294102083612984</v>
          </cell>
        </row>
        <row r="57">
          <cell r="T57">
            <v>116.93383961000009</v>
          </cell>
          <cell r="U57">
            <v>119.05717265999999</v>
          </cell>
          <cell r="X57">
            <v>37.211224999999985</v>
          </cell>
          <cell r="Y57">
            <v>38.24542593999999</v>
          </cell>
        </row>
        <row r="58">
          <cell r="T58">
            <v>54.989322548932108</v>
          </cell>
          <cell r="U58">
            <v>58.592017794897799</v>
          </cell>
          <cell r="X58">
            <v>17.349425843518524</v>
          </cell>
          <cell r="Y58">
            <v>19.290998752613646</v>
          </cell>
        </row>
        <row r="59">
          <cell r="T59">
            <v>13.478925393847522</v>
          </cell>
          <cell r="U59">
            <v>16.780998445034712</v>
          </cell>
          <cell r="X59">
            <v>7.9506116006451419</v>
          </cell>
          <cell r="Y59">
            <v>7.8816555358170497</v>
          </cell>
        </row>
        <row r="60">
          <cell r="T60">
            <v>-6.6979491758022114</v>
          </cell>
          <cell r="U60">
            <v>-6.7118437482688051</v>
          </cell>
          <cell r="X60">
            <v>-2.2477751993269406</v>
          </cell>
          <cell r="Y60">
            <v>-2.123978144817702</v>
          </cell>
        </row>
        <row r="61">
          <cell r="T61">
            <v>24.116898273371497</v>
          </cell>
          <cell r="U61">
            <v>20.0285205413103</v>
          </cell>
          <cell r="X61">
            <v>5.7896447135052966</v>
          </cell>
          <cell r="Y61">
            <v>6.6527186475019988</v>
          </cell>
        </row>
        <row r="62">
          <cell r="T62">
            <v>12.101004579999898</v>
          </cell>
          <cell r="U62">
            <v>10.444244419999999</v>
          </cell>
          <cell r="X62">
            <v>4.1286999999998741E-2</v>
          </cell>
          <cell r="Y62">
            <v>1.2942616499999975</v>
          </cell>
        </row>
        <row r="63">
          <cell r="T63">
            <v>13.537662046190501</v>
          </cell>
          <cell r="U63">
            <v>10.843470745583799</v>
          </cell>
          <cell r="X63">
            <v>6.4676875546611905</v>
          </cell>
          <cell r="Y63">
            <v>5.8047095648377596</v>
          </cell>
        </row>
        <row r="64">
          <cell r="T64">
            <v>-1.5217683528186201</v>
          </cell>
          <cell r="U64">
            <v>-1.25646642427341</v>
          </cell>
          <cell r="X64">
            <v>-0.71932984115559007</v>
          </cell>
          <cell r="Y64">
            <v>-0.44516018733542906</v>
          </cell>
        </row>
        <row r="65">
          <cell r="T65">
            <v>-2.8266278206956486E-13</v>
          </cell>
          <cell r="U65">
            <v>-2.7282000000876661E-3</v>
          </cell>
          <cell r="X65">
            <v>-3.0253577421035516E-13</v>
          </cell>
          <cell r="Y65">
            <v>-1.092380000329185E-3</v>
          </cell>
        </row>
        <row r="67">
          <cell r="T67">
            <v>15.761782557076966</v>
          </cell>
          <cell r="U67">
            <v>11.74481578065809</v>
          </cell>
          <cell r="X67">
            <v>3.5511345305754425</v>
          </cell>
          <cell r="Y67">
            <v>3.6941771983559093</v>
          </cell>
        </row>
        <row r="68">
          <cell r="T68">
            <v>7.8312348899998998</v>
          </cell>
          <cell r="U68">
            <v>5.2479723600000998</v>
          </cell>
          <cell r="X68">
            <v>-1.43666144</v>
          </cell>
          <cell r="Y68">
            <v>-0.72678615999989926</v>
          </cell>
        </row>
        <row r="69">
          <cell r="T69">
            <v>9.8852484344537661</v>
          </cell>
          <cell r="U69">
            <v>8.7103107039357699</v>
          </cell>
          <cell r="X69">
            <v>5.7542537710480319</v>
          </cell>
          <cell r="Y69">
            <v>4.8862929066958003</v>
          </cell>
        </row>
        <row r="70">
          <cell r="T70">
            <v>-1.9547007673768402</v>
          </cell>
          <cell r="U70">
            <v>-2.2107390832774998</v>
          </cell>
          <cell r="X70">
            <v>-0.76645780047268008</v>
          </cell>
          <cell r="Y70">
            <v>-0.46423716833951967</v>
          </cell>
        </row>
        <row r="71">
          <cell r="T71">
            <v>1.4033219031261979E-13</v>
          </cell>
          <cell r="U71">
            <v>-2.7282000002797346E-3</v>
          </cell>
          <cell r="X71">
            <v>9.0594198809412774E-14</v>
          </cell>
          <cell r="Y71">
            <v>-1.0923800004720707E-3</v>
          </cell>
        </row>
        <row r="80">
          <cell r="T80">
            <v>14.8074904233791</v>
          </cell>
          <cell r="U80">
            <v>14.518259689345316</v>
          </cell>
          <cell r="X80">
            <v>4.7931836273367949</v>
          </cell>
          <cell r="Y80">
            <v>4.7608307169530804</v>
          </cell>
        </row>
        <row r="81">
          <cell r="T81">
            <v>14.8074904233791</v>
          </cell>
          <cell r="U81">
            <v>14.518259689345316</v>
          </cell>
          <cell r="X81">
            <v>4.7931836273367949</v>
          </cell>
          <cell r="Y81">
            <v>4.7608307169530804</v>
          </cell>
        </row>
        <row r="86">
          <cell r="T86">
            <v>4.811301251636265</v>
          </cell>
          <cell r="U86">
            <v>5.0919998202072154</v>
          </cell>
          <cell r="X86">
            <v>2.378537575133445</v>
          </cell>
          <cell r="Y86">
            <v>2.4923212939525046</v>
          </cell>
        </row>
        <row r="87">
          <cell r="T87">
            <v>-4.34975599277898</v>
          </cell>
          <cell r="U87">
            <v>-4.1047847200908798</v>
          </cell>
          <cell r="X87">
            <v>-0.66330383647238067</v>
          </cell>
          <cell r="Y87">
            <v>-0.51788793606755945</v>
          </cell>
        </row>
        <row r="88">
          <cell r="T88">
            <v>9.1610572444152449</v>
          </cell>
          <cell r="U88">
            <v>9.1967845402980952</v>
          </cell>
          <cell r="X88">
            <v>3.0418414116058257</v>
          </cell>
          <cell r="Y88">
            <v>3.010209230020064</v>
          </cell>
        </row>
        <row r="92">
          <cell r="T92">
            <v>-0.51840272510908147</v>
          </cell>
          <cell r="U92">
            <v>0.66154409468136244</v>
          </cell>
          <cell r="X92">
            <v>0.26583250128175306</v>
          </cell>
          <cell r="Y92">
            <v>0.18444589652453303</v>
          </cell>
        </row>
        <row r="93">
          <cell r="T93">
            <v>0.69825679890323844</v>
          </cell>
          <cell r="U93">
            <v>0.66154409468136244</v>
          </cell>
          <cell r="X93">
            <v>0.26583250128175306</v>
          </cell>
          <cell r="Y93">
            <v>0.18444589652453303</v>
          </cell>
        </row>
        <row r="94">
          <cell r="T94">
            <v>-1.2166595240123199</v>
          </cell>
          <cell r="X94">
            <v>0</v>
          </cell>
          <cell r="Y94">
            <v>0</v>
          </cell>
        </row>
        <row r="107">
          <cell r="T107">
            <v>24.116898273371497</v>
          </cell>
          <cell r="U107">
            <v>20.0285205413103</v>
          </cell>
          <cell r="X107">
            <v>5.7896447135052966</v>
          </cell>
          <cell r="Y107">
            <v>6.6527186475019988</v>
          </cell>
        </row>
        <row r="108">
          <cell r="T108">
            <v>5.6464331789638544</v>
          </cell>
          <cell r="U108">
            <v>5.3214751490472221</v>
          </cell>
          <cell r="X108">
            <v>1.7513422157309684</v>
          </cell>
          <cell r="Y108">
            <v>1.7506214869330181</v>
          </cell>
        </row>
        <row r="109">
          <cell r="T109">
            <v>4.34975599277898</v>
          </cell>
          <cell r="U109">
            <v>4.1047847200908798</v>
          </cell>
          <cell r="X109">
            <v>0.66330383647238067</v>
          </cell>
          <cell r="Y109">
            <v>0.51788793606755945</v>
          </cell>
        </row>
        <row r="110">
          <cell r="T110">
            <v>34.113087445114331</v>
          </cell>
          <cell r="U110">
            <v>29.4547804104484</v>
          </cell>
          <cell r="X110">
            <v>8.2042907657086417</v>
          </cell>
          <cell r="Y110">
            <v>8.9212280705025755</v>
          </cell>
        </row>
        <row r="111">
          <cell r="T111">
            <v>6.4111867629104387</v>
          </cell>
          <cell r="U111">
            <v>6.0635838905535131</v>
          </cell>
          <cell r="X111">
            <v>2.1502861152448443</v>
          </cell>
          <cell r="Y111">
            <v>2.1305110846417858</v>
          </cell>
        </row>
        <row r="112">
          <cell r="T112">
            <v>1.5935168995923141</v>
          </cell>
          <cell r="U112">
            <v>3.0496556347800001</v>
          </cell>
          <cell r="X112">
            <v>0.41005345896710166</v>
          </cell>
          <cell r="Y112">
            <v>1.0826351510288386</v>
          </cell>
        </row>
        <row r="113">
          <cell r="T113">
            <v>-0.16799067000038237</v>
          </cell>
          <cell r="U113">
            <v>-0.16799066999993917</v>
          </cell>
          <cell r="X113">
            <v>-5.5996890000345356E-2</v>
          </cell>
          <cell r="Y113">
            <v>-7.0158890000000085E-2</v>
          </cell>
        </row>
        <row r="114">
          <cell r="T114">
            <v>26.276374452611961</v>
          </cell>
          <cell r="U114">
            <v>20.509531555114826</v>
          </cell>
          <cell r="X114">
            <v>5.6999480814970411</v>
          </cell>
          <cell r="Y114">
            <v>5.7782407248319512</v>
          </cell>
        </row>
      </sheetData>
      <sheetData sheetId="4">
        <row r="10">
          <cell r="T10">
            <v>157.42095472154497</v>
          </cell>
          <cell r="U10">
            <v>174.07240816515699</v>
          </cell>
          <cell r="X10">
            <v>48.367039217277977</v>
          </cell>
          <cell r="Y10">
            <v>52.040493211859982</v>
          </cell>
        </row>
        <row r="11">
          <cell r="T11">
            <v>71.670896436666197</v>
          </cell>
          <cell r="U11">
            <v>78.946247551915903</v>
          </cell>
          <cell r="X11">
            <v>20.588127793300394</v>
          </cell>
          <cell r="Y11">
            <v>22.354130753377703</v>
          </cell>
        </row>
        <row r="12">
          <cell r="T12">
            <v>60.448018888632106</v>
          </cell>
          <cell r="U12">
            <v>69.878429126683713</v>
          </cell>
          <cell r="X12">
            <v>20.236591508744809</v>
          </cell>
          <cell r="Y12">
            <v>23.078760500091519</v>
          </cell>
        </row>
        <row r="13">
          <cell r="T13">
            <v>25.30203939624667</v>
          </cell>
          <cell r="U13">
            <v>25.24773148655737</v>
          </cell>
          <cell r="X13">
            <v>7.542319915232774</v>
          </cell>
          <cell r="Y13">
            <v>6.6076019583907595</v>
          </cell>
        </row>
        <row r="14">
          <cell r="T14">
            <v>4.5127304994734292</v>
          </cell>
          <cell r="U14">
            <v>7.4870677195189046</v>
          </cell>
          <cell r="X14">
            <v>-1.4468070873487004</v>
          </cell>
          <cell r="Y14">
            <v>0.10958030567482968</v>
          </cell>
        </row>
        <row r="16">
          <cell r="T16">
            <v>-2.0758564053690307</v>
          </cell>
          <cell r="U16">
            <v>1.7446528432257251</v>
          </cell>
          <cell r="X16">
            <v>-3.4278298778325831</v>
          </cell>
          <cell r="Y16">
            <v>-1.7907409446811799</v>
          </cell>
        </row>
        <row r="22">
          <cell r="T22">
            <v>157.42095472154497</v>
          </cell>
          <cell r="U22">
            <v>174.07240816515699</v>
          </cell>
          <cell r="X22">
            <v>48.367039217277977</v>
          </cell>
          <cell r="Y22">
            <v>52.040493211859982</v>
          </cell>
        </row>
        <row r="23">
          <cell r="T23">
            <v>71.670896436666197</v>
          </cell>
          <cell r="U23">
            <v>78.946247551915903</v>
          </cell>
          <cell r="X23">
            <v>20.588127793300394</v>
          </cell>
          <cell r="Y23">
            <v>22.354130753377703</v>
          </cell>
        </row>
        <row r="24">
          <cell r="T24">
            <v>60.448018888632106</v>
          </cell>
          <cell r="U24">
            <v>69.878429126683713</v>
          </cell>
          <cell r="X24">
            <v>20.236591508744809</v>
          </cell>
          <cell r="Y24">
            <v>23.078760500091519</v>
          </cell>
        </row>
        <row r="25">
          <cell r="T25">
            <v>25.30203939624667</v>
          </cell>
          <cell r="U25">
            <v>25.24773148655737</v>
          </cell>
          <cell r="X25">
            <v>7.542319915232774</v>
          </cell>
          <cell r="Y25">
            <v>6.6076019583907595</v>
          </cell>
        </row>
        <row r="26">
          <cell r="T26">
            <v>155.47576795079669</v>
          </cell>
          <cell r="U26">
            <v>166.98139054833013</v>
          </cell>
          <cell r="X26">
            <v>50.07876668335183</v>
          </cell>
          <cell r="Y26">
            <v>52.072831906185158</v>
          </cell>
        </row>
        <row r="27">
          <cell r="T27">
            <v>1.94518677074827</v>
          </cell>
          <cell r="U27">
            <v>7.0910176168268695</v>
          </cell>
          <cell r="X27">
            <v>-1.7117274660738599</v>
          </cell>
          <cell r="Y27">
            <v>-3.2338694325170003E-2</v>
          </cell>
        </row>
        <row r="29">
          <cell r="T29">
            <v>-4.6434001340941906</v>
          </cell>
          <cell r="U29">
            <v>1.3486027405336902</v>
          </cell>
          <cell r="X29">
            <v>-3.6927502565577432</v>
          </cell>
          <cell r="Y29">
            <v>-1.9326599446811799</v>
          </cell>
        </row>
        <row r="38">
          <cell r="T38">
            <v>0</v>
          </cell>
          <cell r="U38">
            <v>0</v>
          </cell>
          <cell r="X38">
            <v>0</v>
          </cell>
          <cell r="Y38">
            <v>0</v>
          </cell>
        </row>
        <row r="44">
          <cell r="T44">
            <v>-2.5675437287251599</v>
          </cell>
          <cell r="U44">
            <v>-0.396050102692035</v>
          </cell>
          <cell r="X44">
            <v>-0.26492037872516017</v>
          </cell>
          <cell r="Y44">
            <v>-0.14191900000000002</v>
          </cell>
        </row>
        <row r="45">
          <cell r="T45">
            <v>-2.5675437287251599</v>
          </cell>
          <cell r="U45">
            <v>-0.396050102692035</v>
          </cell>
          <cell r="X45">
            <v>-0.26492037872516017</v>
          </cell>
          <cell r="Y45">
            <v>-0.14191900000000002</v>
          </cell>
        </row>
        <row r="50">
          <cell r="T50">
            <v>0</v>
          </cell>
          <cell r="U50">
            <v>0</v>
          </cell>
          <cell r="X50">
            <v>0</v>
          </cell>
          <cell r="Y50">
            <v>0</v>
          </cell>
        </row>
        <row r="65">
          <cell r="T65">
            <v>1.94518677074827</v>
          </cell>
          <cell r="U65">
            <v>7.0910176168268695</v>
          </cell>
          <cell r="X65">
            <v>-1.7117274660738599</v>
          </cell>
          <cell r="Y65">
            <v>-3.2338694325170003E-2</v>
          </cell>
        </row>
        <row r="66">
          <cell r="T66">
            <v>2.5675437287251599</v>
          </cell>
          <cell r="U66">
            <v>0.396050102692035</v>
          </cell>
          <cell r="X66">
            <v>0.26492037872516017</v>
          </cell>
          <cell r="Y66">
            <v>0.14191900000000002</v>
          </cell>
        </row>
        <row r="67">
          <cell r="T67">
            <v>4.5127304994734292</v>
          </cell>
          <cell r="U67">
            <v>7.4870677195189046</v>
          </cell>
          <cell r="X67">
            <v>-1.4468070873487004</v>
          </cell>
          <cell r="Y67">
            <v>0.10958030567482968</v>
          </cell>
        </row>
        <row r="68">
          <cell r="T68">
            <v>5.6780267827789599</v>
          </cell>
          <cell r="U68">
            <v>5.46150981710975</v>
          </cell>
          <cell r="X68">
            <v>1.9119799724892901</v>
          </cell>
          <cell r="Y68">
            <v>1.84313502442384</v>
          </cell>
        </row>
        <row r="69">
          <cell r="T69">
            <v>0.90893530041822101</v>
          </cell>
          <cell r="U69">
            <v>0.24762428918342</v>
          </cell>
          <cell r="X69">
            <v>6.8546811550025066E-2</v>
          </cell>
          <cell r="Y69">
            <v>2.390545593215801E-2</v>
          </cell>
        </row>
        <row r="70">
          <cell r="T70">
            <v>1.6248216452789954E-3</v>
          </cell>
          <cell r="U70">
            <v>3.3280770000009452E-2</v>
          </cell>
          <cell r="X70">
            <v>4.9600644456704313E-4</v>
          </cell>
          <cell r="Y70">
            <v>3.3280770000011589E-2</v>
          </cell>
        </row>
        <row r="71">
          <cell r="T71">
            <v>-2.0758564053690307</v>
          </cell>
          <cell r="U71">
            <v>1.7446528432257251</v>
          </cell>
          <cell r="X71">
            <v>-3.4278298778325831</v>
          </cell>
          <cell r="Y71">
            <v>-1.7907409446811799</v>
          </cell>
        </row>
      </sheetData>
      <sheetData sheetId="5">
        <row r="10">
          <cell r="T10">
            <v>115.30804198999999</v>
          </cell>
          <cell r="U10">
            <v>124.30154506000001</v>
          </cell>
          <cell r="X10">
            <v>36.27468180999999</v>
          </cell>
          <cell r="Y10">
            <v>39.035282020000011</v>
          </cell>
        </row>
        <row r="11">
          <cell r="T11">
            <v>82.988945519999987</v>
          </cell>
          <cell r="U11">
            <v>86.453582650000001</v>
          </cell>
          <cell r="X11">
            <v>25.887452199999984</v>
          </cell>
          <cell r="Y11">
            <v>26.38223696</v>
          </cell>
        </row>
        <row r="12">
          <cell r="T12">
            <v>32.319096470000005</v>
          </cell>
          <cell r="U12">
            <v>37.847962410000008</v>
          </cell>
          <cell r="X12">
            <v>10.387229610000006</v>
          </cell>
          <cell r="Y12">
            <v>12.653045060000011</v>
          </cell>
        </row>
        <row r="13">
          <cell r="T13">
            <v>23.7783681829284</v>
          </cell>
          <cell r="U13">
            <v>23.535727087953799</v>
          </cell>
          <cell r="X13">
            <v>5.5187221523706</v>
          </cell>
          <cell r="Y13">
            <v>5.8657312586411976</v>
          </cell>
        </row>
        <row r="15">
          <cell r="T15">
            <v>17.8775594329284</v>
          </cell>
          <cell r="U15">
            <v>17.2719880379538</v>
          </cell>
          <cell r="X15">
            <v>3.5513505023706013</v>
          </cell>
          <cell r="Y15">
            <v>3.8227514986411997</v>
          </cell>
        </row>
        <row r="21">
          <cell r="T21">
            <v>115.30804198999999</v>
          </cell>
          <cell r="U21">
            <v>124.30154506000001</v>
          </cell>
          <cell r="X21">
            <v>36.27468180999999</v>
          </cell>
          <cell r="Y21">
            <v>39.035282020000011</v>
          </cell>
        </row>
        <row r="22">
          <cell r="T22">
            <v>82.988945519999987</v>
          </cell>
          <cell r="U22">
            <v>82.988945519999987</v>
          </cell>
          <cell r="X22">
            <v>25.887452199999984</v>
          </cell>
          <cell r="Y22">
            <v>25.887452199999984</v>
          </cell>
        </row>
        <row r="23">
          <cell r="T23">
            <v>32.319096470000005</v>
          </cell>
          <cell r="U23">
            <v>41.312599540000022</v>
          </cell>
          <cell r="X23">
            <v>10.387229610000006</v>
          </cell>
          <cell r="Y23">
            <v>13.147829820000027</v>
          </cell>
        </row>
        <row r="24">
          <cell r="T24">
            <v>92.446845897071597</v>
          </cell>
          <cell r="U24">
            <v>101.58170323204621</v>
          </cell>
          <cell r="X24">
            <v>30.840065057629396</v>
          </cell>
          <cell r="Y24">
            <v>33.567981631358805</v>
          </cell>
        </row>
        <row r="25">
          <cell r="T25">
            <v>22.861196092928399</v>
          </cell>
          <cell r="U25">
            <v>22.719841827953797</v>
          </cell>
          <cell r="X25">
            <v>5.4346167523705979</v>
          </cell>
          <cell r="Y25">
            <v>5.4673003886411955</v>
          </cell>
        </row>
        <row r="27">
          <cell r="T27">
            <v>16.960387342928399</v>
          </cell>
          <cell r="U27">
            <v>16.456102777953802</v>
          </cell>
          <cell r="X27">
            <v>3.4672451023705992</v>
          </cell>
          <cell r="Y27">
            <v>3.4243206286412029</v>
          </cell>
        </row>
        <row r="36">
          <cell r="T36">
            <v>0</v>
          </cell>
          <cell r="U36">
            <v>0</v>
          </cell>
          <cell r="X36">
            <v>0</v>
          </cell>
          <cell r="Y36">
            <v>0</v>
          </cell>
        </row>
        <row r="42">
          <cell r="T42">
            <v>-0.91717209000000111</v>
          </cell>
          <cell r="U42">
            <v>-0.81588526000000172</v>
          </cell>
          <cell r="X42">
            <v>-8.4105400000002106E-2</v>
          </cell>
          <cell r="Y42">
            <v>-0.3984308700000021</v>
          </cell>
        </row>
        <row r="43">
          <cell r="T43">
            <v>-0.91717209000000111</v>
          </cell>
          <cell r="U43">
            <v>-0.81588526000000172</v>
          </cell>
          <cell r="X43">
            <v>-8.4105400000002106E-2</v>
          </cell>
          <cell r="Y43">
            <v>-0.3984308700000021</v>
          </cell>
        </row>
        <row r="48">
          <cell r="T48">
            <v>0</v>
          </cell>
          <cell r="U48">
            <v>0</v>
          </cell>
          <cell r="X48">
            <v>0</v>
          </cell>
          <cell r="Y48">
            <v>0</v>
          </cell>
        </row>
        <row r="63">
          <cell r="T63">
            <v>22.861196092928399</v>
          </cell>
          <cell r="U63">
            <v>22.719841827953797</v>
          </cell>
          <cell r="X63">
            <v>5.4346167523705979</v>
          </cell>
          <cell r="Y63">
            <v>5.4673003886411955</v>
          </cell>
        </row>
        <row r="64">
          <cell r="T64">
            <v>0.91717209000000111</v>
          </cell>
          <cell r="U64">
            <v>0.81588526000000172</v>
          </cell>
          <cell r="X64">
            <v>8.4105400000002106E-2</v>
          </cell>
          <cell r="Y64">
            <v>0.3984308700000021</v>
          </cell>
        </row>
        <row r="65">
          <cell r="T65">
            <v>23.7783681829284</v>
          </cell>
          <cell r="U65">
            <v>23.535727087953799</v>
          </cell>
          <cell r="X65">
            <v>5.5187221523706</v>
          </cell>
          <cell r="Y65">
            <v>5.8657312586411976</v>
          </cell>
        </row>
        <row r="66">
          <cell r="T66">
            <v>5.7846811300000001</v>
          </cell>
          <cell r="U66">
            <v>6.2872005600000005</v>
          </cell>
          <cell r="X66">
            <v>1.9467319700000001</v>
          </cell>
          <cell r="Y66">
            <v>2.1461901400000007</v>
          </cell>
        </row>
        <row r="67">
          <cell r="T67">
            <v>0.11612761999999999</v>
          </cell>
          <cell r="U67">
            <v>-2.4265540000000002E-2</v>
          </cell>
          <cell r="X67">
            <v>2.0639679999999994E-2</v>
          </cell>
          <cell r="Y67">
            <v>-0.10321039</v>
          </cell>
        </row>
        <row r="68">
          <cell r="T68">
            <v>-5.5511151231257827E-16</v>
          </cell>
          <cell r="U68">
            <v>8.0402999999759639E-4</v>
          </cell>
          <cell r="X68">
            <v>-1.3877787807814457E-15</v>
          </cell>
          <cell r="Y68">
            <v>9.9999971775455165E-9</v>
          </cell>
        </row>
        <row r="69">
          <cell r="T69">
            <v>17.8775594329284</v>
          </cell>
          <cell r="U69">
            <v>17.2719880379538</v>
          </cell>
          <cell r="X69">
            <v>3.5513505023706013</v>
          </cell>
          <cell r="Y69">
            <v>3.8227514986411997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F375D-D079-4287-917F-CF7E6E79F4F9}">
  <dimension ref="A2:BD187"/>
  <sheetViews>
    <sheetView tabSelected="1" topLeftCell="D1" workbookViewId="0">
      <selection sqref="A1:C1048576"/>
    </sheetView>
  </sheetViews>
  <sheetFormatPr baseColWidth="10" defaultRowHeight="12.75"/>
  <cols>
    <col min="1" max="1" width="6.5703125" style="1" hidden="1" customWidth="1"/>
    <col min="2" max="3" width="0" style="1" hidden="1" customWidth="1"/>
    <col min="4" max="4" width="48.7109375" style="1" customWidth="1"/>
    <col min="5" max="5" width="1" style="1" customWidth="1"/>
    <col min="6" max="8" width="11.42578125" style="1"/>
    <col min="9" max="9" width="7.140625" style="1" customWidth="1"/>
    <col min="10" max="14" width="11.42578125" style="1"/>
    <col min="15" max="15" width="48.7109375" style="1" customWidth="1"/>
    <col min="16" max="16" width="0.85546875" style="1" customWidth="1"/>
    <col min="17" max="19" width="11.42578125" style="1"/>
    <col min="20" max="20" width="7.140625" style="1" customWidth="1"/>
    <col min="21" max="25" width="11.42578125" style="1"/>
    <col min="26" max="26" width="48.7109375" style="1" customWidth="1"/>
    <col min="27" max="27" width="0.85546875" style="1" customWidth="1"/>
    <col min="28" max="30" width="11.42578125" style="1"/>
    <col min="31" max="31" width="7.140625" style="1" customWidth="1"/>
    <col min="32" max="36" width="11.42578125" style="1"/>
    <col min="37" max="37" width="48.7109375" style="1" customWidth="1"/>
    <col min="38" max="38" width="0.85546875" style="1" customWidth="1"/>
    <col min="39" max="41" width="11.42578125" style="1"/>
    <col min="42" max="42" width="7.140625" style="1" customWidth="1"/>
    <col min="43" max="47" width="11.42578125" style="1"/>
    <col min="48" max="48" width="48.7109375" style="1" customWidth="1"/>
    <col min="49" max="49" width="0.85546875" style="1" customWidth="1"/>
    <col min="50" max="52" width="11.42578125" style="1"/>
    <col min="53" max="53" width="7.140625" style="1" customWidth="1"/>
    <col min="54" max="16384" width="11.42578125" style="1"/>
  </cols>
  <sheetData>
    <row r="2" spans="2:56" ht="13.5" thickBot="1"/>
    <row r="3" spans="2:56" ht="16.5" thickBot="1">
      <c r="B3" s="2"/>
      <c r="D3" s="3" t="str">
        <f>+IF($B$3="esp","GRUPO","GROUP")</f>
        <v>GROUP</v>
      </c>
      <c r="E3" s="4"/>
      <c r="F3" s="4"/>
      <c r="G3" s="5"/>
      <c r="H3" s="4"/>
      <c r="J3" s="4"/>
      <c r="K3" s="5"/>
      <c r="L3" s="4"/>
      <c r="O3" s="3" t="str">
        <f>+IF($B$3="esp","EDUCACIÓN","EDUCATION")</f>
        <v>EDUCATION</v>
      </c>
      <c r="P3" s="4"/>
      <c r="Q3" s="4"/>
      <c r="R3" s="5"/>
      <c r="S3" s="4"/>
      <c r="U3" s="4"/>
      <c r="V3" s="5"/>
      <c r="W3" s="4"/>
      <c r="Z3" s="3" t="str">
        <f>+IF($B$3="esp","RADIO","RADIO")</f>
        <v>RADIO</v>
      </c>
      <c r="AA3" s="4"/>
      <c r="AB3" s="4"/>
      <c r="AC3" s="5"/>
      <c r="AD3" s="4"/>
      <c r="AF3" s="4"/>
      <c r="AG3" s="5"/>
      <c r="AH3" s="4"/>
      <c r="AK3" s="3" t="str">
        <f>+IF($B$3="esp","PRENSA","PRESS")</f>
        <v>PRESS</v>
      </c>
      <c r="AL3" s="4"/>
      <c r="AM3" s="4"/>
      <c r="AN3" s="5"/>
      <c r="AO3" s="4"/>
      <c r="AQ3" s="4"/>
      <c r="AR3" s="5"/>
      <c r="AS3" s="4"/>
      <c r="AV3" s="3" t="str">
        <f>+IF($B$3="esp","MEDIA CAPITAL","MEDIA CAPITAL")</f>
        <v>MEDIA CAPITAL</v>
      </c>
      <c r="AW3" s="4"/>
      <c r="AX3" s="4"/>
      <c r="AY3" s="5"/>
      <c r="AZ3" s="4"/>
      <c r="BB3" s="4"/>
      <c r="BC3" s="5"/>
      <c r="BD3" s="4"/>
    </row>
    <row r="4" spans="2:56">
      <c r="B4" s="6"/>
    </row>
    <row r="6" spans="2:56">
      <c r="F6" s="7" t="str">
        <f>+[1]GRUPO!T6</f>
        <v>ENERO - SEPTIEMBRE</v>
      </c>
      <c r="G6" s="8"/>
      <c r="H6" s="8"/>
      <c r="J6" s="7" t="str">
        <f>+[1]GRUPO!X6</f>
        <v>JULIO - SEPTIEMBRE</v>
      </c>
      <c r="K6" s="8"/>
      <c r="L6" s="8"/>
      <c r="Q6" s="7" t="str">
        <f>+$F$6</f>
        <v>ENERO - SEPTIEMBRE</v>
      </c>
      <c r="R6" s="8"/>
      <c r="S6" s="8"/>
      <c r="U6" s="7" t="str">
        <f>+$J$6</f>
        <v>JULIO - SEPTIEMBRE</v>
      </c>
      <c r="V6" s="8"/>
      <c r="W6" s="8"/>
      <c r="AB6" s="7" t="str">
        <f>+$F$6</f>
        <v>ENERO - SEPTIEMBRE</v>
      </c>
      <c r="AC6" s="8"/>
      <c r="AD6" s="8"/>
      <c r="AF6" s="7" t="str">
        <f>+$J$6</f>
        <v>JULIO - SEPTIEMBRE</v>
      </c>
      <c r="AG6" s="8"/>
      <c r="AH6" s="8"/>
      <c r="AM6" s="7" t="str">
        <f>+$F$6</f>
        <v>ENERO - SEPTIEMBRE</v>
      </c>
      <c r="AN6" s="8"/>
      <c r="AO6" s="8"/>
      <c r="AQ6" s="7" t="str">
        <f>+$J$6</f>
        <v>JULIO - SEPTIEMBRE</v>
      </c>
      <c r="AR6" s="8"/>
      <c r="AS6" s="8"/>
      <c r="AX6" s="7" t="str">
        <f>+$F$6</f>
        <v>ENERO - SEPTIEMBRE</v>
      </c>
      <c r="AY6" s="8"/>
      <c r="AZ6" s="8"/>
      <c r="BB6" s="7" t="str">
        <f>+$J$6</f>
        <v>JULIO - SEPTIEMBRE</v>
      </c>
      <c r="BC6" s="8"/>
      <c r="BD6" s="8"/>
    </row>
    <row r="8" spans="2:56">
      <c r="D8" s="9" t="str">
        <f>+IF($B$3="esp","Millones de €","€ Millions")</f>
        <v>€ Millions</v>
      </c>
      <c r="F8" s="10">
        <f>+[1]GRUPO!T8</f>
        <v>2017</v>
      </c>
      <c r="G8" s="10">
        <f>+[1]GRUPO!U8</f>
        <v>2016</v>
      </c>
      <c r="H8" s="10" t="str">
        <f>+IF($B$3="esp","Var.%","% Chg.")</f>
        <v>% Chg.</v>
      </c>
      <c r="J8" s="10">
        <f>+[1]GRUPO!X8</f>
        <v>2017</v>
      </c>
      <c r="K8" s="10">
        <f>+[1]GRUPO!Y8</f>
        <v>2016</v>
      </c>
      <c r="L8" s="10" t="str">
        <f>+IF($B$3="esp","Var.%","% Chg.")</f>
        <v>% Chg.</v>
      </c>
      <c r="O8" s="9" t="str">
        <f>+IF($B$3="esp","Millones de €","€ Millions")</f>
        <v>€ Millions</v>
      </c>
      <c r="Q8" s="10">
        <v>2017</v>
      </c>
      <c r="R8" s="10">
        <v>2016</v>
      </c>
      <c r="S8" s="10" t="str">
        <f>+IF($B$3="esp","Var.%","% Chg.")</f>
        <v>% Chg.</v>
      </c>
      <c r="U8" s="10">
        <v>2017</v>
      </c>
      <c r="V8" s="10">
        <v>2016</v>
      </c>
      <c r="W8" s="10" t="str">
        <f>+IF($B$3="esp","Var.%","% Chg.")</f>
        <v>% Chg.</v>
      </c>
      <c r="Z8" s="9" t="str">
        <f>+IF($B$3="esp","Millones de €","€ Millions")</f>
        <v>€ Millions</v>
      </c>
      <c r="AB8" s="10">
        <v>2017</v>
      </c>
      <c r="AC8" s="10">
        <v>2016</v>
      </c>
      <c r="AD8" s="10" t="str">
        <f>+IF($B$3="esp","Var.%","% Chg.")</f>
        <v>% Chg.</v>
      </c>
      <c r="AF8" s="10">
        <v>2017</v>
      </c>
      <c r="AG8" s="10">
        <v>2016</v>
      </c>
      <c r="AH8" s="10" t="str">
        <f>+IF($B$3="esp","Var.%","% Chg.")</f>
        <v>% Chg.</v>
      </c>
      <c r="AK8" s="9" t="str">
        <f>+IF($B$3="esp","Millones de €","€ Millions")</f>
        <v>€ Millions</v>
      </c>
      <c r="AM8" s="10">
        <v>2017</v>
      </c>
      <c r="AN8" s="10">
        <v>2016</v>
      </c>
      <c r="AO8" s="10" t="str">
        <f>+IF($B$3="esp","Var.%","% Chg.")</f>
        <v>% Chg.</v>
      </c>
      <c r="AQ8" s="10">
        <v>2017</v>
      </c>
      <c r="AR8" s="10">
        <v>2016</v>
      </c>
      <c r="AS8" s="10" t="str">
        <f>+IF($B$3="esp","Var.%","% Chg.")</f>
        <v>% Chg.</v>
      </c>
      <c r="AV8" s="9" t="str">
        <f>+IF($B$3="esp","Millones de €","€ Millions")</f>
        <v>€ Millions</v>
      </c>
      <c r="AX8" s="10">
        <v>2017</v>
      </c>
      <c r="AY8" s="10">
        <v>2016</v>
      </c>
      <c r="AZ8" s="10" t="str">
        <f>+IF($B$3="esp","Var.%","% Chg.")</f>
        <v>% Chg.</v>
      </c>
      <c r="BB8" s="10">
        <v>2017</v>
      </c>
      <c r="BC8" s="10">
        <v>2016</v>
      </c>
      <c r="BD8" s="10" t="str">
        <f>+IF($B$3="esp","Var.%","% Chg.")</f>
        <v>% Chg.</v>
      </c>
    </row>
    <row r="9" spans="2:56" ht="15.75" customHeight="1">
      <c r="D9" s="11" t="str">
        <f>+IF($B$3="esp","Resultados de Explotación Ajustados","Operating Adjusted Results")</f>
        <v>Operating Adjusted Results</v>
      </c>
      <c r="F9" s="12"/>
      <c r="G9" s="12"/>
      <c r="H9" s="12"/>
      <c r="J9" s="12"/>
      <c r="K9" s="12"/>
      <c r="L9" s="12"/>
      <c r="O9" s="11" t="str">
        <f>+IF($B$3="esp","Resultados de Explotación Ajustados","Operating Adjusted Results")</f>
        <v>Operating Adjusted Results</v>
      </c>
      <c r="Q9" s="12"/>
      <c r="R9" s="12"/>
      <c r="S9" s="12"/>
      <c r="U9" s="12"/>
      <c r="V9" s="12"/>
      <c r="W9" s="12"/>
      <c r="Z9" s="11" t="str">
        <f>+IF($B$3="esp","Resultados de Explotación Ajustados","Operating Adjusted Results")</f>
        <v>Operating Adjusted Results</v>
      </c>
      <c r="AB9" s="12"/>
      <c r="AC9" s="12"/>
      <c r="AD9" s="12"/>
      <c r="AF9" s="12"/>
      <c r="AG9" s="12"/>
      <c r="AH9" s="12"/>
      <c r="AK9" s="11" t="str">
        <f>+IF($B$3="esp","Resultados de Explotación Ajustados","Operating Adjusted Results")</f>
        <v>Operating Adjusted Results</v>
      </c>
      <c r="AM9" s="12"/>
      <c r="AN9" s="12"/>
      <c r="AO9" s="12"/>
      <c r="AQ9" s="12"/>
      <c r="AR9" s="12"/>
      <c r="AS9" s="12"/>
      <c r="AV9" s="11" t="str">
        <f>+IF($B$3="esp","Resultados de Explotación Ajustados","Operating Adjusted Results")</f>
        <v>Operating Adjusted Results</v>
      </c>
      <c r="AX9" s="12"/>
      <c r="AY9" s="12"/>
      <c r="AZ9" s="12"/>
      <c r="BB9" s="12"/>
      <c r="BC9" s="12"/>
      <c r="BD9" s="12"/>
    </row>
    <row r="10" spans="2:56" s="13" customFormat="1" ht="15" customHeight="1">
      <c r="D10" s="13" t="str">
        <f>+IF($B$3="esp","Ingresos de Explotación Ajustados","Operating Adjusted Revenues")</f>
        <v>Operating Adjusted Revenues</v>
      </c>
      <c r="F10" s="14">
        <f>+[1]GRUPO!T10</f>
        <v>903.77504486671103</v>
      </c>
      <c r="G10" s="15">
        <f>+[1]GRUPO!U10</f>
        <v>911.9246319475684</v>
      </c>
      <c r="H10" s="16">
        <f t="shared" ref="H10:H19" si="0">IF(G10=0,"---",IF(OR(ABS((F10-G10)/ABS(G10))&gt;2,(F10*G10)&lt;0),"---",IF(G10="0","---",((F10-G10)/ABS(G10))*100)))</f>
        <v>-0.89366892782055452</v>
      </c>
      <c r="J10" s="14">
        <f>+[1]GRUPO!X10</f>
        <v>317.57274610738182</v>
      </c>
      <c r="K10" s="15">
        <f>+[1]GRUPO!Y10</f>
        <v>362.84414685337322</v>
      </c>
      <c r="L10" s="16">
        <f t="shared" ref="L10:L19" si="1">IF(K10=0,"---",IF(OR(ABS((J10-K10)/ABS(K10))&gt;2,(J10*K10)&lt;0),"---",IF(K10="0","---",((J10-K10)/ABS(K10))*100)))</f>
        <v>-12.476817150997272</v>
      </c>
      <c r="O10" s="13" t="str">
        <f>+IF($B$3="esp","Ingresos de Explotación Ajustados","Operating Adjusted Revenues")</f>
        <v>Operating Adjusted Revenues</v>
      </c>
      <c r="Q10" s="14">
        <f>+[1]SANTILLANA!T10</f>
        <v>522.60915839456095</v>
      </c>
      <c r="R10" s="15">
        <f>+[1]SANTILLANA!U10</f>
        <v>513.53481840634299</v>
      </c>
      <c r="S10" s="16">
        <f t="shared" ref="S10:S19" si="2">IF(R10=0,"---",IF(OR(ABS((Q10-R10)/ABS(R10))&gt;2,(Q10*R10)&lt;0),"---",IF(R10="0","---",((Q10-R10)/ABS(R10))*100)))</f>
        <v>1.7670350019066738</v>
      </c>
      <c r="U10" s="14">
        <f>+[1]SANTILLANA!X10</f>
        <v>194.58767496488196</v>
      </c>
      <c r="V10" s="15">
        <f>+[1]SANTILLANA!Y10</f>
        <v>233.97414129848801</v>
      </c>
      <c r="W10" s="16">
        <f t="shared" ref="W10:W19" si="3">IF(V10=0,"---",IF(OR(ABS((U10-V10)/ABS(V10))&gt;2,(U10*V10)&lt;0),"---",IF(V10="0","---",((U10-V10)/ABS(V10))*100)))</f>
        <v>-16.833683463917289</v>
      </c>
      <c r="Z10" s="13" t="str">
        <f>+IF($B$3="esp","Ingresos de Explotación Ajustados","Operating Adjusted Revenues")</f>
        <v>Operating Adjusted Revenues</v>
      </c>
      <c r="AB10" s="14">
        <f>+[1]RADIO!T10</f>
        <v>217.62852707372812</v>
      </c>
      <c r="AC10" s="15">
        <f>+[1]RADIO!U10</f>
        <v>222.26512538231933</v>
      </c>
      <c r="AD10" s="16">
        <f t="shared" ref="AD10:AD19" si="4">IF(AC10=0,"---",IF(OR(ABS((AB10-AC10)/ABS(AC10))&gt;2,(AB10*AC10)&lt;0),"---",IF(AC10="0","---",((AB10-AC10)/ABS(AC10))*100)))</f>
        <v>-2.0860664940645854</v>
      </c>
      <c r="AF10" s="14">
        <f>+[1]RADIO!X10</f>
        <v>70.846315585678809</v>
      </c>
      <c r="AG10" s="15">
        <f>+[1]RADIO!Y10</f>
        <v>74.707651448068106</v>
      </c>
      <c r="AH10" s="16">
        <f t="shared" ref="AH10:AH19" si="5">IF(AG10=0,"---",IF(OR(ABS((AF10-AG10)/ABS(AG10))&gt;2,(AF10*AG10)&lt;0),"---",IF(AG10="0","---",((AF10-AG10)/ABS(AG10))*100)))</f>
        <v>-5.1685948996448454</v>
      </c>
      <c r="AK10" s="13" t="str">
        <f>+IF($B$3="esp","Ingresos de Explotación","OperatingRevenues")</f>
        <v>OperatingRevenues</v>
      </c>
      <c r="AM10" s="14">
        <f>+[1]NOTICIAS!T10</f>
        <v>157.42095472154497</v>
      </c>
      <c r="AN10" s="15">
        <f>+[1]NOTICIAS!U10</f>
        <v>174.07240816515699</v>
      </c>
      <c r="AO10" s="16">
        <f>IF(AN10=0,"---",IF(OR(ABS((AM10-AN10)/ABS(AN10))&gt;2,(AM10*AN10)&lt;0),"---",IF(AN10="0","---",((AM10-AN10)/ABS(AN10))*100)))</f>
        <v>-9.5658201199890289</v>
      </c>
      <c r="AQ10" s="14">
        <f>+[1]NOTICIAS!X10</f>
        <v>48.367039217277977</v>
      </c>
      <c r="AR10" s="15">
        <f>+[1]NOTICIAS!Y10</f>
        <v>52.040493211859982</v>
      </c>
      <c r="AS10" s="16">
        <f>IF(AR10=0,"---",IF(OR(ABS((AQ10-AR10)/ABS(AR10))&gt;2,(AQ10*AR10)&lt;0),"---",IF(AR10="0","---",((AQ10-AR10)/ABS(AR10))*100)))</f>
        <v>-7.0588377777803757</v>
      </c>
      <c r="AV10" s="13" t="str">
        <f>+IF($B$3="esp","Ingresos de Explotación","OperatingRevenues")</f>
        <v>OperatingRevenues</v>
      </c>
      <c r="AX10" s="14">
        <f>+'[1]MEDIA CAPITAL'!T10</f>
        <v>115.30804198999999</v>
      </c>
      <c r="AY10" s="15">
        <f>+'[1]MEDIA CAPITAL'!U10</f>
        <v>124.30154506000001</v>
      </c>
      <c r="AZ10" s="16">
        <f>IF(AY10=0,"---",IF(OR(ABS((AX10-AY10)/ABS(AY10))&gt;2,(AX10*AY10)&lt;0),"---",IF(AY10="0","---",((AX10-AY10)/ABS(AY10))*100)))</f>
        <v>-7.2352303148435357</v>
      </c>
      <c r="BB10" s="14">
        <f>+'[1]MEDIA CAPITAL'!X10</f>
        <v>36.27468180999999</v>
      </c>
      <c r="BC10" s="15">
        <f>+'[1]MEDIA CAPITAL'!Y10</f>
        <v>39.035282020000011</v>
      </c>
      <c r="BD10" s="16">
        <f>IF(BC10=0,"---",IF(OR(ABS((BB10-BC10)/ABS(BC10))&gt;2,(BB10*BC10)&lt;0),"---",IF(BC10="0","---",((BB10-BC10)/ABS(BC10))*100)))</f>
        <v>-7.0720642125388187</v>
      </c>
    </row>
    <row r="11" spans="2:56" ht="15" customHeight="1">
      <c r="D11" s="17" t="str">
        <f>+IF($B$3="esp","España","Spain")</f>
        <v>Spain</v>
      </c>
      <c r="F11" s="18">
        <f>+[1]GRUPO!T11</f>
        <v>426.03029185700274</v>
      </c>
      <c r="G11" s="19">
        <f>+[1]GRUPO!U11</f>
        <v>454.87730681607906</v>
      </c>
      <c r="H11" s="20">
        <f t="shared" si="0"/>
        <v>-6.3417133646414365</v>
      </c>
      <c r="J11" s="18">
        <f>+[1]GRUPO!X11</f>
        <v>181.42581837808547</v>
      </c>
      <c r="K11" s="19">
        <f>+[1]GRUPO!Y11</f>
        <v>205.43047918474812</v>
      </c>
      <c r="L11" s="20">
        <f t="shared" si="1"/>
        <v>-11.685053212125714</v>
      </c>
      <c r="O11" s="17" t="str">
        <f>+IF($B$3="esp","España","Spain")</f>
        <v>Spain</v>
      </c>
      <c r="Q11" s="18">
        <f>+[1]SANTILLANA!T11</f>
        <v>139.06418482874761</v>
      </c>
      <c r="R11" s="19">
        <f>+[1]SANTILLANA!U11</f>
        <v>151.87014215600266</v>
      </c>
      <c r="S11" s="20">
        <f t="shared" si="2"/>
        <v>-8.4321757690202368</v>
      </c>
      <c r="U11" s="18">
        <f>+[1]SANTILLANA!X11</f>
        <v>92.521348441855196</v>
      </c>
      <c r="V11" s="19">
        <f>+[1]SANTILLANA!Y11</f>
        <v>111.78437834404312</v>
      </c>
      <c r="W11" s="20">
        <f t="shared" si="3"/>
        <v>-17.232309368757544</v>
      </c>
      <c r="Z11" s="17" t="str">
        <f>+IF($B$3="esp","España","Spain")</f>
        <v>Spain</v>
      </c>
      <c r="AB11" s="18">
        <f>+[1]RADIO!T11</f>
        <v>129.03484419</v>
      </c>
      <c r="AC11" s="19">
        <f>+[1]RADIO!U11</f>
        <v>129.50141708000001</v>
      </c>
      <c r="AD11" s="20">
        <f t="shared" si="4"/>
        <v>-0.36028400346521439</v>
      </c>
      <c r="AF11" s="18">
        <f>+[1]RADIO!X11</f>
        <v>37.252511999999996</v>
      </c>
      <c r="AG11" s="19">
        <f>+[1]RADIO!Y11</f>
        <v>39.539687590000014</v>
      </c>
      <c r="AH11" s="20">
        <f t="shared" si="5"/>
        <v>-5.7845059721171594</v>
      </c>
      <c r="AK11" s="21" t="str">
        <f>+IF($B$3="esp","Publicidad","Advertising")</f>
        <v>Advertising</v>
      </c>
      <c r="AL11" s="22"/>
      <c r="AM11" s="23">
        <f>+[1]NOTICIAS!T11</f>
        <v>71.670896436666197</v>
      </c>
      <c r="AN11" s="24">
        <f>+[1]NOTICIAS!U11</f>
        <v>78.946247551915903</v>
      </c>
      <c r="AO11" s="25">
        <f>IF(AN11=0,"---",IF(OR(ABS((AM11-AN11)/ABS(AN11))&gt;2,(AM11*AN11)&lt;0),"---",IF(AN11="0","---",((AM11-AN11)/ABS(AN11))*100)))</f>
        <v>-9.2155755857368096</v>
      </c>
      <c r="AQ11" s="23">
        <f>+[1]NOTICIAS!X11</f>
        <v>20.588127793300394</v>
      </c>
      <c r="AR11" s="24">
        <f>+[1]NOTICIAS!Y11</f>
        <v>22.354130753377703</v>
      </c>
      <c r="AS11" s="25">
        <f>IF(AR11=0,"---",IF(OR(ABS((AQ11-AR11)/ABS(AR11))&gt;2,(AQ11*AR11)&lt;0),"---",IF(AR11="0","---",((AQ11-AR11)/ABS(AR11))*100)))</f>
        <v>-7.9001191303780223</v>
      </c>
      <c r="AV11" s="21" t="str">
        <f>+IF($B$3="esp","Publicidad","Advertising")</f>
        <v>Advertising</v>
      </c>
      <c r="AW11" s="22"/>
      <c r="AX11" s="23">
        <f>+'[1]MEDIA CAPITAL'!T11</f>
        <v>82.988945519999987</v>
      </c>
      <c r="AY11" s="24">
        <f>+'[1]MEDIA CAPITAL'!U11</f>
        <v>86.453582650000001</v>
      </c>
      <c r="AZ11" s="25">
        <f>IF(AY11=0,"---",IF(OR(ABS((AX11-AY11)/ABS(AY11))&gt;2,(AX11*AY11)&lt;0),"---",IF(AY11="0","---",((AX11-AY11)/ABS(AY11))*100)))</f>
        <v>-4.0075113416945412</v>
      </c>
      <c r="BB11" s="23">
        <f>+'[1]MEDIA CAPITAL'!X11</f>
        <v>25.887452199999984</v>
      </c>
      <c r="BC11" s="24">
        <f>+'[1]MEDIA CAPITAL'!Y11</f>
        <v>26.38223696</v>
      </c>
      <c r="BD11" s="25">
        <f>IF(BC11=0,"---",IF(OR(ABS((BB11-BC11)/ABS(BC11))&gt;2,(BB11*BC11)&lt;0),"---",IF(BC11="0","---",((BB11-BC11)/ABS(BC11))*100)))</f>
        <v>-1.875446576991157</v>
      </c>
    </row>
    <row r="12" spans="2:56" ht="15" customHeight="1">
      <c r="D12" s="17" t="str">
        <f>+IF($B$3="esp","Internacional","International")</f>
        <v>International</v>
      </c>
      <c r="F12" s="18">
        <f>+[1]GRUPO!T12</f>
        <v>477.74475300970829</v>
      </c>
      <c r="G12" s="19">
        <f>+[1]GRUPO!U12</f>
        <v>457.04732513148923</v>
      </c>
      <c r="H12" s="20">
        <f t="shared" si="0"/>
        <v>4.5285086992390911</v>
      </c>
      <c r="J12" s="18">
        <f>+[1]GRUPO!X12</f>
        <v>136.14692772929624</v>
      </c>
      <c r="K12" s="19">
        <f>+[1]GRUPO!Y12</f>
        <v>157.41366766862495</v>
      </c>
      <c r="L12" s="20">
        <f t="shared" si="1"/>
        <v>-13.510097473935875</v>
      </c>
      <c r="O12" s="17" t="str">
        <f>+IF($B$3="esp","Internacional","International")</f>
        <v>International</v>
      </c>
      <c r="Q12" s="18">
        <f>+[1]SANTILLANA!T12</f>
        <v>383.54497356581334</v>
      </c>
      <c r="R12" s="19">
        <f>+[1]SANTILLANA!U12</f>
        <v>361.66467625034034</v>
      </c>
      <c r="S12" s="20">
        <f t="shared" si="2"/>
        <v>6.049885087568712</v>
      </c>
      <c r="U12" s="18">
        <f>+[1]SANTILLANA!X12</f>
        <v>102.06632652302676</v>
      </c>
      <c r="V12" s="19">
        <f>+[1]SANTILLANA!Y12</f>
        <v>122.18976295444489</v>
      </c>
      <c r="W12" s="20">
        <f t="shared" si="3"/>
        <v>-16.469003576773122</v>
      </c>
      <c r="Z12" s="17" t="str">
        <f>+IF($B$3="esp","Latam","Latam")</f>
        <v>Latam</v>
      </c>
      <c r="AB12" s="18">
        <f>+[1]RADIO!T12</f>
        <v>83.334475018501706</v>
      </c>
      <c r="AC12" s="19">
        <f>+[1]RADIO!U12</f>
        <v>83.953748229826914</v>
      </c>
      <c r="AD12" s="20">
        <f t="shared" si="4"/>
        <v>-0.73763616798849918</v>
      </c>
      <c r="AF12" s="18">
        <f>+[1]RADIO!X12</f>
        <v>28.610297025516502</v>
      </c>
      <c r="AG12" s="19">
        <f>+[1]RADIO!Y12</f>
        <v>29.856539034404484</v>
      </c>
      <c r="AH12" s="20">
        <f t="shared" si="5"/>
        <v>-4.1741007135887545</v>
      </c>
      <c r="AK12" s="21" t="str">
        <f>+IF($B$3="esp","Circulación","Circulation")</f>
        <v>Circulation</v>
      </c>
      <c r="AL12" s="22"/>
      <c r="AM12" s="23">
        <f>+[1]NOTICIAS!T12</f>
        <v>60.448018888632106</v>
      </c>
      <c r="AN12" s="24">
        <f>+[1]NOTICIAS!U12</f>
        <v>69.878429126683713</v>
      </c>
      <c r="AO12" s="25">
        <f>IF(AN12=0,"---",IF(OR(ABS((AM12-AN12)/ABS(AN12))&gt;2,(AM12*AN12)&lt;0),"---",IF(AN12="0","---",((AM12-AN12)/ABS(AN12))*100)))</f>
        <v>-13.49545253937387</v>
      </c>
      <c r="AQ12" s="23">
        <f>+[1]NOTICIAS!X12</f>
        <v>20.236591508744809</v>
      </c>
      <c r="AR12" s="24">
        <f>+[1]NOTICIAS!Y12</f>
        <v>23.078760500091519</v>
      </c>
      <c r="AS12" s="25">
        <f>IF(AR12=0,"---",IF(OR(ABS((AQ12-AR12)/ABS(AR12))&gt;2,(AQ12*AR12)&lt;0),"---",IF(AR12="0","---",((AQ12-AR12)/ABS(AR12))*100)))</f>
        <v>-12.315085081520907</v>
      </c>
      <c r="AV12" s="21" t="str">
        <f>+IF($B$3="esp","Otros","Others")</f>
        <v>Others</v>
      </c>
      <c r="AW12" s="22"/>
      <c r="AX12" s="23">
        <f>+'[1]MEDIA CAPITAL'!T12</f>
        <v>32.319096470000005</v>
      </c>
      <c r="AY12" s="24">
        <f>+'[1]MEDIA CAPITAL'!U12</f>
        <v>37.847962410000008</v>
      </c>
      <c r="AZ12" s="25">
        <f>IF(AY12=0,"---",IF(OR(ABS((AX12-AY12)/ABS(AY12))&gt;2,(AX12*AY12)&lt;0),"---",IF(AY12="0","---",((AX12-AY12)/ABS(AY12))*100)))</f>
        <v>-14.608094037155334</v>
      </c>
      <c r="BB12" s="23">
        <f>+'[1]MEDIA CAPITAL'!X12</f>
        <v>10.387229610000006</v>
      </c>
      <c r="BC12" s="24">
        <f>+'[1]MEDIA CAPITAL'!Y12</f>
        <v>12.653045060000011</v>
      </c>
      <c r="BD12" s="25">
        <f>IF(BC12=0,"---",IF(OR(ABS((BB12-BC12)/ABS(BC12))&gt;2,(BB12*BC12)&lt;0),"---",IF(BC12="0","---",((BB12-BC12)/ABS(BC12))*100)))</f>
        <v>-17.907274013928181</v>
      </c>
    </row>
    <row r="13" spans="2:56" ht="15" customHeight="1">
      <c r="D13" s="26" t="str">
        <f>+IF($B$3="esp","Portugal","Portugal")</f>
        <v>Portugal</v>
      </c>
      <c r="F13" s="18">
        <f>+[1]GRUPO!T13</f>
        <v>3.7484920000000002</v>
      </c>
      <c r="G13" s="19">
        <f>+[1]GRUPO!U13</f>
        <v>4.7065110000000008</v>
      </c>
      <c r="H13" s="20">
        <f t="shared" si="0"/>
        <v>-20.355184551783697</v>
      </c>
      <c r="J13" s="18">
        <f>+[1]GRUPO!X13</f>
        <v>3.6804140000000003</v>
      </c>
      <c r="K13" s="19">
        <f>+[1]GRUPO!Y13</f>
        <v>4.6383810000000008</v>
      </c>
      <c r="L13" s="20">
        <f t="shared" si="1"/>
        <v>-20.65304682819286</v>
      </c>
      <c r="O13" s="26" t="str">
        <f>+IF($B$3="esp","Portugal","Portugal")</f>
        <v>Portugal</v>
      </c>
      <c r="Q13" s="18">
        <f>+[1]SANTILLANA!T13</f>
        <v>3.7484920000000002</v>
      </c>
      <c r="R13" s="19">
        <f>+[1]SANTILLANA!U13</f>
        <v>4.7065110000000008</v>
      </c>
      <c r="S13" s="20">
        <f t="shared" si="2"/>
        <v>-20.355184551783697</v>
      </c>
      <c r="U13" s="18">
        <f>+[1]SANTILLANA!X13</f>
        <v>3.6804140000000003</v>
      </c>
      <c r="V13" s="19">
        <f>+[1]SANTILLANA!Y13</f>
        <v>4.6383810000000008</v>
      </c>
      <c r="W13" s="20">
        <f t="shared" si="3"/>
        <v>-20.65304682819286</v>
      </c>
      <c r="Z13" s="17" t="str">
        <f>+IF($B$3="esp","Música","Music")</f>
        <v>Music</v>
      </c>
      <c r="AB13" s="18">
        <f>+[1]RADIO!T13</f>
        <v>11.9571570410289</v>
      </c>
      <c r="AC13" s="19">
        <f>+[1]RADIO!U13</f>
        <v>15.524532020761301</v>
      </c>
      <c r="AD13" s="20">
        <f t="shared" si="4"/>
        <v>-22.978953407173055</v>
      </c>
      <c r="AF13" s="18">
        <f>+[1]RADIO!X13</f>
        <v>7.2312817594895495</v>
      </c>
      <c r="AG13" s="19">
        <f>+[1]RADIO!Y13</f>
        <v>7.4364953484816212</v>
      </c>
      <c r="AH13" s="20">
        <f t="shared" si="5"/>
        <v>-2.7595470631736769</v>
      </c>
      <c r="AK13" s="21" t="str">
        <f>+IF($B$3="esp","Promociones y Otros","Add-ons and Others")</f>
        <v>Add-ons and Others</v>
      </c>
      <c r="AL13" s="22"/>
      <c r="AM13" s="23">
        <f>+[1]NOTICIAS!T13</f>
        <v>25.30203939624667</v>
      </c>
      <c r="AN13" s="24">
        <f>+[1]NOTICIAS!U13</f>
        <v>25.24773148655737</v>
      </c>
      <c r="AO13" s="25">
        <f>IF(AN13=0,"---",IF(OR(ABS((AM13-AN13)/ABS(AN13))&gt;2,(AM13*AN13)&lt;0),"---",IF(AN13="0","---",((AM13-AN13)/ABS(AN13))*100)))</f>
        <v>0.21510015550591016</v>
      </c>
      <c r="AQ13" s="23">
        <f>+[1]NOTICIAS!X13</f>
        <v>7.542319915232774</v>
      </c>
      <c r="AR13" s="24">
        <f>+[1]NOTICIAS!Y13</f>
        <v>6.6076019583907595</v>
      </c>
      <c r="AS13" s="25">
        <f>IF(AR13=0,"---",IF(OR(ABS((AQ13-AR13)/ABS(AR13))&gt;2,(AQ13*AR13)&lt;0),"---",IF(AR13="0","---",((AQ13-AR13)/ABS(AR13))*100)))</f>
        <v>14.146099639901118</v>
      </c>
      <c r="AV13" s="13" t="str">
        <f>+IF($B$3="esp","EBITDA Ajustado","Adjusted EBITDA")</f>
        <v>Adjusted EBITDA</v>
      </c>
      <c r="AW13" s="13"/>
      <c r="AX13" s="14">
        <f>+'[1]MEDIA CAPITAL'!T13</f>
        <v>23.7783681829284</v>
      </c>
      <c r="AY13" s="15">
        <f>+'[1]MEDIA CAPITAL'!U13</f>
        <v>23.535727087953799</v>
      </c>
      <c r="AZ13" s="16">
        <f>IF(AY13=0,"---",IF(OR(ABS((AX13-AY13)/ABS(AY13))&gt;2,(AX13*AY13)&lt;0),"---",IF(AY13="0","---",((AX13-AY13)/ABS(AY13))*100)))</f>
        <v>1.0309479459370152</v>
      </c>
      <c r="BB13" s="14">
        <f>+'[1]MEDIA CAPITAL'!X13</f>
        <v>5.5187221523706</v>
      </c>
      <c r="BC13" s="15">
        <f>+'[1]MEDIA CAPITAL'!Y13</f>
        <v>5.8657312586411976</v>
      </c>
      <c r="BD13" s="16">
        <f>IF(BC13=0,"---",IF(OR(ABS((BB13-BC13)/ABS(BC13))&gt;2,(BB13*BC13)&lt;0),"---",IF(BC13="0","---",((BB13-BC13)/ABS(BC13))*100)))</f>
        <v>-5.9158712012146042</v>
      </c>
    </row>
    <row r="14" spans="2:56" ht="15" customHeight="1">
      <c r="D14" s="26" t="str">
        <f>+IF($B$3="esp","Latam","Latam")</f>
        <v>Latam</v>
      </c>
      <c r="F14" s="18">
        <f>+[1]GRUPO!T14</f>
        <v>473.99626100970823</v>
      </c>
      <c r="G14" s="19">
        <f>+[1]GRUPO!U14</f>
        <v>452.34081413148925</v>
      </c>
      <c r="H14" s="20">
        <f t="shared" si="0"/>
        <v>4.7874182920677244</v>
      </c>
      <c r="J14" s="18">
        <f>+[1]GRUPO!X14</f>
        <v>132.46651372929614</v>
      </c>
      <c r="K14" s="19">
        <f>+[1]GRUPO!Y14</f>
        <v>152.77528666862497</v>
      </c>
      <c r="L14" s="20">
        <f t="shared" si="1"/>
        <v>-13.293231766849361</v>
      </c>
      <c r="O14" s="26" t="str">
        <f>+IF($B$3="esp","Latam","Latam")</f>
        <v>Latam</v>
      </c>
      <c r="Q14" s="18">
        <f>+[1]SANTILLANA!T14</f>
        <v>379.79648156581334</v>
      </c>
      <c r="R14" s="19">
        <f>+[1]SANTILLANA!U14</f>
        <v>356.95816525034036</v>
      </c>
      <c r="S14" s="20">
        <f t="shared" si="2"/>
        <v>6.3980372320258061</v>
      </c>
      <c r="U14" s="18">
        <f>+[1]SANTILLANA!X14</f>
        <v>98.385912523026775</v>
      </c>
      <c r="V14" s="19">
        <f>+[1]SANTILLANA!Y14</f>
        <v>117.55138195444491</v>
      </c>
      <c r="W14" s="20">
        <f t="shared" si="3"/>
        <v>-16.303908225294528</v>
      </c>
      <c r="Z14" s="17" t="str">
        <f>+IF($B$3="esp","Ajustes y Otros","Adjustments &amp; others")</f>
        <v>Adjustments &amp; others</v>
      </c>
      <c r="AB14" s="18">
        <f>+[1]RADIO!T14</f>
        <v>-6.6979491758024849</v>
      </c>
      <c r="AC14" s="19">
        <f>+[1]RADIO!U14</f>
        <v>-6.7145719482688992</v>
      </c>
      <c r="AD14" s="20">
        <f t="shared" si="4"/>
        <v>0.24756265320382578</v>
      </c>
      <c r="AF14" s="18">
        <f>+[1]RADIO!X14</f>
        <v>-2.2477751993272381</v>
      </c>
      <c r="AG14" s="19">
        <f>+[1]RADIO!Y14</f>
        <v>-2.125070524818014</v>
      </c>
      <c r="AH14" s="20">
        <f t="shared" si="5"/>
        <v>-5.7741459907422277</v>
      </c>
      <c r="AK14" s="13" t="str">
        <f>+IF($B$3="esp","EBITDA Ajustado","Adjusted EBITDA")</f>
        <v>Adjusted EBITDA</v>
      </c>
      <c r="AL14" s="13"/>
      <c r="AM14" s="14">
        <f>+[1]NOTICIAS!T14</f>
        <v>4.5127304994734292</v>
      </c>
      <c r="AN14" s="15">
        <f>+[1]NOTICIAS!U14</f>
        <v>7.4870677195189046</v>
      </c>
      <c r="AO14" s="16">
        <f>IF(AN14=0,"---",IF(OR(ABS((AM14-AN14)/ABS(AN14))&gt;2,(AM14*AN14)&lt;0),"---",IF(AN14="0","---",((AM14-AN14)/ABS(AN14))*100)))</f>
        <v>-39.72632987265937</v>
      </c>
      <c r="AQ14" s="14">
        <f>+[1]NOTICIAS!X14</f>
        <v>-1.4468070873487004</v>
      </c>
      <c r="AR14" s="15">
        <f>+[1]NOTICIAS!Y14</f>
        <v>0.10958030567482968</v>
      </c>
      <c r="AS14" s="16" t="str">
        <f>IF(AR14=0,"---",IF(OR(ABS((AQ14-AR14)/ABS(AR14))&gt;2,(AQ14*AR14)&lt;0),"---",IF(AR14="0","---",((AQ14-AR14)/ABS(AR14))*100)))</f>
        <v>---</v>
      </c>
      <c r="AV14" s="21" t="str">
        <f>+IF($B$3="esp","Margen EBITDA Ajustado","Adjusted EBITDA Margin")</f>
        <v>Adjusted EBITDA Margin</v>
      </c>
      <c r="AW14" s="22"/>
      <c r="AX14" s="27">
        <f>+AX13/AX10</f>
        <v>0.20621604332671403</v>
      </c>
      <c r="AY14" s="28">
        <f>+AY13/AY10</f>
        <v>0.18934380161238679</v>
      </c>
      <c r="AZ14" s="29"/>
      <c r="BB14" s="27">
        <f>+BB13/BB10</f>
        <v>0.1521370244204108</v>
      </c>
      <c r="BC14" s="28">
        <f>+BC13/BC10</f>
        <v>0.15026742359990758</v>
      </c>
      <c r="BD14" s="29"/>
    </row>
    <row r="15" spans="2:56" s="13" customFormat="1" ht="15" customHeight="1">
      <c r="D15" s="13" t="str">
        <f>+IF($B$3="esp","EBITDA Ajustado","Adjusted EBITDA")</f>
        <v>Adjusted EBITDA</v>
      </c>
      <c r="F15" s="14">
        <f>+[1]GRUPO!T15</f>
        <v>194.8882547047028</v>
      </c>
      <c r="G15" s="15">
        <f>+[1]GRUPO!U15</f>
        <v>190.41331435124391</v>
      </c>
      <c r="H15" s="16">
        <f t="shared" si="0"/>
        <v>2.3501194591908838</v>
      </c>
      <c r="J15" s="14">
        <f>+[1]GRUPO!X15</f>
        <v>77.791124990722778</v>
      </c>
      <c r="K15" s="15">
        <f>+[1]GRUPO!Y15</f>
        <v>111.49783293344855</v>
      </c>
      <c r="L15" s="16">
        <f t="shared" si="1"/>
        <v>-30.230818892098842</v>
      </c>
      <c r="O15" s="13" t="str">
        <f>+IF($B$3="esp","EBITDA Ajustado","Adjusted EBITDA")</f>
        <v>Adjusted EBITDA</v>
      </c>
      <c r="Q15" s="14">
        <f>+[1]SANTILLANA!T15</f>
        <v>167.59012521145021</v>
      </c>
      <c r="R15" s="15">
        <f>+[1]SANTILLANA!U15</f>
        <v>167.23670850311339</v>
      </c>
      <c r="S15" s="16">
        <f t="shared" si="2"/>
        <v>0.21132723281877061</v>
      </c>
      <c r="U15" s="14">
        <f>+[1]SANTILLANA!X15</f>
        <v>73.3866497375205</v>
      </c>
      <c r="V15" s="15">
        <f>+[1]SANTILLANA!Y15</f>
        <v>104.42627102194066</v>
      </c>
      <c r="W15" s="16">
        <f t="shared" si="3"/>
        <v>-29.723958330273547</v>
      </c>
      <c r="Z15" s="13" t="str">
        <f>+IF($B$3="esp","EBITDA Ajustado","Adjusted EBITDA")</f>
        <v>Adjusted EBITDA</v>
      </c>
      <c r="AB15" s="14">
        <f>+[1]RADIO!T15</f>
        <v>34.113087445114331</v>
      </c>
      <c r="AC15" s="15">
        <f>+[1]RADIO!U15</f>
        <v>29.4547804104484</v>
      </c>
      <c r="AD15" s="16">
        <f t="shared" si="4"/>
        <v>15.815113776959292</v>
      </c>
      <c r="AF15" s="14">
        <f>+[1]RADIO!X15</f>
        <v>8.2042907657086417</v>
      </c>
      <c r="AG15" s="15">
        <f>+[1]RADIO!Y15</f>
        <v>8.9212280705025755</v>
      </c>
      <c r="AH15" s="16">
        <f t="shared" si="5"/>
        <v>-8.0363073237017382</v>
      </c>
      <c r="AK15" s="21" t="str">
        <f>+IF($B$3="esp","Margen EBITDA Ajustado","Adjusted EBITDA Margin")</f>
        <v>Adjusted EBITDA Margin</v>
      </c>
      <c r="AL15" s="22"/>
      <c r="AM15" s="27">
        <f>+AM14/AM10</f>
        <v>2.8666644205377869E-2</v>
      </c>
      <c r="AN15" s="28">
        <f>+AN14/AN10</f>
        <v>4.3011226181321624E-2</v>
      </c>
      <c r="AO15" s="29"/>
      <c r="AQ15" s="27">
        <f>+AQ14/AQ10</f>
        <v>-2.9913079459944758E-2</v>
      </c>
      <c r="AR15" s="28">
        <f>+AR14/AR10</f>
        <v>2.1056738495679058E-3</v>
      </c>
      <c r="AS15" s="29"/>
      <c r="AV15" s="13" t="str">
        <f>+IF($B$3="esp","EBIT Ajustado","Adjusted EBIT")</f>
        <v>Adjusted EBIT</v>
      </c>
      <c r="AX15" s="14">
        <f>+'[1]MEDIA CAPITAL'!T15</f>
        <v>17.8775594329284</v>
      </c>
      <c r="AY15" s="15">
        <f>+'[1]MEDIA CAPITAL'!U15</f>
        <v>17.2719880379538</v>
      </c>
      <c r="AZ15" s="16">
        <f>IF(AY15=0,"---",IF(OR(ABS((AX15-AY15)/ABS(AY15))&gt;2,(AX15*AY15)&lt;0),"---",IF(AY15="0","---",((AX15-AY15)/ABS(AY15))*100)))</f>
        <v>3.50608970805159</v>
      </c>
      <c r="BB15" s="14">
        <f>+'[1]MEDIA CAPITAL'!X15</f>
        <v>3.5513505023706013</v>
      </c>
      <c r="BC15" s="15">
        <f>+'[1]MEDIA CAPITAL'!Y15</f>
        <v>3.8227514986411997</v>
      </c>
      <c r="BD15" s="16">
        <f>IF(BC15=0,"---",IF(OR(ABS((BB15-BC15)/ABS(BC15))&gt;2,(BB15*BC15)&lt;0),"---",IF(BC15="0","---",((BB15-BC15)/ABS(BC15))*100)))</f>
        <v>-7.0996243508652874</v>
      </c>
    </row>
    <row r="16" spans="2:56" ht="15" customHeight="1">
      <c r="D16" s="17" t="str">
        <f>+IF($B$3="esp","España","Spain")</f>
        <v>Spain</v>
      </c>
      <c r="F16" s="18">
        <f>+[1]GRUPO!T16</f>
        <v>70.850910413141136</v>
      </c>
      <c r="G16" s="19">
        <f>+[1]GRUPO!U16</f>
        <v>75.873710109297676</v>
      </c>
      <c r="H16" s="20">
        <f t="shared" si="0"/>
        <v>-6.6199473953772543</v>
      </c>
      <c r="J16" s="18">
        <f>+[1]GRUPO!X16</f>
        <v>55.611682766977879</v>
      </c>
      <c r="K16" s="19">
        <f>+[1]GRUPO!Y16</f>
        <v>73.548777810290076</v>
      </c>
      <c r="L16" s="20">
        <f t="shared" si="1"/>
        <v>-24.388025984032939</v>
      </c>
      <c r="O16" s="17" t="str">
        <f>+IF($B$3="esp","España","Spain")</f>
        <v>Spain</v>
      </c>
      <c r="Q16" s="18">
        <f>+[1]SANTILLANA!T16</f>
        <v>60.992472016975242</v>
      </c>
      <c r="R16" s="19">
        <f>+[1]SANTILLANA!U16</f>
        <v>68.441683379298524</v>
      </c>
      <c r="S16" s="20">
        <f t="shared" si="2"/>
        <v>-10.88402709360658</v>
      </c>
      <c r="U16" s="18">
        <f>+[1]SANTILLANA!X16</f>
        <v>58.627110376976177</v>
      </c>
      <c r="V16" s="19">
        <f>+[1]SANTILLANA!Y16</f>
        <v>73.975768299999629</v>
      </c>
      <c r="W16" s="20">
        <f t="shared" si="3"/>
        <v>-20.748223743724918</v>
      </c>
      <c r="Z16" s="17" t="str">
        <f>+IF($B$3="esp","España","Spain")</f>
        <v>Spain</v>
      </c>
      <c r="AB16" s="18">
        <f>+[1]RADIO!T16</f>
        <v>14.7671469499999</v>
      </c>
      <c r="AC16" s="19">
        <f>+[1]RADIO!U16</f>
        <v>12.088068139999999</v>
      </c>
      <c r="AD16" s="20">
        <f t="shared" si="4"/>
        <v>22.163002218151799</v>
      </c>
      <c r="AF16" s="18">
        <f>+[1]RADIO!X16</f>
        <v>0.47404027999999698</v>
      </c>
      <c r="AG16" s="19">
        <f>+[1]RADIO!Y16</f>
        <v>1.4887966499999976</v>
      </c>
      <c r="AH16" s="20">
        <f t="shared" si="5"/>
        <v>-68.159501164917472</v>
      </c>
      <c r="AK16" s="13" t="str">
        <f>+IF($B$3="esp","EBIT Ajustado","Adjusted EBIT")</f>
        <v>Adjusted EBIT</v>
      </c>
      <c r="AL16" s="13"/>
      <c r="AM16" s="14">
        <f>+[1]NOTICIAS!T16</f>
        <v>-2.0758564053690307</v>
      </c>
      <c r="AN16" s="15">
        <f>+[1]NOTICIAS!U16</f>
        <v>1.7446528432257251</v>
      </c>
      <c r="AO16" s="16" t="str">
        <f>IF(AN16=0,"---",IF(OR(ABS((AM16-AN16)/ABS(AN16))&gt;2,(AM16*AN16)&lt;0),"---",IF(AN16="0","---",((AM16-AN16)/ABS(AN16))*100)))</f>
        <v>---</v>
      </c>
      <c r="AQ16" s="14">
        <f>+[1]NOTICIAS!X16</f>
        <v>-3.4278298778325831</v>
      </c>
      <c r="AR16" s="15">
        <f>+[1]NOTICIAS!Y16</f>
        <v>-1.7907409446811799</v>
      </c>
      <c r="AS16" s="16">
        <f>IF(AR16=0,"---",IF(OR(ABS((AQ16-AR16)/ABS(AR16))&gt;2,(AQ16*AR16)&lt;0),"---",IF(AR16="0","---",((AQ16-AR16)/ABS(AR16))*100)))</f>
        <v>-91.419640457423469</v>
      </c>
      <c r="AV16" s="30" t="str">
        <f>+IF($B$3="esp","Margen EBIT Ajustado","Adjusted EBIT Margin")</f>
        <v>Adjusted EBIT Margin</v>
      </c>
      <c r="AW16" s="22"/>
      <c r="AX16" s="31">
        <f>+AX15/AX10</f>
        <v>0.15504173971212537</v>
      </c>
      <c r="AY16" s="32">
        <f>+AY15/AY10</f>
        <v>0.13895231977701211</v>
      </c>
      <c r="AZ16" s="33"/>
      <c r="BB16" s="31">
        <f>+BB15/BB10</f>
        <v>9.7901630701322545E-2</v>
      </c>
      <c r="BC16" s="32">
        <f>+BC15/BC10</f>
        <v>9.7930674528816902E-2</v>
      </c>
      <c r="BD16" s="33"/>
    </row>
    <row r="17" spans="4:45" ht="15" customHeight="1">
      <c r="D17" s="17" t="str">
        <f>+IF($B$3="esp","Internacional","International")</f>
        <v>International</v>
      </c>
      <c r="F17" s="18">
        <f>+[1]GRUPO!T17</f>
        <v>124.03734429156165</v>
      </c>
      <c r="G17" s="19">
        <f>+[1]GRUPO!U17</f>
        <v>114.53960424194622</v>
      </c>
      <c r="H17" s="20">
        <f t="shared" si="0"/>
        <v>8.292101332525128</v>
      </c>
      <c r="J17" s="18">
        <f>+[1]GRUPO!X17</f>
        <v>22.179442223744871</v>
      </c>
      <c r="K17" s="19">
        <f>+[1]GRUPO!Y17</f>
        <v>37.949055123158459</v>
      </c>
      <c r="L17" s="20">
        <f t="shared" si="1"/>
        <v>-41.55469180519902</v>
      </c>
      <c r="O17" s="17" t="str">
        <f>+IF($B$3="esp","Internacional","International")</f>
        <v>International</v>
      </c>
      <c r="Q17" s="18">
        <f>+[1]SANTILLANA!T17</f>
        <v>106.59765319447497</v>
      </c>
      <c r="R17" s="19">
        <f>+[1]SANTILLANA!U17</f>
        <v>98.795025123814867</v>
      </c>
      <c r="S17" s="20">
        <f t="shared" si="2"/>
        <v>7.8977945102817291</v>
      </c>
      <c r="U17" s="18">
        <f>+[1]SANTILLANA!X17</f>
        <v>14.759539360544323</v>
      </c>
      <c r="V17" s="19">
        <f>+[1]SANTILLANA!Y17</f>
        <v>30.450502721941021</v>
      </c>
      <c r="W17" s="20">
        <f t="shared" si="3"/>
        <v>-51.529406606777037</v>
      </c>
      <c r="Z17" s="17" t="str">
        <f>+IF($B$3="esp","Latam","Latam")</f>
        <v>Latam</v>
      </c>
      <c r="AB17" s="18">
        <f>+[1]RADIO!T17</f>
        <v>20.770933327933331</v>
      </c>
      <c r="AC17" s="19">
        <f>+[1]RADIO!U17</f>
        <v>18.514786894721901</v>
      </c>
      <c r="AD17" s="20">
        <f t="shared" si="4"/>
        <v>12.185646240706131</v>
      </c>
      <c r="AF17" s="18">
        <f>+[1]RADIO!X17</f>
        <v>8.4495803268645364</v>
      </c>
      <c r="AG17" s="19">
        <f>+[1]RADIO!Y17</f>
        <v>7.8736247678383382</v>
      </c>
      <c r="AH17" s="20">
        <f t="shared" si="5"/>
        <v>7.3149988221285751</v>
      </c>
      <c r="AK17" s="30" t="str">
        <f>+IF($B$3="esp","Margen EBIT Ajustado","Adjusted EBIT Margin")</f>
        <v>Adjusted EBIT Margin</v>
      </c>
      <c r="AL17" s="22"/>
      <c r="AM17" s="31">
        <f>+AM16/AM10</f>
        <v>-1.3186658720504663E-2</v>
      </c>
      <c r="AN17" s="32">
        <f>+AN16/AN10</f>
        <v>1.0022569697378046E-2</v>
      </c>
      <c r="AO17" s="33"/>
      <c r="AQ17" s="31">
        <f>+AQ16/AQ10</f>
        <v>-7.0871195204524159E-2</v>
      </c>
      <c r="AR17" s="32">
        <f>+AR16/AR10</f>
        <v>-3.441052984242416E-2</v>
      </c>
      <c r="AS17" s="33"/>
    </row>
    <row r="18" spans="4:45" ht="15" customHeight="1">
      <c r="D18" s="26" t="str">
        <f>+IF($B$3="esp","Portugal","Portugal")</f>
        <v>Portugal</v>
      </c>
      <c r="F18" s="18">
        <f>+[1]GRUPO!T18</f>
        <v>0.55700300000000091</v>
      </c>
      <c r="G18" s="19">
        <f>+[1]GRUPO!U18</f>
        <v>0.725989</v>
      </c>
      <c r="H18" s="20">
        <f t="shared" si="0"/>
        <v>-23.276661216629876</v>
      </c>
      <c r="J18" s="18">
        <f>+[1]GRUPO!X18</f>
        <v>2.0792350000000011</v>
      </c>
      <c r="K18" s="19">
        <f>+[1]GRUPO!Y18</f>
        <v>2.9326100000000004</v>
      </c>
      <c r="L18" s="20">
        <f t="shared" si="1"/>
        <v>-29.099505218900546</v>
      </c>
      <c r="O18" s="26" t="str">
        <f>+IF($B$3="esp","Portugal","Portugal")</f>
        <v>Portugal</v>
      </c>
      <c r="Q18" s="18">
        <f>+[1]SANTILLANA!T18</f>
        <v>0.55700300000000091</v>
      </c>
      <c r="R18" s="19">
        <f>+[1]SANTILLANA!U18</f>
        <v>0.725989</v>
      </c>
      <c r="S18" s="20">
        <f t="shared" si="2"/>
        <v>-23.276661216629876</v>
      </c>
      <c r="U18" s="18">
        <f>+[1]SANTILLANA!X18</f>
        <v>2.0792350000000011</v>
      </c>
      <c r="V18" s="19">
        <f>+[1]SANTILLANA!Y18</f>
        <v>2.9326100000000004</v>
      </c>
      <c r="W18" s="20">
        <f t="shared" si="3"/>
        <v>-29.099505218900546</v>
      </c>
      <c r="Z18" s="17" t="str">
        <f>+IF($B$3="esp","Música","Music")</f>
        <v>Music</v>
      </c>
      <c r="AB18" s="18">
        <f>+[1]RADIO!T18</f>
        <v>-1.4249928328186201</v>
      </c>
      <c r="AC18" s="19">
        <f>+[1]RADIO!U18</f>
        <v>-1.1453464242734099</v>
      </c>
      <c r="AD18" s="20">
        <f t="shared" si="4"/>
        <v>-24.415880000901346</v>
      </c>
      <c r="AF18" s="18">
        <f>+[1]RADIO!X18</f>
        <v>-0.71932984115559018</v>
      </c>
      <c r="AG18" s="19">
        <f>+[1]RADIO!Y18</f>
        <v>-0.44010096733542892</v>
      </c>
      <c r="AH18" s="20">
        <f t="shared" si="5"/>
        <v>-63.446548529702099</v>
      </c>
    </row>
    <row r="19" spans="4:45" ht="15" customHeight="1">
      <c r="D19" s="26" t="str">
        <f>+IF($B$3="esp","Latam","Latam")</f>
        <v>Latam</v>
      </c>
      <c r="F19" s="18">
        <f>+[1]GRUPO!T19</f>
        <v>123.48034129156166</v>
      </c>
      <c r="G19" s="19">
        <f>+[1]GRUPO!U19</f>
        <v>113.81361524194622</v>
      </c>
      <c r="H19" s="20">
        <f t="shared" si="0"/>
        <v>8.4934706880769948</v>
      </c>
      <c r="J19" s="18">
        <f>+[1]GRUPO!X19</f>
        <v>20.100207223744874</v>
      </c>
      <c r="K19" s="19">
        <f>+[1]GRUPO!Y19</f>
        <v>35.016445123158462</v>
      </c>
      <c r="L19" s="20">
        <f t="shared" si="1"/>
        <v>-42.597807535718665</v>
      </c>
      <c r="O19" s="26" t="str">
        <f>+IF($B$3="esp","Latam","Latam")</f>
        <v>Latam</v>
      </c>
      <c r="Q19" s="18">
        <f>+[1]SANTILLANA!T19</f>
        <v>106.04065019447498</v>
      </c>
      <c r="R19" s="19">
        <f>+[1]SANTILLANA!U19</f>
        <v>98.069036123814868</v>
      </c>
      <c r="S19" s="20">
        <f t="shared" si="2"/>
        <v>8.1285738962456264</v>
      </c>
      <c r="U19" s="18">
        <f>+[1]SANTILLANA!X19</f>
        <v>12.680304360544326</v>
      </c>
      <c r="V19" s="19">
        <f>+[1]SANTILLANA!Y19</f>
        <v>27.517892721941024</v>
      </c>
      <c r="W19" s="20">
        <f t="shared" si="3"/>
        <v>-53.919784161256445</v>
      </c>
      <c r="Z19" s="17" t="str">
        <f>+IF($B$3="esp","Ajustes y Otros","Adjustments &amp; others")</f>
        <v>Adjustments &amp; others</v>
      </c>
      <c r="AB19" s="18">
        <f>+[1]RADIO!T19</f>
        <v>-2.7777780076121417E-13</v>
      </c>
      <c r="AC19" s="19">
        <f>+[1]RADIO!U19</f>
        <v>-2.7282000000881101E-3</v>
      </c>
      <c r="AD19" s="20">
        <f t="shared" si="4"/>
        <v>99.999999989818278</v>
      </c>
      <c r="AF19" s="18">
        <f>+[1]RADIO!X19</f>
        <v>-2.9976021664879227E-13</v>
      </c>
      <c r="AG19" s="19">
        <f>+[1]RADIO!Y19</f>
        <v>-1.0923800003296291E-3</v>
      </c>
      <c r="AH19" s="20">
        <f t="shared" si="5"/>
        <v>99.999999972558982</v>
      </c>
    </row>
    <row r="20" spans="4:45" s="22" customFormat="1" ht="15" customHeight="1">
      <c r="D20" s="21" t="str">
        <f>+IF($B$3="esp","Margen EBITDA Ajustado","Adjusted EBITDA Margin")</f>
        <v>Adjusted EBITDA Margin</v>
      </c>
      <c r="F20" s="27">
        <f>+F15/F10</f>
        <v>0.21563801281262968</v>
      </c>
      <c r="G20" s="28">
        <f>+G15/G10</f>
        <v>0.20880378452392964</v>
      </c>
      <c r="H20" s="29"/>
      <c r="J20" s="27">
        <f>+J15/J10</f>
        <v>0.24495529274548966</v>
      </c>
      <c r="K20" s="28">
        <f>+K15/K10</f>
        <v>0.30728849810688907</v>
      </c>
      <c r="L20" s="29"/>
      <c r="O20" s="21" t="str">
        <f>+IF($B$3="esp","Margen EBITDA Ajustado","Adjusted EBITDA Margin")</f>
        <v>Adjusted EBITDA Margin</v>
      </c>
      <c r="Q20" s="27">
        <f>+Q15/Q10</f>
        <v>0.32067965614357363</v>
      </c>
      <c r="R20" s="28">
        <f>+R15/R10</f>
        <v>0.32565797392687124</v>
      </c>
      <c r="S20" s="29"/>
      <c r="U20" s="27">
        <f>+U15/U10</f>
        <v>0.37713924970204249</v>
      </c>
      <c r="V20" s="28">
        <f>+V15/V10</f>
        <v>0.44631543657946737</v>
      </c>
      <c r="W20" s="29"/>
      <c r="Z20" s="21" t="str">
        <f>+IF($B$3="esp","Margen EBITDA Ajustado","Adjusted EBITDA Margin")</f>
        <v>Adjusted EBITDA Margin</v>
      </c>
      <c r="AB20" s="27">
        <f>+AB15/AB10</f>
        <v>0.15674915372449086</v>
      </c>
      <c r="AC20" s="28">
        <f>+AC15/AC10</f>
        <v>0.13252092679759403</v>
      </c>
      <c r="AD20" s="29"/>
      <c r="AF20" s="27">
        <f>+AF15/AF10</f>
        <v>0.11580405696308495</v>
      </c>
      <c r="AG20" s="28">
        <f>+AG15/AG10</f>
        <v>0.1194151856949222</v>
      </c>
      <c r="AH20" s="29"/>
    </row>
    <row r="21" spans="4:45" s="13" customFormat="1" ht="15" customHeight="1">
      <c r="D21" s="13" t="str">
        <f>+IF($B$3="esp","EBIT Ajustado","Adjusted EBIT")</f>
        <v>Adjusted EBIT</v>
      </c>
      <c r="F21" s="14">
        <f>+[1]GRUPO!T21</f>
        <v>124.48945423654463</v>
      </c>
      <c r="G21" s="15">
        <f>+[1]GRUPO!U21</f>
        <v>103.66008562212035</v>
      </c>
      <c r="H21" s="16">
        <f>IF(G21=0,"---",IF(OR(ABS((F21-G21)/ABS(G21))&gt;2,(F21*G21)&lt;0),"---",IF(G21="0","---",((F21-G21)/ABS(G21))*100)))</f>
        <v>20.093914151638938</v>
      </c>
      <c r="J21" s="14">
        <f>+[1]GRUPO!X21</f>
        <v>41.356106692448378</v>
      </c>
      <c r="K21" s="15">
        <f>+[1]GRUPO!Y21</f>
        <v>62.532000932009026</v>
      </c>
      <c r="L21" s="16">
        <f>IF(K21=0,"---",IF(OR(ABS((J21-K21)/ABS(K21))&gt;2,(J21*K21)&lt;0),"---",IF(K21="0","---",((J21-K21)/ABS(K21))*100)))</f>
        <v>-33.864091863276812</v>
      </c>
      <c r="O21" s="13" t="str">
        <f>+IF($B$3="esp","EBIT Ajustado","Adjusted EBIT")</f>
        <v>Adjusted EBIT</v>
      </c>
      <c r="Q21" s="14">
        <f>+[1]SANTILLANA!T21</f>
        <v>107.97389434189624</v>
      </c>
      <c r="R21" s="15">
        <f>+[1]SANTILLANA!U21</f>
        <v>98.967072252100877</v>
      </c>
      <c r="S21" s="16">
        <f>IF(R21=0,"---",IF(OR(ABS((Q21-R21)/ABS(R21))&gt;2,(Q21*R21)&lt;0),"---",IF(R21="0","---",((Q21-R21)/ABS(R21))*100)))</f>
        <v>9.100827057763313</v>
      </c>
      <c r="U21" s="14">
        <f>+[1]SANTILLANA!X21</f>
        <v>37.184434714569718</v>
      </c>
      <c r="V21" s="15">
        <f>+[1]SANTILLANA!Y21</f>
        <v>61.552172691971045</v>
      </c>
      <c r="W21" s="16">
        <f>IF(V21=0,"---",IF(OR(ABS((U21-V21)/ABS(V21))&gt;2,(U21*V21)&lt;0),"---",IF(V21="0","---",((U21-V21)/ABS(V21))*100)))</f>
        <v>-39.588753591763769</v>
      </c>
      <c r="Z21" s="13" t="str">
        <f>+IF($B$3="esp","EBIT Ajustado","Adjusted EBIT")</f>
        <v>Adjusted EBIT</v>
      </c>
      <c r="AB21" s="14">
        <f>+[1]RADIO!T21</f>
        <v>26.276374452611961</v>
      </c>
      <c r="AC21" s="15">
        <f>+[1]RADIO!U21</f>
        <v>20.509531555114826</v>
      </c>
      <c r="AD21" s="16">
        <f>IF(AC21=0,"---",IF(OR(ABS((AB21-AC21)/ABS(AC21))&gt;2,(AB21*AC21)&lt;0),"---",IF(AC21="0","---",((AB21-AC21)/ABS(AC21))*100)))</f>
        <v>28.117867451043537</v>
      </c>
      <c r="AF21" s="14">
        <f>+[1]RADIO!X21</f>
        <v>5.6999480814970411</v>
      </c>
      <c r="AG21" s="15">
        <f>+[1]RADIO!Y21</f>
        <v>5.7782407248319512</v>
      </c>
      <c r="AH21" s="16">
        <f>IF(AG21=0,"---",IF(OR(ABS((AF21-AG21)/ABS(AG21))&gt;2,(AF21*AG21)&lt;0),"---",IF(AG21="0","---",((AF21-AG21)/ABS(AG21))*100)))</f>
        <v>-1.354956414301812</v>
      </c>
    </row>
    <row r="22" spans="4:45" ht="15" customHeight="1">
      <c r="D22" s="17" t="str">
        <f>+IF($B$3="esp","España","Spain")</f>
        <v>Spain</v>
      </c>
      <c r="F22" s="18">
        <f>+[1]GRUPO!T22</f>
        <v>36.258189162460113</v>
      </c>
      <c r="G22" s="19">
        <f>+[1]GRUPO!U22</f>
        <v>24.832668763570094</v>
      </c>
      <c r="H22" s="20">
        <f>IF(G22=0,"---",IF(OR(ABS((F22-G22)/ABS(G22))&gt;2,(F22*G22)&lt;0),"---",IF(G22="0","---",((F22-G22)/ABS(G22))*100)))</f>
        <v>46.0100382591638</v>
      </c>
      <c r="J22" s="18">
        <f>+[1]GRUPO!X22</f>
        <v>29.158502542284101</v>
      </c>
      <c r="K22" s="19">
        <f>+[1]GRUPO!Y22</f>
        <v>35.265148468290022</v>
      </c>
      <c r="L22" s="20">
        <f>IF(K22=0,"---",IF(OR(ABS((J22-K22)/ABS(K22))&gt;2,(J22*K22)&lt;0),"---",IF(K22="0","---",((J22-K22)/ABS(K22))*100)))</f>
        <v>-17.316376624635339</v>
      </c>
      <c r="O22" s="17" t="str">
        <f>+IF($B$3="esp","España","Spain")</f>
        <v>Spain</v>
      </c>
      <c r="Q22" s="18">
        <f>+[1]SANTILLANA!T22</f>
        <v>32.060832916975613</v>
      </c>
      <c r="R22" s="19">
        <f>+[1]SANTILLANA!U22</f>
        <v>32.838729599297935</v>
      </c>
      <c r="S22" s="20">
        <f>IF(R22=0,"---",IF(OR(ABS((Q22-R22)/ABS(R22))&gt;2,(Q22*R22)&lt;0),"---",IF(R22="0","---",((Q22-R22)/ABS(R22))*100)))</f>
        <v>-2.3688391475989139</v>
      </c>
      <c r="U22" s="18">
        <f>+[1]SANTILLANA!X22</f>
        <v>31.137609806976684</v>
      </c>
      <c r="V22" s="19">
        <f>+[1]SANTILLANA!Y22</f>
        <v>40.582430319999212</v>
      </c>
      <c r="W22" s="20">
        <f>IF(V22=0,"---",IF(OR(ABS((U22-V22)/ABS(V22))&gt;2,(U22*V22)&lt;0),"---",IF(V22="0","---",((U22-V22)/ABS(V22))*100)))</f>
        <v>-23.273176196074377</v>
      </c>
      <c r="Z22" s="17" t="str">
        <f>+IF($B$3="esp","España","Spain")</f>
        <v>Spain</v>
      </c>
      <c r="AB22" s="18">
        <f>+[1]RADIO!T22</f>
        <v>10.497377259999901</v>
      </c>
      <c r="AC22" s="19">
        <f>+[1]RADIO!U22</f>
        <v>6.8917960800001001</v>
      </c>
      <c r="AD22" s="20">
        <f>IF(AC22=0,"---",IF(OR(ABS((AB22-AC22)/ABS(AC22))&gt;2,(AB22*AC22)&lt;0),"---",IF(AC22="0","---",((AB22-AC22)/ABS(AC22))*100)))</f>
        <v>52.317003262228681</v>
      </c>
      <c r="AF22" s="18">
        <f>+[1]RADIO!X22</f>
        <v>-1.0039081599999982</v>
      </c>
      <c r="AG22" s="19">
        <f>+[1]RADIO!Y22</f>
        <v>-0.53225115999990003</v>
      </c>
      <c r="AH22" s="20">
        <f>IF(AG22=0,"---",IF(OR(ABS((AF22-AG22)/ABS(AG22))&gt;2,(AF22*AG22)&lt;0),"---",IF(AG22="0","---",((AF22-AG22)/ABS(AG22))*100)))</f>
        <v>-88.615494985522758</v>
      </c>
    </row>
    <row r="23" spans="4:45" ht="15" customHeight="1">
      <c r="D23" s="17" t="str">
        <f>+IF($B$3="esp","Internacional","International")</f>
        <v>International</v>
      </c>
      <c r="F23" s="18">
        <f>+[1]GRUPO!T23</f>
        <v>88.231265074084519</v>
      </c>
      <c r="G23" s="19">
        <f>+[1]GRUPO!U23</f>
        <v>78.827416858550237</v>
      </c>
      <c r="H23" s="20">
        <f>IF(G23=0,"---",IF(OR(ABS((F23-G23)/ABS(G23))&gt;2,(F23*G23)&lt;0),"---",IF(G23="0","---",((F23-G23)/ABS(G23))*100)))</f>
        <v>11.929666847270623</v>
      </c>
      <c r="J23" s="18">
        <f>+[1]GRUPO!X23</f>
        <v>12.197604150164281</v>
      </c>
      <c r="K23" s="19">
        <f>+[1]GRUPO!Y23</f>
        <v>27.266852463718976</v>
      </c>
      <c r="L23" s="20">
        <f>IF(K23=0,"---",IF(OR(ABS((J23-K23)/ABS(K23))&gt;2,(J23*K23)&lt;0),"---",IF(K23="0","---",((J23-K23)/ABS(K23))*100)))</f>
        <v>-55.265815273712647</v>
      </c>
      <c r="O23" s="17" t="str">
        <f>+IF($B$3="esp","Internacional","International")</f>
        <v>International</v>
      </c>
      <c r="Q23" s="18">
        <f>+[1]SANTILLANA!T23</f>
        <v>75.913061424920627</v>
      </c>
      <c r="R23" s="19">
        <f>+[1]SANTILLANA!U23</f>
        <v>66.128342652802942</v>
      </c>
      <c r="S23" s="20">
        <f>IF(R23=0,"---",IF(OR(ABS((Q23-R23)/ABS(R23))&gt;2,(Q23*R23)&lt;0),"---",IF(R23="0","---",((Q23-R23)/ABS(R23))*100)))</f>
        <v>14.79655829799168</v>
      </c>
      <c r="U23" s="18">
        <f>+[1]SANTILLANA!X23</f>
        <v>6.0468249075930345</v>
      </c>
      <c r="V23" s="19">
        <f>+[1]SANTILLANA!Y23</f>
        <v>20.969742371971833</v>
      </c>
      <c r="W23" s="20">
        <f>IF(V23=0,"---",IF(OR(ABS((U23-V23)/ABS(V23))&gt;2,(U23*V23)&lt;0),"---",IF(V23="0","---",((U23-V23)/ABS(V23))*100)))</f>
        <v>-71.164047701057015</v>
      </c>
      <c r="Z23" s="17" t="str">
        <f>+IF($B$3="esp","Latam","Latam")</f>
        <v>Latam</v>
      </c>
      <c r="AB23" s="18">
        <f>+[1]RADIO!T23</f>
        <v>17.636922439988762</v>
      </c>
      <c r="AC23" s="19">
        <f>+[1]RADIO!U23</f>
        <v>15.720082758392508</v>
      </c>
      <c r="AD23" s="20">
        <f>IF(AC23=0,"---",IF(OR(ABS((AB23-AC23)/ABS(AC23))&gt;2,(AB23*AC23)&lt;0),"---",IF(AC23="0","---",((AB23-AC23)/ABS(AC23))*100)))</f>
        <v>12.193572457962462</v>
      </c>
      <c r="AF23" s="18">
        <f>+[1]RADIO!X23</f>
        <v>7.4703140419696279</v>
      </c>
      <c r="AG23" s="19">
        <f>+[1]RADIO!Y23</f>
        <v>6.7707622131718441</v>
      </c>
      <c r="AH23" s="20">
        <f>IF(AG23=0,"---",IF(OR(ABS((AF23-AG23)/ABS(AG23))&gt;2,(AF23*AG23)&lt;0),"---",IF(AG23="0","---",((AF23-AG23)/ABS(AG23))*100)))</f>
        <v>10.33195092033915</v>
      </c>
    </row>
    <row r="24" spans="4:45" ht="15" customHeight="1">
      <c r="D24" s="26" t="str">
        <f>+IF($B$3="esp","Portugal","Portugal")</f>
        <v>Portugal</v>
      </c>
      <c r="F24" s="18">
        <f>+[1]GRUPO!T24</f>
        <v>0.1139560000000007</v>
      </c>
      <c r="G24" s="19">
        <f>+[1]GRUPO!U24</f>
        <v>0.33158499999999996</v>
      </c>
      <c r="H24" s="20">
        <f>IF(G24=0,"---",IF(OR(ABS((F24-G24)/ABS(G24))&gt;2,(F24*G24)&lt;0),"---",IF(G24="0","---",((F24-G24)/ABS(G24))*100)))</f>
        <v>-65.632944795451934</v>
      </c>
      <c r="J24" s="18">
        <f>+[1]GRUPO!X24</f>
        <v>1.6409210000000005</v>
      </c>
      <c r="K24" s="19">
        <f>+[1]GRUPO!Y24</f>
        <v>2.5284200000000001</v>
      </c>
      <c r="L24" s="20">
        <f>IF(K24=0,"---",IF(OR(ABS((J24-K24)/ABS(K24))&gt;2,(J24*K24)&lt;0),"---",IF(K24="0","---",((J24-K24)/ABS(K24))*100)))</f>
        <v>-35.10093259822338</v>
      </c>
      <c r="O24" s="26" t="str">
        <f>+IF($B$3="esp","Portugal","Portugal")</f>
        <v>Portugal</v>
      </c>
      <c r="Q24" s="18">
        <f>+[1]SANTILLANA!T24</f>
        <v>0.11395600000000121</v>
      </c>
      <c r="R24" s="19">
        <f>+[1]SANTILLANA!U24</f>
        <v>0.33158499999999996</v>
      </c>
      <c r="S24" s="20">
        <f>IF(R24=0,"---",IF(OR(ABS((Q24-R24)/ABS(R24))&gt;2,(Q24*R24)&lt;0),"---",IF(R24="0","---",((Q24-R24)/ABS(R24))*100)))</f>
        <v>-65.632944795451778</v>
      </c>
      <c r="U24" s="18">
        <f>+[1]SANTILLANA!X24</f>
        <v>1.6409210000000012</v>
      </c>
      <c r="V24" s="19">
        <f>+[1]SANTILLANA!Y24</f>
        <v>2.5284200000000001</v>
      </c>
      <c r="W24" s="20">
        <f>IF(V24=0,"---",IF(OR(ABS((U24-V24)/ABS(V24))&gt;2,(U24*V24)&lt;0),"---",IF(V24="0","---",((U24-V24)/ABS(V24))*100)))</f>
        <v>-35.100932598223352</v>
      </c>
      <c r="Z24" s="17" t="str">
        <f>+IF($B$3="esp","Música","Music")</f>
        <v>Music</v>
      </c>
      <c r="AB24" s="18">
        <f>+[1]RADIO!T24</f>
        <v>-1.8579252473768402</v>
      </c>
      <c r="AC24" s="19">
        <f>+[1]RADIO!U24</f>
        <v>-2.0996190832775001</v>
      </c>
      <c r="AD24" s="20">
        <f>IF(AC24=0,"---",IF(OR(ABS((AB24-AC24)/ABS(AC24))&gt;2,(AB24*AC24)&lt;0),"---",IF(AC24="0","---",((AB24-AC24)/ABS(AC24))*100)))</f>
        <v>11.51131830652713</v>
      </c>
      <c r="AF24" s="18">
        <f>+[1]RADIO!X24</f>
        <v>-0.76645780047268008</v>
      </c>
      <c r="AG24" s="19">
        <f>+[1]RADIO!Y24</f>
        <v>-0.45917794833952019</v>
      </c>
      <c r="AH24" s="20">
        <f>IF(AG24=0,"---",IF(OR(ABS((AF24-AG24)/ABS(AG24))&gt;2,(AF24*AG24)&lt;0),"---",IF(AG24="0","---",((AF24-AG24)/ABS(AG24))*100)))</f>
        <v>-66.919557710544595</v>
      </c>
    </row>
    <row r="25" spans="4:45" ht="15" customHeight="1">
      <c r="D25" s="26" t="str">
        <f>+IF($B$3="esp","Latam","Latam")</f>
        <v>Latam</v>
      </c>
      <c r="F25" s="18">
        <f>+[1]GRUPO!T25</f>
        <v>88.117309074084517</v>
      </c>
      <c r="G25" s="19">
        <f>+[1]GRUPO!U25</f>
        <v>78.495831858550233</v>
      </c>
      <c r="H25" s="20">
        <f>IF(G25=0,"---",IF(OR(ABS((F25-G25)/ABS(G25))&gt;2,(F25*G25)&lt;0),"---",IF(G25="0","---",((F25-G25)/ABS(G25))*100)))</f>
        <v>12.257309703873474</v>
      </c>
      <c r="J25" s="18">
        <f>+[1]GRUPO!X25</f>
        <v>10.556683150164289</v>
      </c>
      <c r="K25" s="19">
        <f>+[1]GRUPO!Y25</f>
        <v>24.738432463718979</v>
      </c>
      <c r="L25" s="20">
        <f>IF(K25=0,"---",IF(OR(ABS((J25-K25)/ABS(K25))&gt;2,(J25*K25)&lt;0),"---",IF(K25="0","---",((J25-K25)/ABS(K25))*100)))</f>
        <v>-57.326790346774935</v>
      </c>
      <c r="O25" s="26" t="str">
        <f>+IF($B$3="esp","Latam","Latam")</f>
        <v>Latam</v>
      </c>
      <c r="Q25" s="18">
        <f>+[1]SANTILLANA!T25</f>
        <v>75.799105424920626</v>
      </c>
      <c r="R25" s="19">
        <f>+[1]SANTILLANA!U25</f>
        <v>65.796757652802938</v>
      </c>
      <c r="S25" s="20">
        <f>IF(R25=0,"---",IF(OR(ABS((Q25-R25)/ABS(R25))&gt;2,(Q25*R25)&lt;0),"---",IF(R25="0","---",((Q25-R25)/ABS(R25))*100)))</f>
        <v>15.201885516757812</v>
      </c>
      <c r="U25" s="18">
        <f>+[1]SANTILLANA!X25</f>
        <v>4.4059039075930286</v>
      </c>
      <c r="V25" s="19">
        <f>+[1]SANTILLANA!Y25</f>
        <v>18.441322371971829</v>
      </c>
      <c r="W25" s="20">
        <f>IF(V25=0,"---",IF(OR(ABS((U25-V25)/ABS(V25))&gt;2,(U25*V25)&lt;0),"---",IF(V25="0","---",((U25-V25)/ABS(V25))*100)))</f>
        <v>-76.108525089885248</v>
      </c>
      <c r="Z25" s="17" t="str">
        <f>+IF($B$3="esp","Ajustes y Otros","Adjustments &amp; others")</f>
        <v>Adjustments &amp; others</v>
      </c>
      <c r="AB25" s="18">
        <f>+[1]RADIO!T25</f>
        <v>1.3811174426336947E-13</v>
      </c>
      <c r="AC25" s="19">
        <f>+[1]RADIO!U25</f>
        <v>-2.728200000281511E-3</v>
      </c>
      <c r="AD25" s="20" t="str">
        <f>IF(AC25=0,"---",IF(OR(ABS((AB25-AC25)/ABS(AC25))&gt;2,(AB25*AC25)&lt;0),"---",IF(AC25="0","---",((AB25-AC25)/ABS(AC25))*100)))</f>
        <v>---</v>
      </c>
      <c r="AF25" s="18">
        <f>+[1]RADIO!X25</f>
        <v>9.1482377229112899E-14</v>
      </c>
      <c r="AG25" s="19">
        <f>+[1]RADIO!Y25</f>
        <v>-1.0923800004727369E-3</v>
      </c>
      <c r="AH25" s="20" t="str">
        <f>IF(AG25=0,"---",IF(OR(ABS((AF25-AG25)/ABS(AG25))&gt;2,(AF25*AG25)&lt;0),"---",IF(AG25="0","---",((AF25-AG25)/ABS(AG25))*100)))</f>
        <v>---</v>
      </c>
    </row>
    <row r="26" spans="4:45" s="22" customFormat="1" ht="15" customHeight="1">
      <c r="D26" s="30" t="str">
        <f>+IF($B$3="esp","Margen EBIT Ajustado","Adjusted EBIT Margin")</f>
        <v>Adjusted EBIT Margin</v>
      </c>
      <c r="F26" s="31">
        <f>+F21/F10</f>
        <v>0.13774385002509598</v>
      </c>
      <c r="G26" s="32">
        <f>+G21/G10</f>
        <v>0.1136717684670243</v>
      </c>
      <c r="H26" s="33"/>
      <c r="J26" s="31">
        <f>+J21/J10</f>
        <v>0.13022561664804988</v>
      </c>
      <c r="K26" s="32">
        <f>+K21/K10</f>
        <v>0.17233845846569068</v>
      </c>
      <c r="L26" s="33"/>
      <c r="O26" s="30" t="str">
        <f>+IF($B$3="esp","Margen EBIT Ajustado","Adjusted EBIT Margin")</f>
        <v>Adjusted EBIT Margin</v>
      </c>
      <c r="Q26" s="31">
        <f>+Q21/Q10</f>
        <v>0.20660543851468022</v>
      </c>
      <c r="R26" s="32">
        <f>+R21/R10</f>
        <v>0.19271735567848397</v>
      </c>
      <c r="S26" s="33"/>
      <c r="U26" s="31">
        <f>+U21/U10</f>
        <v>0.19109347352693612</v>
      </c>
      <c r="V26" s="32">
        <f>+V21/V10</f>
        <v>0.26307254447168604</v>
      </c>
      <c r="W26" s="33"/>
      <c r="Z26" s="30" t="str">
        <f>+IF($B$3="esp","Margen EBIT Ajustado","Adjusted EBIT Margin")</f>
        <v>Adjusted EBIT Margin</v>
      </c>
      <c r="AB26" s="31">
        <f>+AB21/AB10</f>
        <v>0.12073956850201931</v>
      </c>
      <c r="AC26" s="32">
        <f>+AC21/AC10</f>
        <v>9.2275076982213391E-2</v>
      </c>
      <c r="AD26" s="33"/>
      <c r="AF26" s="31">
        <f>+AF21/AF10</f>
        <v>8.0455109547704615E-2</v>
      </c>
      <c r="AG26" s="32">
        <f>+AG21/AG10</f>
        <v>7.7344697803124057E-2</v>
      </c>
      <c r="AH26" s="33"/>
    </row>
    <row r="28" spans="4:45">
      <c r="D28" s="9"/>
      <c r="F28" s="10">
        <v>2017</v>
      </c>
      <c r="G28" s="10">
        <v>2016</v>
      </c>
      <c r="H28" s="10" t="str">
        <f>+IF($B$3="esp","Var.%","% Chg.")</f>
        <v>% Chg.</v>
      </c>
      <c r="J28" s="10">
        <v>2017</v>
      </c>
      <c r="K28" s="10">
        <v>2016</v>
      </c>
      <c r="L28" s="10" t="str">
        <f>+IF($B$3="esp","Var.%","% Chg.")</f>
        <v>% Chg.</v>
      </c>
      <c r="O28" s="9"/>
      <c r="Q28" s="10">
        <v>2017</v>
      </c>
      <c r="R28" s="10">
        <v>2016</v>
      </c>
      <c r="S28" s="10" t="str">
        <f>+IF($B$3="esp","Var.%","% Chg.")</f>
        <v>% Chg.</v>
      </c>
      <c r="U28" s="10">
        <v>2017</v>
      </c>
      <c r="V28" s="10">
        <v>2016</v>
      </c>
      <c r="W28" s="10" t="str">
        <f>+IF($B$3="esp","Var.%","% Chg.")</f>
        <v>% Chg.</v>
      </c>
      <c r="Z28" s="9"/>
      <c r="AB28" s="10">
        <v>2017</v>
      </c>
      <c r="AC28" s="10">
        <v>2016</v>
      </c>
      <c r="AD28" s="10" t="str">
        <f>+IF($B$3="esp","Var.%","% Chg.")</f>
        <v>% Chg.</v>
      </c>
      <c r="AF28" s="10">
        <v>2017</v>
      </c>
      <c r="AG28" s="10">
        <v>2016</v>
      </c>
      <c r="AH28" s="10" t="str">
        <f>+IF($B$3="esp","Var.%","% Chg.")</f>
        <v>% Chg.</v>
      </c>
    </row>
    <row r="29" spans="4:45" ht="15.75" customHeight="1">
      <c r="D29" s="11" t="str">
        <f>+IF($B$3="esp","Resultados de Explotación Ajustados a tipo constante","Operating Adjusted Results at constant currency")</f>
        <v>Operating Adjusted Results at constant currency</v>
      </c>
      <c r="F29" s="12"/>
      <c r="G29" s="12"/>
      <c r="H29" s="12"/>
      <c r="J29" s="12"/>
      <c r="K29" s="12"/>
      <c r="L29" s="12"/>
      <c r="O29" s="11" t="str">
        <f>+IF($B$3="esp","Resultados de Explotación Ajustados a tipo constante","Operating Adjusted Results at constant currency")</f>
        <v>Operating Adjusted Results at constant currency</v>
      </c>
      <c r="Q29" s="12"/>
      <c r="R29" s="12"/>
      <c r="S29" s="12"/>
      <c r="U29" s="12"/>
      <c r="V29" s="12"/>
      <c r="W29" s="12"/>
      <c r="Z29" s="11" t="str">
        <f>+IF($B$3="esp","Resultados de Explotación Ajustados a tipo constante","Operating Adjusted Results at constant currency")</f>
        <v>Operating Adjusted Results at constant currency</v>
      </c>
      <c r="AB29" s="12"/>
      <c r="AC29" s="12"/>
      <c r="AD29" s="12"/>
      <c r="AF29" s="12"/>
      <c r="AG29" s="12"/>
      <c r="AH29" s="12"/>
    </row>
    <row r="30" spans="4:45" s="13" customFormat="1" ht="15" customHeight="1">
      <c r="D30" s="13" t="str">
        <f>+IF($B$3="esp","Ingresos de Explotación Ajustados a tipo constante","Operating Adjusted Revenues on constant currency")</f>
        <v>Operating Adjusted Revenues on constant currency</v>
      </c>
      <c r="F30" s="14">
        <f>+[1]GRUPO!T30</f>
        <v>885.24384176537035</v>
      </c>
      <c r="G30" s="15">
        <f>+[1]GRUPO!U30</f>
        <v>911.9246319475684</v>
      </c>
      <c r="H30" s="16">
        <f t="shared" ref="H30:H39" si="6">IF(G30=0,"---",IF(OR(ABS((F30-G30)/ABS(G30))&gt;2,(F30*G30)&lt;0),"---",IF(G30="0","---",((F30-G30)/ABS(G30))*100)))</f>
        <v>-2.9257670258579087</v>
      </c>
      <c r="J30" s="14">
        <f>+[1]GRUPO!X30</f>
        <v>324.37266663849641</v>
      </c>
      <c r="K30" s="15">
        <f>+[1]GRUPO!Y30</f>
        <v>362.84414685337322</v>
      </c>
      <c r="L30" s="16">
        <f t="shared" ref="L30:L39" si="7">IF(K30=0,"---",IF(OR(ABS((J30-K30)/ABS(K30))&gt;2,(J30*K30)&lt;0),"---",IF(K30="0","---",((J30-K30)/ABS(K30))*100)))</f>
        <v>-10.602756182924809</v>
      </c>
      <c r="O30" s="13" t="str">
        <f>+IF($B$3="esp","Ingresos de Explotación Ajustados a tipo constante","Operating Adjusted Revenues on constant currency")</f>
        <v>Operating Adjusted Revenues on constant currency</v>
      </c>
      <c r="Q30" s="14">
        <f>+[1]SANTILLANA!T30</f>
        <v>504.52664885385559</v>
      </c>
      <c r="R30" s="15">
        <f>+[1]SANTILLANA!U30</f>
        <v>513.53481840634299</v>
      </c>
      <c r="S30" s="16">
        <f t="shared" ref="S30:S39" si="8">IF(R30=0,"---",IF(OR(ABS((Q30-R30)/ABS(R30))&gt;2,(Q30*R30)&lt;0),"---",IF(R30="0","---",((Q30-R30)/ABS(R30))*100)))</f>
        <v>-1.7541497148026948</v>
      </c>
      <c r="U30" s="14">
        <f>+[1]SANTILLANA!X30</f>
        <v>199.35302390356958</v>
      </c>
      <c r="V30" s="15">
        <f>+[1]SANTILLANA!Y30</f>
        <v>233.97414129848801</v>
      </c>
      <c r="W30" s="16">
        <f t="shared" ref="W30:W39" si="9">IF(V30=0,"---",IF(OR(ABS((U30-V30)/ABS(V30))&gt;2,(U30*V30)&lt;0),"---",IF(V30="0","---",((U30-V30)/ABS(V30))*100)))</f>
        <v>-14.79698448844875</v>
      </c>
      <c r="Z30" s="13" t="str">
        <f>+IF($B$3="esp","Ingresos de Explotación Ajustados a tipo constante","Operating Adjusted Revenues on constant currency")</f>
        <v>Operating Adjusted Revenues on constant currency</v>
      </c>
      <c r="AB30" s="14">
        <f>+[1]RADIO!T30</f>
        <v>217.17381017260115</v>
      </c>
      <c r="AC30" s="15">
        <f>+[1]RADIO!U30</f>
        <v>222.26512538231933</v>
      </c>
      <c r="AD30" s="16">
        <f t="shared" ref="AD30:AD39" si="10">IF(AC30=0,"---",IF(OR(ABS((AB30-AC30)/ABS(AC30))&gt;2,(AB30*AC30)&lt;0),"---",IF(AC30="0","---",((AB30-AC30)/ABS(AC30))*100)))</f>
        <v>-2.2906496018934948</v>
      </c>
      <c r="AF30" s="14">
        <f>+[1]RADIO!X30</f>
        <v>72.583289948445326</v>
      </c>
      <c r="AG30" s="15">
        <f>+[1]RADIO!Y30</f>
        <v>74.707651448068106</v>
      </c>
      <c r="AH30" s="16">
        <f t="shared" ref="AH30:AH39" si="11">IF(AG30=0,"---",IF(OR(ABS((AF30-AG30)/ABS(AG30))&gt;2,(AF30*AG30)&lt;0),"---",IF(AG30="0","---",((AF30-AG30)/ABS(AG30))*100)))</f>
        <v>-2.8435661655078222</v>
      </c>
    </row>
    <row r="31" spans="4:45" ht="15" customHeight="1">
      <c r="D31" s="17" t="str">
        <f>+IF($B$3="esp","España","Spain")</f>
        <v>Spain</v>
      </c>
      <c r="F31" s="18">
        <f>+[1]GRUPO!T31</f>
        <v>426.03029185700274</v>
      </c>
      <c r="G31" s="19">
        <f>+[1]GRUPO!U31</f>
        <v>454.87730681607906</v>
      </c>
      <c r="H31" s="20">
        <f t="shared" si="6"/>
        <v>-6.3417133646414365</v>
      </c>
      <c r="J31" s="18">
        <f>+[1]GRUPO!X31</f>
        <v>181.42581837808547</v>
      </c>
      <c r="K31" s="19">
        <f>+[1]GRUPO!Y31</f>
        <v>205.43047918474812</v>
      </c>
      <c r="L31" s="20">
        <f t="shared" si="7"/>
        <v>-11.685053212125714</v>
      </c>
      <c r="O31" s="17" t="str">
        <f>+IF($B$3="esp","España","Spain")</f>
        <v>Spain</v>
      </c>
      <c r="Q31" s="18">
        <f>+[1]SANTILLANA!T31</f>
        <v>139.06418482874761</v>
      </c>
      <c r="R31" s="19">
        <f>+[1]SANTILLANA!U31</f>
        <v>151.87014215600266</v>
      </c>
      <c r="S31" s="20">
        <f t="shared" si="8"/>
        <v>-8.4321757690202368</v>
      </c>
      <c r="U31" s="18">
        <f>+[1]SANTILLANA!X31</f>
        <v>92.521348441855196</v>
      </c>
      <c r="V31" s="19">
        <f>+[1]SANTILLANA!Y31</f>
        <v>111.78437834404312</v>
      </c>
      <c r="W31" s="20">
        <f t="shared" si="9"/>
        <v>-17.232309368757544</v>
      </c>
      <c r="Z31" s="17" t="str">
        <f>+IF($B$3="esp","España","Spain")</f>
        <v>Spain</v>
      </c>
      <c r="AB31" s="18">
        <f>+[1]RADIO!T31</f>
        <v>129.03484419</v>
      </c>
      <c r="AC31" s="19">
        <f>+[1]RADIO!U31</f>
        <v>129.50141708000001</v>
      </c>
      <c r="AD31" s="20">
        <f t="shared" si="10"/>
        <v>-0.36028400346521439</v>
      </c>
      <c r="AF31" s="18">
        <f>+[1]RADIO!X31</f>
        <v>37.252511999999996</v>
      </c>
      <c r="AG31" s="19">
        <f>+[1]RADIO!Y31</f>
        <v>39.539687590000014</v>
      </c>
      <c r="AH31" s="20">
        <f t="shared" si="11"/>
        <v>-5.7845059721171594</v>
      </c>
    </row>
    <row r="32" spans="4:45" ht="15" customHeight="1">
      <c r="D32" s="17" t="str">
        <f>+IF($B$3="esp","Internacional","International")</f>
        <v>International</v>
      </c>
      <c r="F32" s="18">
        <f>+[1]GRUPO!T32</f>
        <v>459.21354990836761</v>
      </c>
      <c r="G32" s="19">
        <f>+[1]GRUPO!U32</f>
        <v>457.04732513148923</v>
      </c>
      <c r="H32" s="20">
        <f t="shared" si="6"/>
        <v>0.47396071648711052</v>
      </c>
      <c r="J32" s="18">
        <f>+[1]GRUPO!X32</f>
        <v>142.94684826041089</v>
      </c>
      <c r="K32" s="19">
        <f>+[1]GRUPO!Y32</f>
        <v>157.41366766862495</v>
      </c>
      <c r="L32" s="20">
        <f t="shared" si="7"/>
        <v>-9.1903197622384933</v>
      </c>
      <c r="O32" s="17" t="str">
        <f>+IF($B$3="esp","Internacional","International")</f>
        <v>International</v>
      </c>
      <c r="Q32" s="18">
        <f>+[1]SANTILLANA!T32</f>
        <v>365.46246402510798</v>
      </c>
      <c r="R32" s="19">
        <f>+[1]SANTILLANA!U32</f>
        <v>361.66467625034034</v>
      </c>
      <c r="S32" s="20">
        <f t="shared" si="8"/>
        <v>1.0500853481579313</v>
      </c>
      <c r="U32" s="18">
        <f>+[1]SANTILLANA!X32</f>
        <v>106.83167546171438</v>
      </c>
      <c r="V32" s="19">
        <f>+[1]SANTILLANA!Y32</f>
        <v>122.18976295444489</v>
      </c>
      <c r="W32" s="20">
        <f t="shared" si="9"/>
        <v>-12.569045983382706</v>
      </c>
      <c r="Z32" s="17" t="str">
        <f>+IF($B$3="esp","Latam","Latam")</f>
        <v>Latam</v>
      </c>
      <c r="AB32" s="18">
        <f>+[1]RADIO!T32</f>
        <v>82.919552970553454</v>
      </c>
      <c r="AC32" s="19">
        <f>+[1]RADIO!U32</f>
        <v>83.953748229826914</v>
      </c>
      <c r="AD32" s="20">
        <f t="shared" si="10"/>
        <v>-1.2318631163939304</v>
      </c>
      <c r="AF32" s="18">
        <f>+[1]RADIO!X32</f>
        <v>30.303678862427446</v>
      </c>
      <c r="AG32" s="19">
        <f>+[1]RADIO!Y32</f>
        <v>29.856539034404484</v>
      </c>
      <c r="AH32" s="20">
        <f t="shared" si="11"/>
        <v>1.4976277977420995</v>
      </c>
    </row>
    <row r="33" spans="4:56" ht="15" customHeight="1">
      <c r="D33" s="26" t="str">
        <f>+IF($B$3="esp","Portugal","Portugal")</f>
        <v>Portugal</v>
      </c>
      <c r="F33" s="18">
        <f>+[1]GRUPO!T33</f>
        <v>3.7484920000000002</v>
      </c>
      <c r="G33" s="19">
        <f>+[1]GRUPO!U33</f>
        <v>4.7065110000000008</v>
      </c>
      <c r="H33" s="20">
        <f t="shared" si="6"/>
        <v>-20.355184551783697</v>
      </c>
      <c r="J33" s="18">
        <f>+[1]GRUPO!X33</f>
        <v>3.6804140000000003</v>
      </c>
      <c r="K33" s="19">
        <f>+[1]GRUPO!Y33</f>
        <v>4.6383810000000008</v>
      </c>
      <c r="L33" s="20">
        <f t="shared" si="7"/>
        <v>-20.65304682819286</v>
      </c>
      <c r="O33" s="26" t="str">
        <f>+IF($B$3="esp","Portugal","Portugal")</f>
        <v>Portugal</v>
      </c>
      <c r="Q33" s="18">
        <f>+[1]SANTILLANA!T33</f>
        <v>3.7484920000000002</v>
      </c>
      <c r="R33" s="19">
        <f>+[1]SANTILLANA!U33</f>
        <v>4.7065110000000008</v>
      </c>
      <c r="S33" s="20">
        <f t="shared" si="8"/>
        <v>-20.355184551783697</v>
      </c>
      <c r="U33" s="18">
        <f>+[1]SANTILLANA!X33</f>
        <v>3.6804140000000003</v>
      </c>
      <c r="V33" s="19">
        <f>+[1]SANTILLANA!Y33</f>
        <v>4.6383810000000008</v>
      </c>
      <c r="W33" s="20">
        <f t="shared" si="9"/>
        <v>-20.65304682819286</v>
      </c>
      <c r="Z33" s="17" t="str">
        <f>+IF($B$3="esp","Música","Music")</f>
        <v>Music</v>
      </c>
      <c r="AB33" s="18">
        <f>+[1]RADIO!T33</f>
        <v>11.913190889370551</v>
      </c>
      <c r="AC33" s="19">
        <f>+[1]RADIO!U33</f>
        <v>15.524532020761301</v>
      </c>
      <c r="AD33" s="20">
        <f t="shared" si="10"/>
        <v>-23.26215776785557</v>
      </c>
      <c r="AF33" s="18">
        <f>+[1]RADIO!X33</f>
        <v>7.2918653008746501</v>
      </c>
      <c r="AG33" s="19">
        <f>+[1]RADIO!Y33</f>
        <v>7.4364953484816212</v>
      </c>
      <c r="AH33" s="20">
        <f t="shared" si="11"/>
        <v>-1.9448683933689481</v>
      </c>
    </row>
    <row r="34" spans="4:56" ht="15" customHeight="1">
      <c r="D34" s="26" t="str">
        <f>+IF($B$3="esp","Latam","Latam")</f>
        <v>Latam</v>
      </c>
      <c r="F34" s="18">
        <f>+[1]GRUPO!T34</f>
        <v>455.46505790836756</v>
      </c>
      <c r="G34" s="19">
        <f>+[1]GRUPO!U34</f>
        <v>452.34081413148925</v>
      </c>
      <c r="H34" s="20">
        <f t="shared" si="6"/>
        <v>0.69068359061893703</v>
      </c>
      <c r="J34" s="18">
        <f>+[1]GRUPO!X34</f>
        <v>139.26643426041079</v>
      </c>
      <c r="K34" s="19">
        <f>+[1]GRUPO!Y34</f>
        <v>152.77528666862497</v>
      </c>
      <c r="L34" s="20">
        <f t="shared" si="7"/>
        <v>-8.8423021175639249</v>
      </c>
      <c r="O34" s="26" t="str">
        <f>+IF($B$3="esp","Latam","Latam")</f>
        <v>Latam</v>
      </c>
      <c r="Q34" s="18">
        <f>+[1]SANTILLANA!T34</f>
        <v>361.71397202510798</v>
      </c>
      <c r="R34" s="19">
        <f>+[1]SANTILLANA!U34</f>
        <v>356.95816525034036</v>
      </c>
      <c r="S34" s="20">
        <f t="shared" si="8"/>
        <v>1.3323148866568995</v>
      </c>
      <c r="U34" s="18">
        <f>+[1]SANTILLANA!X34</f>
        <v>103.1512614617144</v>
      </c>
      <c r="V34" s="19">
        <f>+[1]SANTILLANA!Y34</f>
        <v>117.55138195444491</v>
      </c>
      <c r="W34" s="20">
        <f t="shared" si="9"/>
        <v>-12.25006482553394</v>
      </c>
      <c r="Z34" s="17" t="str">
        <f>+IF($B$3="esp","Ajustes y Otros","Adjustments &amp; others")</f>
        <v>Adjustments &amp; others</v>
      </c>
      <c r="AB34" s="18">
        <f>+[1]RADIO!T34</f>
        <v>-6.6937778773228551</v>
      </c>
      <c r="AC34" s="19">
        <f>+[1]RADIO!U34</f>
        <v>-6.7145719482688992</v>
      </c>
      <c r="AD34" s="20">
        <f t="shared" si="10"/>
        <v>0.30968572689738028</v>
      </c>
      <c r="AF34" s="18">
        <f>+[1]RADIO!X34</f>
        <v>-2.264766214856766</v>
      </c>
      <c r="AG34" s="19">
        <f>+[1]RADIO!Y34</f>
        <v>-2.125070524818014</v>
      </c>
      <c r="AH34" s="20">
        <f t="shared" si="11"/>
        <v>-6.5736966565246231</v>
      </c>
    </row>
    <row r="35" spans="4:56" s="13" customFormat="1" ht="15" customHeight="1">
      <c r="D35" s="13" t="str">
        <f>+IF($B$3="esp","EBITDA Ajustado a tipo constante","Adjusted EBITDA on constant currency")</f>
        <v>Adjusted EBITDA on constant currency</v>
      </c>
      <c r="F35" s="14">
        <f>+[1]GRUPO!T35</f>
        <v>186.16619281048852</v>
      </c>
      <c r="G35" s="15">
        <f>+[1]GRUPO!U35</f>
        <v>190.41331435124391</v>
      </c>
      <c r="H35" s="16">
        <f t="shared" si="6"/>
        <v>-2.2304750879557611</v>
      </c>
      <c r="J35" s="14">
        <f>+[1]GRUPO!X35</f>
        <v>79.887347736138764</v>
      </c>
      <c r="K35" s="15">
        <f>+[1]GRUPO!Y35</f>
        <v>111.49783293344855</v>
      </c>
      <c r="L35" s="16">
        <f t="shared" si="7"/>
        <v>-28.350761952635999</v>
      </c>
      <c r="O35" s="13" t="str">
        <f>+IF($B$3="esp","EBITDA Ajustado a tipo constante","Adjusted EBITDA on constant currency")</f>
        <v>Adjusted EBITDA on constant currency</v>
      </c>
      <c r="Q35" s="14">
        <f>+[1]SANTILLANA!T35</f>
        <v>158.60319005046463</v>
      </c>
      <c r="R35" s="15">
        <f>+[1]SANTILLANA!U35</f>
        <v>167.23670850311339</v>
      </c>
      <c r="S35" s="16">
        <f t="shared" si="8"/>
        <v>-5.1624541824129659</v>
      </c>
      <c r="U35" s="14">
        <f>+[1]SANTILLANA!X35</f>
        <v>75.130630965654575</v>
      </c>
      <c r="V35" s="15">
        <f>+[1]SANTILLANA!Y35</f>
        <v>104.42627102194066</v>
      </c>
      <c r="W35" s="16">
        <f t="shared" si="9"/>
        <v>-28.053898477453892</v>
      </c>
      <c r="Z35" s="13" t="str">
        <f>+IF($B$3="esp","EBITDA Ajustado a tipo constante","Adjusted EBITDA on constant currency")</f>
        <v>Adjusted EBITDA on constant currency</v>
      </c>
      <c r="AB35" s="14">
        <f>+[1]RADIO!T35</f>
        <v>34.267788684798091</v>
      </c>
      <c r="AC35" s="15">
        <f>+[1]RADIO!U35</f>
        <v>29.4547804104484</v>
      </c>
      <c r="AD35" s="16">
        <f t="shared" si="10"/>
        <v>16.34032984554992</v>
      </c>
      <c r="AF35" s="14">
        <f>+[1]RADIO!X35</f>
        <v>8.561287239385944</v>
      </c>
      <c r="AG35" s="15">
        <f>+[1]RADIO!Y35</f>
        <v>8.9212280705025755</v>
      </c>
      <c r="AH35" s="16">
        <f t="shared" si="11"/>
        <v>-4.0346556356601946</v>
      </c>
    </row>
    <row r="36" spans="4:56" ht="15" customHeight="1">
      <c r="D36" s="17" t="str">
        <f>+IF($B$3="esp","España","Spain")</f>
        <v>Spain</v>
      </c>
      <c r="F36" s="18">
        <f>+[1]GRUPO!T36</f>
        <v>70.850910413141136</v>
      </c>
      <c r="G36" s="19">
        <f>+[1]GRUPO!U36</f>
        <v>75.873710109297676</v>
      </c>
      <c r="H36" s="20">
        <f t="shared" si="6"/>
        <v>-6.6199473953772543</v>
      </c>
      <c r="J36" s="18">
        <f>+[1]GRUPO!X36</f>
        <v>55.611682766977879</v>
      </c>
      <c r="K36" s="19">
        <f>+[1]GRUPO!Y36</f>
        <v>73.548777810290076</v>
      </c>
      <c r="L36" s="20">
        <f t="shared" si="7"/>
        <v>-24.388025984032939</v>
      </c>
      <c r="O36" s="17" t="str">
        <f>+IF($B$3="esp","España","Spain")</f>
        <v>Spain</v>
      </c>
      <c r="Q36" s="18">
        <f>+[1]SANTILLANA!T36</f>
        <v>60.992472016975256</v>
      </c>
      <c r="R36" s="19">
        <f>+[1]SANTILLANA!U36</f>
        <v>68.441683379298524</v>
      </c>
      <c r="S36" s="20">
        <f t="shared" si="8"/>
        <v>-10.884027093606559</v>
      </c>
      <c r="U36" s="18">
        <f>+[1]SANTILLANA!X36</f>
        <v>58.627110376976191</v>
      </c>
      <c r="V36" s="19">
        <f>+[1]SANTILLANA!Y36</f>
        <v>73.975768299999629</v>
      </c>
      <c r="W36" s="20">
        <f t="shared" si="9"/>
        <v>-20.748223743724896</v>
      </c>
      <c r="Z36" s="17" t="str">
        <f>+IF($B$3="esp","España","Spain")</f>
        <v>Spain</v>
      </c>
      <c r="AB36" s="18">
        <f>+[1]RADIO!T36</f>
        <v>14.7671469499999</v>
      </c>
      <c r="AC36" s="19">
        <f>+[1]RADIO!U36</f>
        <v>12.088068139999999</v>
      </c>
      <c r="AD36" s="20">
        <f t="shared" si="10"/>
        <v>22.163002218151799</v>
      </c>
      <c r="AF36" s="18">
        <f>+[1]RADIO!X36</f>
        <v>0.47404027999999698</v>
      </c>
      <c r="AG36" s="19">
        <f>+[1]RADIO!Y36</f>
        <v>1.4887966499999976</v>
      </c>
      <c r="AH36" s="20">
        <f t="shared" si="11"/>
        <v>-68.159501164917472</v>
      </c>
    </row>
    <row r="37" spans="4:56" ht="15" customHeight="1">
      <c r="D37" s="17" t="str">
        <f>+IF($B$3="esp","Internacional","International")</f>
        <v>International</v>
      </c>
      <c r="F37" s="18">
        <f>+[1]GRUPO!T37</f>
        <v>115.31528239734737</v>
      </c>
      <c r="G37" s="19">
        <f>+[1]GRUPO!U37</f>
        <v>114.53960424194622</v>
      </c>
      <c r="H37" s="20">
        <f t="shared" si="6"/>
        <v>0.67721393009413489</v>
      </c>
      <c r="J37" s="18">
        <f>+[1]GRUPO!X37</f>
        <v>24.275664969160871</v>
      </c>
      <c r="K37" s="19">
        <f>+[1]GRUPO!Y37</f>
        <v>37.949055123158459</v>
      </c>
      <c r="L37" s="20">
        <f t="shared" si="7"/>
        <v>-36.030910676491082</v>
      </c>
      <c r="O37" s="17" t="str">
        <f>+IF($B$3="esp","Internacional","International")</f>
        <v>International</v>
      </c>
      <c r="Q37" s="18">
        <f>+[1]SANTILLANA!T37</f>
        <v>97.610718033489377</v>
      </c>
      <c r="R37" s="19">
        <f>+[1]SANTILLANA!U37</f>
        <v>98.795025123814867</v>
      </c>
      <c r="S37" s="20">
        <f t="shared" si="8"/>
        <v>-1.1987517477132648</v>
      </c>
      <c r="U37" s="18">
        <f>+[1]SANTILLANA!X37</f>
        <v>16.503520588678384</v>
      </c>
      <c r="V37" s="19">
        <f>+[1]SANTILLANA!Y37</f>
        <v>30.450502721941021</v>
      </c>
      <c r="W37" s="20">
        <f t="shared" si="9"/>
        <v>-45.802140807393563</v>
      </c>
      <c r="Z37" s="17" t="str">
        <f>+IF($B$3="esp","Latam","Latam")</f>
        <v>Latam</v>
      </c>
      <c r="AB37" s="18">
        <f>+[1]RADIO!T37</f>
        <v>20.95295813441729</v>
      </c>
      <c r="AC37" s="19">
        <f>+[1]RADIO!U37</f>
        <v>18.514786894721901</v>
      </c>
      <c r="AD37" s="20">
        <f t="shared" si="10"/>
        <v>13.168778304385725</v>
      </c>
      <c r="AF37" s="18">
        <f>+[1]RADIO!X37</f>
        <v>8.8750113678362084</v>
      </c>
      <c r="AG37" s="19">
        <f>+[1]RADIO!Y37</f>
        <v>7.8736247678383382</v>
      </c>
      <c r="AH37" s="20">
        <f t="shared" si="11"/>
        <v>12.718241337690717</v>
      </c>
    </row>
    <row r="38" spans="4:56" ht="15" customHeight="1">
      <c r="D38" s="26" t="str">
        <f>+IF($B$3="esp","Portugal","Portugal")</f>
        <v>Portugal</v>
      </c>
      <c r="F38" s="18">
        <f>+[1]GRUPO!T38</f>
        <v>0.55700300000000091</v>
      </c>
      <c r="G38" s="19">
        <f>+[1]GRUPO!U38</f>
        <v>0.725989</v>
      </c>
      <c r="H38" s="20">
        <f t="shared" si="6"/>
        <v>-23.276661216629876</v>
      </c>
      <c r="J38" s="18">
        <f>+[1]GRUPO!X38</f>
        <v>2.0792350000000011</v>
      </c>
      <c r="K38" s="19">
        <f>+[1]GRUPO!Y38</f>
        <v>2.9326100000000004</v>
      </c>
      <c r="L38" s="20">
        <f t="shared" si="7"/>
        <v>-29.099505218900546</v>
      </c>
      <c r="O38" s="26" t="str">
        <f>+IF($B$3="esp","Portugal","Portugal")</f>
        <v>Portugal</v>
      </c>
      <c r="Q38" s="18">
        <f>+[1]SANTILLANA!T38</f>
        <v>0.55700300000000091</v>
      </c>
      <c r="R38" s="19">
        <f>+[1]SANTILLANA!U38</f>
        <v>0.725989</v>
      </c>
      <c r="S38" s="20">
        <f t="shared" si="8"/>
        <v>-23.276661216629876</v>
      </c>
      <c r="U38" s="18">
        <f>+[1]SANTILLANA!X38</f>
        <v>2.0792350000000011</v>
      </c>
      <c r="V38" s="19">
        <f>+[1]SANTILLANA!Y38</f>
        <v>2.9326100000000004</v>
      </c>
      <c r="W38" s="20">
        <f t="shared" si="9"/>
        <v>-29.099505218900546</v>
      </c>
      <c r="Z38" s="17" t="str">
        <f>+IF($B$3="esp","Música","Music")</f>
        <v>Music</v>
      </c>
      <c r="AB38" s="18">
        <f>+[1]RADIO!T38</f>
        <v>-1.4523163996188901</v>
      </c>
      <c r="AC38" s="19">
        <f>+[1]RADIO!U38</f>
        <v>-1.1453464242734099</v>
      </c>
      <c r="AD38" s="20">
        <f t="shared" si="10"/>
        <v>-26.801495935189845</v>
      </c>
      <c r="AF38" s="18">
        <f>+[1]RADIO!X38</f>
        <v>-0.7877644084498423</v>
      </c>
      <c r="AG38" s="19">
        <f>+[1]RADIO!Y38</f>
        <v>-0.44010096733542892</v>
      </c>
      <c r="AH38" s="20">
        <f t="shared" si="11"/>
        <v>-78.996291060055086</v>
      </c>
    </row>
    <row r="39" spans="4:56" ht="15" customHeight="1">
      <c r="D39" s="26" t="str">
        <f>+IF($B$3="esp","Latam","Latam")</f>
        <v>Latam</v>
      </c>
      <c r="F39" s="18">
        <f>+[1]GRUPO!T39</f>
        <v>114.75827939734738</v>
      </c>
      <c r="G39" s="19">
        <f>+[1]GRUPO!U39</f>
        <v>113.81361524194622</v>
      </c>
      <c r="H39" s="20">
        <f t="shared" si="6"/>
        <v>0.83000979574629885</v>
      </c>
      <c r="J39" s="18">
        <f>+[1]GRUPO!X39</f>
        <v>22.196429969160874</v>
      </c>
      <c r="K39" s="19">
        <f>+[1]GRUPO!Y39</f>
        <v>35.016445123158462</v>
      </c>
      <c r="L39" s="20">
        <f t="shared" si="7"/>
        <v>-36.611412463222734</v>
      </c>
      <c r="O39" s="26" t="str">
        <f>+IF($B$3="esp","Latam","Latam")</f>
        <v>Latam</v>
      </c>
      <c r="Q39" s="18">
        <f>+[1]SANTILLANA!T39</f>
        <v>97.053715033489382</v>
      </c>
      <c r="R39" s="19">
        <f>+[1]SANTILLANA!U39</f>
        <v>98.069036123814868</v>
      </c>
      <c r="S39" s="20">
        <f t="shared" si="8"/>
        <v>-1.0353126026890025</v>
      </c>
      <c r="U39" s="18">
        <f>+[1]SANTILLANA!X39</f>
        <v>14.424285588678387</v>
      </c>
      <c r="V39" s="19">
        <f>+[1]SANTILLANA!Y39</f>
        <v>27.517892721941024</v>
      </c>
      <c r="W39" s="20">
        <f t="shared" si="9"/>
        <v>-47.582157782098719</v>
      </c>
      <c r="Z39" s="17" t="str">
        <f>+IF($B$3="esp","Ajustes y Otros","Adjustments &amp; others")</f>
        <v>Adjustments &amp; others</v>
      </c>
      <c r="AB39" s="18">
        <f>+[1]RADIO!T39</f>
        <v>-2.0650148258027912E-13</v>
      </c>
      <c r="AC39" s="19">
        <f>+[1]RADIO!U39</f>
        <v>-2.7282000000881101E-3</v>
      </c>
      <c r="AD39" s="20">
        <f t="shared" si="10"/>
        <v>99.999999992430858</v>
      </c>
      <c r="AF39" s="18">
        <f>+[1]RADIO!X39</f>
        <v>-4.1722181265413383E-13</v>
      </c>
      <c r="AG39" s="19">
        <f>+[1]RADIO!Y39</f>
        <v>-1.0923800003296291E-3</v>
      </c>
      <c r="AH39" s="20">
        <f t="shared" si="11"/>
        <v>99.999999961806168</v>
      </c>
    </row>
    <row r="40" spans="4:56" s="22" customFormat="1" ht="15" customHeight="1">
      <c r="D40" s="21" t="str">
        <f>+IF($B$3="esp","Margen EBITDA Ajustado","Adjusted EBITDA Margin")</f>
        <v>Adjusted EBITDA Margin</v>
      </c>
      <c r="F40" s="27">
        <f>+F35/F30</f>
        <v>0.21029933677847712</v>
      </c>
      <c r="G40" s="28">
        <f>+G35/G30</f>
        <v>0.20880378452392964</v>
      </c>
      <c r="H40" s="29"/>
      <c r="J40" s="27">
        <f>+J35/J30</f>
        <v>0.24628261241620217</v>
      </c>
      <c r="K40" s="28">
        <f>+K35/K30</f>
        <v>0.30728849810688907</v>
      </c>
      <c r="L40" s="29"/>
      <c r="O40" s="21" t="str">
        <f>+IF($B$3="esp","Margen EBITDA Ajustado","Adjusted EBITDA Margin")</f>
        <v>Adjusted EBITDA Margin</v>
      </c>
      <c r="Q40" s="27">
        <f>+Q35/Q30</f>
        <v>0.31436038197539617</v>
      </c>
      <c r="R40" s="28">
        <f>+R35/R30</f>
        <v>0.32565797392687124</v>
      </c>
      <c r="S40" s="29"/>
      <c r="U40" s="27">
        <f>+U35/U30</f>
        <v>0.37687229164879149</v>
      </c>
      <c r="V40" s="28">
        <f>+V35/V30</f>
        <v>0.44631543657946737</v>
      </c>
      <c r="W40" s="29"/>
      <c r="Z40" s="21" t="str">
        <f>+IF($B$3="esp","Margen EBITDA Ajustado","Adjusted EBITDA Margin")</f>
        <v>Adjusted EBITDA Margin</v>
      </c>
      <c r="AB40" s="27">
        <f>+AB35/AB30</f>
        <v>0.15778969230941525</v>
      </c>
      <c r="AC40" s="28">
        <f>+AC35/AC30</f>
        <v>0.13252092679759403</v>
      </c>
      <c r="AD40" s="29"/>
      <c r="AF40" s="27">
        <f>+AF35/AF30</f>
        <v>0.11795121501749067</v>
      </c>
      <c r="AG40" s="28">
        <f>+AG35/AG30</f>
        <v>0.1194151856949222</v>
      </c>
      <c r="AH40" s="29"/>
    </row>
    <row r="41" spans="4:56" s="13" customFormat="1" ht="15" customHeight="1">
      <c r="D41" s="13" t="str">
        <f>+IF($B$3="esp","EBIT Ajustado a tipo constante","Adjusted EBIT on constant currency")</f>
        <v>Adjusted EBIT on constant currency</v>
      </c>
      <c r="F41" s="14">
        <f>+[1]GRUPO!T41</f>
        <v>117.14038360945986</v>
      </c>
      <c r="G41" s="15">
        <f>+[1]GRUPO!U41</f>
        <v>103.66008562212035</v>
      </c>
      <c r="H41" s="16">
        <f>IF(G41=0,"---",IF(OR(ABS((F41-G41)/ABS(G41))&gt;2,(F41*G41)&lt;0),"---",IF(G41="0","---",((F41-G41)/ABS(G41))*100)))</f>
        <v>13.004328432141396</v>
      </c>
      <c r="J41" s="14">
        <f>+[1]GRUPO!X41</f>
        <v>42.963433815567356</v>
      </c>
      <c r="K41" s="15">
        <f>+[1]GRUPO!Y41</f>
        <v>62.532000932009026</v>
      </c>
      <c r="L41" s="16">
        <f>IF(K41=0,"---",IF(OR(ABS((J41-K41)/ABS(K41))&gt;2,(J41*K41)&lt;0),"---",IF(K41="0","---",((J41-K41)/ABS(K41))*100)))</f>
        <v>-31.293684553159512</v>
      </c>
      <c r="O41" s="13" t="str">
        <f>+IF($B$3="esp","EBIT Ajustado a tipo constante","Adjusted EBIT on constant currency")</f>
        <v>Adjusted EBIT on constant currency</v>
      </c>
      <c r="Q41" s="14">
        <f>+[1]SANTILLANA!T41</f>
        <v>100.24851885204967</v>
      </c>
      <c r="R41" s="15">
        <f>+[1]SANTILLANA!U41</f>
        <v>98.967072252100877</v>
      </c>
      <c r="S41" s="16">
        <f>IF(R41=0,"---",IF(OR(ABS((Q41-R41)/ABS(R41))&gt;2,(Q41*R41)&lt;0),"---",IF(R41="0","---",((Q41-R41)/ABS(R41))*100)))</f>
        <v>1.2948211670691219</v>
      </c>
      <c r="U41" s="14">
        <f>+[1]SANTILLANA!X41</f>
        <v>38.494365698928078</v>
      </c>
      <c r="V41" s="15">
        <f>+[1]SANTILLANA!Y41</f>
        <v>61.552172691971045</v>
      </c>
      <c r="W41" s="16">
        <f>IF(V41=0,"---",IF(OR(ABS((U41-V41)/ABS(V41))&gt;2,(U41*V41)&lt;0),"---",IF(V41="0","---",((U41-V41)/ABS(V41))*100)))</f>
        <v>-37.460589910339039</v>
      </c>
      <c r="Z41" s="13" t="str">
        <f>+IF($B$3="esp","EBIT Ajustado a tipo constante","Adjusted EBIT on constant currency")</f>
        <v>Adjusted EBIT on constant currency</v>
      </c>
      <c r="AB41" s="14">
        <f>+[1]RADIO!T41</f>
        <v>26.542960410007332</v>
      </c>
      <c r="AC41" s="15">
        <f>+[1]RADIO!U41</f>
        <v>20.509531555114826</v>
      </c>
      <c r="AD41" s="16">
        <f>IF(AC41=0,"---",IF(OR(ABS((AB41-AC41)/ABS(AC41))&gt;2,(AB41*AC41)&lt;0),"---",IF(AC41="0","---",((AB41-AC41)/ABS(AC41))*100)))</f>
        <v>29.417682401370314</v>
      </c>
      <c r="AF41" s="14">
        <f>+[1]RADIO!X41</f>
        <v>6.006186543020263</v>
      </c>
      <c r="AG41" s="15">
        <f>+[1]RADIO!Y41</f>
        <v>5.7782407248319512</v>
      </c>
      <c r="AH41" s="16">
        <f>IF(AG41=0,"---",IF(OR(ABS((AF41-AG41)/ABS(AG41))&gt;2,(AF41*AG41)&lt;0),"---",IF(AG41="0","---",((AF41-AG41)/ABS(AG41))*100)))</f>
        <v>3.9448999971343559</v>
      </c>
    </row>
    <row r="42" spans="4:56" ht="15" customHeight="1">
      <c r="D42" s="17" t="str">
        <f>+IF($B$3="esp","España","Spain")</f>
        <v>Spain</v>
      </c>
      <c r="F42" s="18">
        <f>+[1]GRUPO!T42</f>
        <v>36.258189162460113</v>
      </c>
      <c r="G42" s="19">
        <f>+[1]GRUPO!U42</f>
        <v>24.832668763570094</v>
      </c>
      <c r="H42" s="20">
        <f>IF(G42=0,"---",IF(OR(ABS((F42-G42)/ABS(G42))&gt;2,(F42*G42)&lt;0),"---",IF(G42="0","---",((F42-G42)/ABS(G42))*100)))</f>
        <v>46.0100382591638</v>
      </c>
      <c r="J42" s="18">
        <f>+[1]GRUPO!X42</f>
        <v>29.158502542284101</v>
      </c>
      <c r="K42" s="19">
        <f>+[1]GRUPO!Y42</f>
        <v>35.265148468290022</v>
      </c>
      <c r="L42" s="20">
        <f>IF(K42=0,"---",IF(OR(ABS((J42-K42)/ABS(K42))&gt;2,(J42*K42)&lt;0),"---",IF(K42="0","---",((J42-K42)/ABS(K42))*100)))</f>
        <v>-17.316376624635339</v>
      </c>
      <c r="O42" s="17" t="str">
        <f>+IF($B$3="esp","España","Spain")</f>
        <v>Spain</v>
      </c>
      <c r="Q42" s="18">
        <f>+[1]SANTILLANA!T42</f>
        <v>32.060832916975613</v>
      </c>
      <c r="R42" s="19">
        <f>+[1]SANTILLANA!U42</f>
        <v>32.838729599297935</v>
      </c>
      <c r="S42" s="20">
        <f>IF(R42=0,"---",IF(OR(ABS((Q42-R42)/ABS(R42))&gt;2,(Q42*R42)&lt;0),"---",IF(R42="0","---",((Q42-R42)/ABS(R42))*100)))</f>
        <v>-2.3688391475989139</v>
      </c>
      <c r="U42" s="18">
        <f>+[1]SANTILLANA!X42</f>
        <v>31.137609806976684</v>
      </c>
      <c r="V42" s="19">
        <f>+[1]SANTILLANA!Y42</f>
        <v>40.582430319999212</v>
      </c>
      <c r="W42" s="20">
        <f>IF(V42=0,"---",IF(OR(ABS((U42-V42)/ABS(V42))&gt;2,(U42*V42)&lt;0),"---",IF(V42="0","---",((U42-V42)/ABS(V42))*100)))</f>
        <v>-23.273176196074377</v>
      </c>
      <c r="Z42" s="17" t="str">
        <f>+IF($B$3="esp","España","Spain")</f>
        <v>Spain</v>
      </c>
      <c r="AB42" s="18">
        <f>+[1]RADIO!T42</f>
        <v>10.497377259999901</v>
      </c>
      <c r="AC42" s="19">
        <f>+[1]RADIO!U42</f>
        <v>6.8917960800001001</v>
      </c>
      <c r="AD42" s="20">
        <f>IF(AC42=0,"---",IF(OR(ABS((AB42-AC42)/ABS(AC42))&gt;2,(AB42*AC42)&lt;0),"---",IF(AC42="0","---",((AB42-AC42)/ABS(AC42))*100)))</f>
        <v>52.317003262228681</v>
      </c>
      <c r="AF42" s="18">
        <f>+[1]RADIO!X42</f>
        <v>-1.0039081599999982</v>
      </c>
      <c r="AG42" s="19">
        <f>+[1]RADIO!Y42</f>
        <v>-0.53225115999990003</v>
      </c>
      <c r="AH42" s="20">
        <f>IF(AG42=0,"---",IF(OR(ABS((AF42-AG42)/ABS(AG42))&gt;2,(AF42*AG42)&lt;0),"---",IF(AG42="0","---",((AF42-AG42)/ABS(AG42))*100)))</f>
        <v>-88.615494985522758</v>
      </c>
    </row>
    <row r="43" spans="4:56" ht="15" customHeight="1">
      <c r="D43" s="17" t="str">
        <f>+IF($B$3="esp","Internacional","International")</f>
        <v>International</v>
      </c>
      <c r="F43" s="18">
        <f>+[1]GRUPO!T43</f>
        <v>80.882194446999748</v>
      </c>
      <c r="G43" s="19">
        <f>+[1]GRUPO!U43</f>
        <v>78.827416858550237</v>
      </c>
      <c r="H43" s="20">
        <f>IF(G43=0,"---",IF(OR(ABS((F43-G43)/ABS(G43))&gt;2,(F43*G43)&lt;0),"---",IF(G43="0","---",((F43-G43)/ABS(G43))*100)))</f>
        <v>2.6066788312201732</v>
      </c>
      <c r="J43" s="18">
        <f>+[1]GRUPO!X43</f>
        <v>13.804931273283259</v>
      </c>
      <c r="K43" s="19">
        <f>+[1]GRUPO!Y43</f>
        <v>27.266852463718976</v>
      </c>
      <c r="L43" s="20">
        <f>IF(K43=0,"---",IF(OR(ABS((J43-K43)/ABS(K43))&gt;2,(J43*K43)&lt;0),"---",IF(K43="0","---",((J43-K43)/ABS(K43))*100)))</f>
        <v>-49.371012691501619</v>
      </c>
      <c r="O43" s="17" t="str">
        <f>+IF($B$3="esp","Internacional","International")</f>
        <v>International</v>
      </c>
      <c r="Q43" s="18">
        <f>+[1]SANTILLANA!T43</f>
        <v>68.187685935074057</v>
      </c>
      <c r="R43" s="19">
        <f>+[1]SANTILLANA!U43</f>
        <v>66.128342652802942</v>
      </c>
      <c r="S43" s="20">
        <f>IF(R43=0,"---",IF(OR(ABS((Q43-R43)/ABS(R43))&gt;2,(Q43*R43)&lt;0),"---",IF(R43="0","---",((Q43-R43)/ABS(R43))*100)))</f>
        <v>3.1141613408994564</v>
      </c>
      <c r="U43" s="18">
        <f>+[1]SANTILLANA!X43</f>
        <v>7.3567558919513942</v>
      </c>
      <c r="V43" s="19">
        <f>+[1]SANTILLANA!Y43</f>
        <v>20.969742371971833</v>
      </c>
      <c r="W43" s="20">
        <f>IF(V43=0,"---",IF(OR(ABS((U43-V43)/ABS(V43))&gt;2,(U43*V43)&lt;0),"---",IF(V43="0","---",((U43-V43)/ABS(V43))*100)))</f>
        <v>-64.917280520410984</v>
      </c>
      <c r="Z43" s="17" t="str">
        <f>+IF($B$3="esp","Latam","Latam")</f>
        <v>Latam</v>
      </c>
      <c r="AB43" s="18">
        <f>+[1]RADIO!T43</f>
        <v>17.903610075022634</v>
      </c>
      <c r="AC43" s="19">
        <f>+[1]RADIO!U43</f>
        <v>15.720082758392508</v>
      </c>
      <c r="AD43" s="20">
        <f>IF(AC43=0,"---",IF(OR(ABS((AB43-AC43)/ABS(AC43))&gt;2,(AB43*AC43)&lt;0),"---",IF(AC43="0","---",((AB43-AC43)/ABS(AC43))*100)))</f>
        <v>13.890049754759737</v>
      </c>
      <c r="AF43" s="18">
        <f>+[1]RADIO!X43</f>
        <v>7.8469995060169406</v>
      </c>
      <c r="AG43" s="19">
        <f>+[1]RADIO!Y43</f>
        <v>6.7707622131718441</v>
      </c>
      <c r="AH43" s="20">
        <f>IF(AG43=0,"---",IF(OR(ABS((AF43-AG43)/ABS(AG43))&gt;2,(AF43*AG43)&lt;0),"---",IF(AG43="0","---",((AF43-AG43)/ABS(AG43))*100)))</f>
        <v>15.895363903806633</v>
      </c>
    </row>
    <row r="44" spans="4:56" ht="15" customHeight="1">
      <c r="D44" s="26" t="str">
        <f>+IF($B$3="esp","Portugal","Portugal")</f>
        <v>Portugal</v>
      </c>
      <c r="F44" s="18">
        <f>+[1]GRUPO!T44</f>
        <v>0.1139560000000007</v>
      </c>
      <c r="G44" s="19">
        <f>+[1]GRUPO!U44</f>
        <v>0.33158499999999996</v>
      </c>
      <c r="H44" s="20">
        <f>IF(G44=0,"---",IF(OR(ABS((F44-G44)/ABS(G44))&gt;2,(F44*G44)&lt;0),"---",IF(G44="0","---",((F44-G44)/ABS(G44))*100)))</f>
        <v>-65.632944795451934</v>
      </c>
      <c r="J44" s="18">
        <f>+[1]GRUPO!X44</f>
        <v>1.6409210000000005</v>
      </c>
      <c r="K44" s="19">
        <f>+[1]GRUPO!Y44</f>
        <v>2.5284200000000001</v>
      </c>
      <c r="L44" s="20">
        <f>IF(K44=0,"---",IF(OR(ABS((J44-K44)/ABS(K44))&gt;2,(J44*K44)&lt;0),"---",IF(K44="0","---",((J44-K44)/ABS(K44))*100)))</f>
        <v>-35.10093259822338</v>
      </c>
      <c r="O44" s="26" t="str">
        <f>+IF($B$3="esp","Portugal","Portugal")</f>
        <v>Portugal</v>
      </c>
      <c r="Q44" s="18">
        <f>+[1]SANTILLANA!T44</f>
        <v>0.11395600000000121</v>
      </c>
      <c r="R44" s="19">
        <f>+[1]SANTILLANA!U44</f>
        <v>0.33158499999999996</v>
      </c>
      <c r="S44" s="20">
        <f>IF(R44=0,"---",IF(OR(ABS((Q44-R44)/ABS(R44))&gt;2,(Q44*R44)&lt;0),"---",IF(R44="0","---",((Q44-R44)/ABS(R44))*100)))</f>
        <v>-65.632944795451778</v>
      </c>
      <c r="U44" s="18">
        <f>+[1]SANTILLANA!X44</f>
        <v>1.6409210000000012</v>
      </c>
      <c r="V44" s="19">
        <f>+[1]SANTILLANA!Y44</f>
        <v>2.5284200000000001</v>
      </c>
      <c r="W44" s="20">
        <f>IF(V44=0,"---",IF(OR(ABS((U44-V44)/ABS(V44))&gt;2,(U44*V44)&lt;0),"---",IF(V44="0","---",((U44-V44)/ABS(V44))*100)))</f>
        <v>-35.100932598223352</v>
      </c>
      <c r="Z44" s="17" t="str">
        <f>+IF($B$3="esp","Música","Music")</f>
        <v>Music</v>
      </c>
      <c r="AB44" s="18">
        <f>+[1]RADIO!T44</f>
        <v>-1.8580269250153401</v>
      </c>
      <c r="AC44" s="19">
        <f>+[1]RADIO!U44</f>
        <v>-2.0996190832775001</v>
      </c>
      <c r="AD44" s="20">
        <f>IF(AC44=0,"---",IF(OR(ABS((AB44-AC44)/ABS(AC44))&gt;2,(AB44*AC44)&lt;0),"---",IF(AC44="0","---",((AB44-AC44)/ABS(AC44))*100)))</f>
        <v>11.506475635810821</v>
      </c>
      <c r="AF44" s="18">
        <f>+[1]RADIO!X44</f>
        <v>-0.83690480299663284</v>
      </c>
      <c r="AG44" s="19">
        <f>+[1]RADIO!Y44</f>
        <v>-0.45917794833952019</v>
      </c>
      <c r="AH44" s="20">
        <f>IF(AG44=0,"---",IF(OR(ABS((AF44-AG44)/ABS(AG44))&gt;2,(AF44*AG44)&lt;0),"---",IF(AG44="0","---",((AF44-AG44)/ABS(AG44))*100)))</f>
        <v>-82.261540656089622</v>
      </c>
    </row>
    <row r="45" spans="4:56" ht="15" customHeight="1">
      <c r="D45" s="26" t="str">
        <f>+IF($B$3="esp","Latam","Latam")</f>
        <v>Latam</v>
      </c>
      <c r="F45" s="18">
        <f>+[1]GRUPO!T45</f>
        <v>80.768238446999746</v>
      </c>
      <c r="G45" s="19">
        <f>+[1]GRUPO!U45</f>
        <v>78.495831858550233</v>
      </c>
      <c r="H45" s="20">
        <f>IF(G45=0,"---",IF(OR(ABS((F45-G45)/ABS(G45))&gt;2,(F45*G45)&lt;0),"---",IF(G45="0","---",((F45-G45)/ABS(G45))*100)))</f>
        <v>2.8949391765723282</v>
      </c>
      <c r="J45" s="18">
        <f>+[1]GRUPO!X45</f>
        <v>12.164010273283267</v>
      </c>
      <c r="K45" s="19">
        <f>+[1]GRUPO!Y45</f>
        <v>24.738432463718979</v>
      </c>
      <c r="L45" s="20">
        <f>IF(K45=0,"---",IF(OR(ABS((J45-K45)/ABS(K45))&gt;2,(J45*K45)&lt;0),"---",IF(K45="0","---",((J45-K45)/ABS(K45))*100)))</f>
        <v>-50.829502673126825</v>
      </c>
      <c r="O45" s="26" t="str">
        <f>+IF($B$3="esp","Latam","Latam")</f>
        <v>Latam</v>
      </c>
      <c r="Q45" s="18">
        <f>+[1]SANTILLANA!T45</f>
        <v>68.073729935074056</v>
      </c>
      <c r="R45" s="19">
        <f>+[1]SANTILLANA!U45</f>
        <v>65.796757652802938</v>
      </c>
      <c r="S45" s="20">
        <f>IF(R45=0,"---",IF(OR(ABS((Q45-R45)/ABS(R45))&gt;2,(Q45*R45)&lt;0),"---",IF(R45="0","---",((Q45-R45)/ABS(R45))*100)))</f>
        <v>3.4606147225160697</v>
      </c>
      <c r="U45" s="18">
        <f>+[1]SANTILLANA!X45</f>
        <v>5.7158348919513955</v>
      </c>
      <c r="V45" s="19">
        <f>+[1]SANTILLANA!Y45</f>
        <v>18.441322371971829</v>
      </c>
      <c r="W45" s="20">
        <f>IF(V45=0,"---",IF(OR(ABS((U45-V45)/ABS(V45))&gt;2,(U45*V45)&lt;0),"---",IF(V45="0","---",((U45-V45)/ABS(V45))*100)))</f>
        <v>-69.005287274633588</v>
      </c>
      <c r="Z45" s="17" t="str">
        <f>+IF($B$3="esp","Ajustes y Otros","Adjustments &amp; others")</f>
        <v>Adjustments &amp; others</v>
      </c>
      <c r="AB45" s="18">
        <f>+[1]RADIO!T45</f>
        <v>1.3722356584366935E-13</v>
      </c>
      <c r="AC45" s="19">
        <f>+[1]RADIO!U45</f>
        <v>-2.728200000281511E-3</v>
      </c>
      <c r="AD45" s="20" t="str">
        <f>IF(AC45=0,"---",IF(OR(ABS((AB45-AC45)/ABS(AC45))&gt;2,(AB45*AC45)&lt;0),"---",IF(AC45="0","---",((AB45-AC45)/ABS(AC45))*100)))</f>
        <v>---</v>
      </c>
      <c r="AF45" s="18">
        <f>+[1]RADIO!X45</f>
        <v>-4.6629367034256575E-14</v>
      </c>
      <c r="AG45" s="19">
        <f>+[1]RADIO!Y45</f>
        <v>-1.0923800004727369E-3</v>
      </c>
      <c r="AH45" s="20">
        <f>IF(AG45=0,"---",IF(OR(ABS((AF45-AG45)/ABS(AG45))&gt;2,(AF45*AG45)&lt;0),"---",IF(AG45="0","---",((AF45-AG45)/ABS(AG45))*100)))</f>
        <v>99.999999995731386</v>
      </c>
    </row>
    <row r="46" spans="4:56" s="22" customFormat="1" ht="15" customHeight="1">
      <c r="D46" s="30" t="str">
        <f>+IF($B$3="esp","Margen EBIT Ajustado","Adjusted EBIT Margin")</f>
        <v>Adjusted EBIT Margin</v>
      </c>
      <c r="F46" s="31">
        <f>+F41/F30</f>
        <v>0.13232555605905855</v>
      </c>
      <c r="G46" s="32">
        <f>+G41/G30</f>
        <v>0.1136717684670243</v>
      </c>
      <c r="H46" s="33"/>
      <c r="J46" s="31">
        <f>+J41/J30</f>
        <v>0.13245084507520732</v>
      </c>
      <c r="K46" s="32">
        <f>+K41/K30</f>
        <v>0.17233845846569068</v>
      </c>
      <c r="L46" s="33"/>
      <c r="O46" s="30" t="str">
        <f>+IF($B$3="esp","Margen EBIT Ajustado","Adjusted EBIT Margin")</f>
        <v>Adjusted EBIT Margin</v>
      </c>
      <c r="Q46" s="31">
        <f>+Q41/Q30</f>
        <v>0.19869816407079083</v>
      </c>
      <c r="R46" s="32">
        <f>+R41/R30</f>
        <v>0.19271735567848397</v>
      </c>
      <c r="S46" s="33"/>
      <c r="U46" s="31">
        <f>+U41/U30</f>
        <v>0.19309647250471831</v>
      </c>
      <c r="V46" s="32">
        <f>+V41/V30</f>
        <v>0.26307254447168604</v>
      </c>
      <c r="W46" s="33"/>
      <c r="Z46" s="30" t="str">
        <f>+IF($B$3="esp","Margen EBIT Ajustado","Adjusted EBIT Margin")</f>
        <v>Adjusted EBIT Margin</v>
      </c>
      <c r="AB46" s="31">
        <f>+AB41/AB30</f>
        <v>0.12221989561684274</v>
      </c>
      <c r="AC46" s="32">
        <f>+AC41/AC30</f>
        <v>9.2275076982213391E-2</v>
      </c>
      <c r="AD46" s="33"/>
      <c r="AF46" s="31">
        <f>+AF41/AF30</f>
        <v>8.2748888170904825E-2</v>
      </c>
      <c r="AG46" s="32">
        <f>+AG41/AG30</f>
        <v>7.7344697803124057E-2</v>
      </c>
      <c r="AH46" s="33"/>
    </row>
    <row r="48" spans="4:56">
      <c r="D48" s="9"/>
      <c r="F48" s="10">
        <v>2017</v>
      </c>
      <c r="G48" s="10">
        <v>2016</v>
      </c>
      <c r="H48" s="10" t="str">
        <f>+IF($B$3="esp","Var.%","% Chg.")</f>
        <v>% Chg.</v>
      </c>
      <c r="J48" s="10">
        <v>2017</v>
      </c>
      <c r="K48" s="10">
        <v>2016</v>
      </c>
      <c r="L48" s="10" t="str">
        <f>+IF($B$3="esp","Var.%","% Chg.")</f>
        <v>% Chg.</v>
      </c>
      <c r="O48" s="9"/>
      <c r="Q48" s="10">
        <v>2017</v>
      </c>
      <c r="R48" s="10">
        <v>2016</v>
      </c>
      <c r="S48" s="10" t="str">
        <f>+IF($B$3="esp","Var.%","% Chg.")</f>
        <v>% Chg.</v>
      </c>
      <c r="U48" s="10">
        <v>2017</v>
      </c>
      <c r="V48" s="10">
        <v>2016</v>
      </c>
      <c r="W48" s="10" t="str">
        <f>+IF($B$3="esp","Var.%","% Chg.")</f>
        <v>% Chg.</v>
      </c>
      <c r="Z48" s="9"/>
      <c r="AB48" s="10">
        <v>2017</v>
      </c>
      <c r="AC48" s="10">
        <v>2016</v>
      </c>
      <c r="AD48" s="10" t="str">
        <f>+IF($B$3="esp","Var.%","% Chg.")</f>
        <v>% Chg.</v>
      </c>
      <c r="AF48" s="10">
        <v>2017</v>
      </c>
      <c r="AG48" s="10">
        <v>2016</v>
      </c>
      <c r="AH48" s="10" t="str">
        <f>+IF($B$3="esp","Var.%","% Chg.")</f>
        <v>% Chg.</v>
      </c>
      <c r="AK48" s="9"/>
      <c r="AM48" s="10">
        <v>2017</v>
      </c>
      <c r="AN48" s="10">
        <v>2016</v>
      </c>
      <c r="AO48" s="10" t="str">
        <f>+IF($B$3="esp","Var.%","% Chg.")</f>
        <v>% Chg.</v>
      </c>
      <c r="AQ48" s="10">
        <v>2017</v>
      </c>
      <c r="AR48" s="10">
        <v>2016</v>
      </c>
      <c r="AS48" s="10" t="str">
        <f>+IF($B$3="esp","Var.%","% Chg.")</f>
        <v>% Chg.</v>
      </c>
      <c r="AV48" s="9"/>
      <c r="AX48" s="10">
        <v>2017</v>
      </c>
      <c r="AY48" s="10">
        <v>2016</v>
      </c>
      <c r="AZ48" s="10" t="str">
        <f>+IF($B$3="esp","Var.%","% Chg.")</f>
        <v>% Chg.</v>
      </c>
      <c r="BB48" s="10">
        <v>2017</v>
      </c>
      <c r="BC48" s="10">
        <v>2016</v>
      </c>
      <c r="BD48" s="10" t="str">
        <f>+IF($B$3="esp","Var.%","% Chg.")</f>
        <v>% Chg.</v>
      </c>
    </row>
    <row r="49" spans="4:56" ht="15.75" customHeight="1">
      <c r="D49" s="11" t="str">
        <f>+IF($B$3="esp","Resultados Reportados","Reported Results")</f>
        <v>Reported Results</v>
      </c>
      <c r="F49" s="12"/>
      <c r="G49" s="12"/>
      <c r="H49" s="12"/>
      <c r="J49" s="12"/>
      <c r="K49" s="12"/>
      <c r="L49" s="12"/>
      <c r="O49" s="11" t="str">
        <f>+IF($B$3="esp","Resultados Reportados","Reported Results")</f>
        <v>Reported Results</v>
      </c>
      <c r="Q49" s="12"/>
      <c r="R49" s="12"/>
      <c r="S49" s="12"/>
      <c r="U49" s="12"/>
      <c r="V49" s="12"/>
      <c r="W49" s="12"/>
      <c r="Z49" s="11" t="str">
        <f>+IF($B$3="esp","Resultados Reportados","Reported Results")</f>
        <v>Reported Results</v>
      </c>
      <c r="AB49" s="12"/>
      <c r="AC49" s="12"/>
      <c r="AD49" s="12"/>
      <c r="AF49" s="12"/>
      <c r="AG49" s="12"/>
      <c r="AH49" s="12"/>
      <c r="AK49" s="11" t="str">
        <f>+IF($B$3="esp","Resultados Reportados","Reported Results")</f>
        <v>Reported Results</v>
      </c>
      <c r="AM49" s="12"/>
      <c r="AN49" s="12"/>
      <c r="AO49" s="12"/>
      <c r="AQ49" s="12"/>
      <c r="AR49" s="12"/>
      <c r="AS49" s="12"/>
      <c r="AV49" s="11" t="str">
        <f>+IF($B$3="esp","Resultados Reportados","Reported Results")</f>
        <v>Reported Results</v>
      </c>
      <c r="AX49" s="12"/>
      <c r="AY49" s="12"/>
      <c r="AZ49" s="12"/>
      <c r="BB49" s="12"/>
      <c r="BC49" s="12"/>
      <c r="BD49" s="12"/>
    </row>
    <row r="50" spans="4:56" s="13" customFormat="1" ht="15" customHeight="1">
      <c r="D50" s="13" t="str">
        <f>+IF($B$3="esp","Ingresos de Explotación","Operating Revenues")</f>
        <v>Operating Revenues</v>
      </c>
      <c r="F50" s="14">
        <f>+[1]GRUPO!T50</f>
        <v>893.6010604433319</v>
      </c>
      <c r="G50" s="15">
        <f>+[1]GRUPO!U50</f>
        <v>897.40637225822297</v>
      </c>
      <c r="H50" s="16">
        <f t="shared" ref="H50:H64" si="12">IF(G50=0,"---",IF(OR(ABS((F50-G50)/ABS(G50))&gt;2,(F50*G50)&lt;0),"---",IF(G50="0","---",((F50-G50)/ABS(G50))*100)))</f>
        <v>-0.42403440988673036</v>
      </c>
      <c r="J50" s="14">
        <f>+[1]GRUPO!X50</f>
        <v>317.4130684800449</v>
      </c>
      <c r="K50" s="15">
        <f>+[1]GRUPO!Y50</f>
        <v>358.08331613641997</v>
      </c>
      <c r="L50" s="16">
        <f t="shared" ref="L50:L64" si="13">IF(K50=0,"---",IF(OR(ABS((J50-K50)/ABS(K50))&gt;2,(J50*K50)&lt;0),"---",IF(K50="0","---",((J50-K50)/ABS(K50))*100)))</f>
        <v>-11.357761119728018</v>
      </c>
      <c r="O50" s="13" t="str">
        <f>+IF($B$3="esp","Ingresos de Explotación","Operating Revenues")</f>
        <v>Operating Revenues</v>
      </c>
      <c r="Q50" s="14">
        <f>+[1]SANTILLANA!T50</f>
        <v>522.60915839456095</v>
      </c>
      <c r="R50" s="15">
        <f>+[1]SANTILLANA!U50</f>
        <v>513.53481840634299</v>
      </c>
      <c r="S50" s="16">
        <f t="shared" ref="S50:S64" si="14">IF(R50=0,"---",IF(OR(ABS((Q50-R50)/ABS(R50))&gt;2,(Q50*R50)&lt;0),"---",IF(R50="0","---",((Q50-R50)/ABS(R50))*100)))</f>
        <v>1.7670350019066738</v>
      </c>
      <c r="U50" s="14">
        <f>+[1]SANTILLANA!X50</f>
        <v>194.58767496488196</v>
      </c>
      <c r="V50" s="15">
        <f>+[1]SANTILLANA!Y50</f>
        <v>233.97414129848801</v>
      </c>
      <c r="W50" s="16">
        <f t="shared" ref="W50:W64" si="15">IF(V50=0,"---",IF(OR(ABS((U50-V50)/ABS(V50))&gt;2,(U50*V50)&lt;0),"---",IF(V50="0","---",((U50-V50)/ABS(V50))*100)))</f>
        <v>-16.833683463917289</v>
      </c>
      <c r="Z50" s="13" t="str">
        <f>+IF($B$3="esp","Ingresos de Explotación","Operating Revenues")</f>
        <v>Operating Revenues</v>
      </c>
      <c r="AB50" s="14">
        <f>+[1]RADIO!T50</f>
        <v>202.82103665034901</v>
      </c>
      <c r="AC50" s="15">
        <f>+[1]RADIO!U50</f>
        <v>207.74686569297401</v>
      </c>
      <c r="AD50" s="16">
        <f t="shared" ref="AD50:AD65" si="16">IF(AC50=0,"---",IF(OR(ABS((AB50-AC50)/ABS(AC50))&gt;2,(AB50*AC50)&lt;0),"---",IF(AC50="0","---",((AB50-AC50)/ABS(AC50))*100)))</f>
        <v>-2.3710726157981159</v>
      </c>
      <c r="AF50" s="14">
        <f>+[1]RADIO!X50</f>
        <v>66.053131958342021</v>
      </c>
      <c r="AG50" s="15">
        <f>+[1]RADIO!Y50</f>
        <v>69.946820731114997</v>
      </c>
      <c r="AH50" s="16">
        <f t="shared" ref="AH50:AH65" si="17">IF(AG50=0,"---",IF(OR(ABS((AF50-AG50)/ABS(AG50))&gt;2,(AF50*AG50)&lt;0),"---",IF(AG50="0","---",((AF50-AG50)/ABS(AG50))*100)))</f>
        <v>-5.5666415314869555</v>
      </c>
      <c r="AK50" s="13" t="str">
        <f>+IF($B$3="esp","Ingresos de Explotación","Operating Revenues")</f>
        <v>Operating Revenues</v>
      </c>
      <c r="AM50" s="14">
        <f>+[1]NOTICIAS!T22</f>
        <v>157.42095472154497</v>
      </c>
      <c r="AN50" s="15">
        <f>+[1]NOTICIAS!U22</f>
        <v>174.07240816515699</v>
      </c>
      <c r="AO50" s="16">
        <f t="shared" ref="AO50:AO55" si="18">IF(AN50=0,"---",IF(OR(ABS((AM50-AN50)/ABS(AN50))&gt;2,(AM50*AN50)&lt;0),"---",IF(AN50="0","---",((AM50-AN50)/ABS(AN50))*100)))</f>
        <v>-9.5658201199890289</v>
      </c>
      <c r="AQ50" s="14">
        <f>+[1]NOTICIAS!X22</f>
        <v>48.367039217277977</v>
      </c>
      <c r="AR50" s="15">
        <f>+[1]NOTICIAS!Y22</f>
        <v>52.040493211859982</v>
      </c>
      <c r="AS50" s="16">
        <f t="shared" ref="AS50:AS55" si="19">IF(AR50=0,"---",IF(OR(ABS((AQ50-AR50)/ABS(AR50))&gt;2,(AQ50*AR50)&lt;0),"---",IF(AR50="0","---",((AQ50-AR50)/ABS(AR50))*100)))</f>
        <v>-7.0588377777803757</v>
      </c>
      <c r="AV50" s="13" t="str">
        <f>+IF($B$3="esp","Ingresos de Explotación","Operating Revenues")</f>
        <v>Operating Revenues</v>
      </c>
      <c r="AX50" s="14">
        <f>+'[1]MEDIA CAPITAL'!T21</f>
        <v>115.30804198999999</v>
      </c>
      <c r="AY50" s="15">
        <f>+'[1]MEDIA CAPITAL'!U21</f>
        <v>124.30154506000001</v>
      </c>
      <c r="AZ50" s="16">
        <f>IF(AY50=0,"---",IF(OR(ABS((AX50-AY50)/ABS(AY50))&gt;2,(AX50*AY50)&lt;0),"---",IF(AY50="0","---",((AX50-AY50)/ABS(AY50))*100)))</f>
        <v>-7.2352303148435357</v>
      </c>
      <c r="BB50" s="14">
        <f>+'[1]MEDIA CAPITAL'!X21</f>
        <v>36.27468180999999</v>
      </c>
      <c r="BC50" s="15">
        <f>+'[1]MEDIA CAPITAL'!Y21</f>
        <v>39.035282020000011</v>
      </c>
      <c r="BD50" s="16">
        <f>IF(BC50=0,"---",IF(OR(ABS((BB50-BC50)/ABS(BC50))&gt;2,(BB50*BC50)&lt;0),"---",IF(BC50="0","---",((BB50-BC50)/ABS(BC50))*100)))</f>
        <v>-7.0720642125388187</v>
      </c>
    </row>
    <row r="51" spans="4:56" ht="15" customHeight="1">
      <c r="D51" s="17" t="str">
        <f>+IF($B$3="esp","España","Spain")</f>
        <v>Spain</v>
      </c>
      <c r="F51" s="18">
        <f>+[1]GRUPO!T51</f>
        <v>430.66379785700275</v>
      </c>
      <c r="G51" s="19">
        <f>+[1]GRUPO!U51</f>
        <v>454.87730681607906</v>
      </c>
      <c r="H51" s="20">
        <f t="shared" si="12"/>
        <v>-5.3230857192149568</v>
      </c>
      <c r="J51" s="18">
        <f>+[1]GRUPO!X51</f>
        <v>186.05932437808548</v>
      </c>
      <c r="K51" s="19">
        <f>+[1]GRUPO!Y51</f>
        <v>205.43047918474812</v>
      </c>
      <c r="L51" s="20">
        <f t="shared" si="13"/>
        <v>-9.4295427258589726</v>
      </c>
      <c r="O51" s="17" t="str">
        <f>+IF($B$3="esp","España","Spain")</f>
        <v>Spain</v>
      </c>
      <c r="Q51" s="18">
        <f>+[1]SANTILLANA!T51</f>
        <v>139.06418482874761</v>
      </c>
      <c r="R51" s="19">
        <f>+[1]SANTILLANA!U51</f>
        <v>151.87014215600266</v>
      </c>
      <c r="S51" s="20">
        <f t="shared" si="14"/>
        <v>-8.4321757690202368</v>
      </c>
      <c r="U51" s="18">
        <f>+[1]SANTILLANA!X51</f>
        <v>92.521348441855196</v>
      </c>
      <c r="V51" s="19">
        <f>+[1]SANTILLANA!Y51</f>
        <v>111.78437834404312</v>
      </c>
      <c r="W51" s="20">
        <f t="shared" si="15"/>
        <v>-17.232309368757544</v>
      </c>
      <c r="Z51" s="17" t="str">
        <f>+IF($B$3="esp","Publicidad","Advertising")</f>
        <v>Advertising</v>
      </c>
      <c r="AB51" s="18">
        <f>+[1]RADIO!T51</f>
        <v>179.777553225285</v>
      </c>
      <c r="AC51" s="19">
        <f>+[1]RADIO!U51</f>
        <v>180.86446469932</v>
      </c>
      <c r="AD51" s="20">
        <f t="shared" si="16"/>
        <v>-0.6009535791577072</v>
      </c>
      <c r="AF51" s="18">
        <f>+[1]RADIO!X51</f>
        <v>56.030047914777001</v>
      </c>
      <c r="AG51" s="19">
        <f>+[1]RADIO!Y51</f>
        <v>58.938596205738989</v>
      </c>
      <c r="AH51" s="20">
        <f t="shared" si="17"/>
        <v>-4.9348788030325981</v>
      </c>
      <c r="AK51" s="21" t="str">
        <f>+IF($B$3="esp","Publicidad","Advertising")</f>
        <v>Advertising</v>
      </c>
      <c r="AL51" s="22"/>
      <c r="AM51" s="23">
        <f>+[1]NOTICIAS!T23</f>
        <v>71.670896436666197</v>
      </c>
      <c r="AN51" s="24">
        <f>+[1]NOTICIAS!U23</f>
        <v>78.946247551915903</v>
      </c>
      <c r="AO51" s="25">
        <f t="shared" si="18"/>
        <v>-9.2155755857368096</v>
      </c>
      <c r="AQ51" s="23">
        <f>+[1]NOTICIAS!X23</f>
        <v>20.588127793300394</v>
      </c>
      <c r="AR51" s="24">
        <f>+[1]NOTICIAS!Y23</f>
        <v>22.354130753377703</v>
      </c>
      <c r="AS51" s="25">
        <f t="shared" si="19"/>
        <v>-7.9001191303780223</v>
      </c>
      <c r="AV51" s="21" t="str">
        <f>+IF($B$3="esp","Publicidad","Advertising")</f>
        <v>Advertising</v>
      </c>
      <c r="AW51" s="22"/>
      <c r="AX51" s="23">
        <f>+'[1]MEDIA CAPITAL'!T22</f>
        <v>82.988945519999987</v>
      </c>
      <c r="AY51" s="24">
        <f>+'[1]MEDIA CAPITAL'!U22</f>
        <v>82.988945519999987</v>
      </c>
      <c r="AZ51" s="25">
        <f>IF(AY51=0,"---",IF(OR(ABS((AX51-AY51)/ABS(AY51))&gt;2,(AX51*AY51)&lt;0),"---",IF(AY51="0","---",((AX51-AY51)/ABS(AY51))*100)))</f>
        <v>0</v>
      </c>
      <c r="BB51" s="23">
        <f>+'[1]MEDIA CAPITAL'!X22</f>
        <v>25.887452199999984</v>
      </c>
      <c r="BC51" s="24">
        <f>+'[1]MEDIA CAPITAL'!Y22</f>
        <v>25.887452199999984</v>
      </c>
      <c r="BD51" s="25">
        <f>IF(BC51=0,"---",IF(OR(ABS((BB51-BC51)/ABS(BC51))&gt;2,(BB51*BC51)&lt;0),"---",IF(BC51="0","---",((BB51-BC51)/ABS(BC51))*100)))</f>
        <v>0</v>
      </c>
    </row>
    <row r="52" spans="4:56" ht="15" customHeight="1">
      <c r="D52" s="17" t="str">
        <f>+IF($B$3="esp","Internacional","International")</f>
        <v>International</v>
      </c>
      <c r="F52" s="18">
        <f>+[1]GRUPO!T52</f>
        <v>462.93726258632921</v>
      </c>
      <c r="G52" s="19">
        <f>+[1]GRUPO!U52</f>
        <v>442.52906544214392</v>
      </c>
      <c r="H52" s="20">
        <f t="shared" si="12"/>
        <v>4.6117190344988659</v>
      </c>
      <c r="J52" s="18">
        <f>+[1]GRUPO!X52</f>
        <v>131.35374410195948</v>
      </c>
      <c r="K52" s="19">
        <f>+[1]GRUPO!Y52</f>
        <v>152.65283695167187</v>
      </c>
      <c r="L52" s="20">
        <f t="shared" si="13"/>
        <v>-13.952634798693877</v>
      </c>
      <c r="O52" s="17" t="str">
        <f>+IF($B$3="esp","Internacional","International")</f>
        <v>International</v>
      </c>
      <c r="Q52" s="18">
        <f>+[1]SANTILLANA!T52</f>
        <v>383.54497356581334</v>
      </c>
      <c r="R52" s="19">
        <f>+[1]SANTILLANA!U52</f>
        <v>361.66467625034034</v>
      </c>
      <c r="S52" s="20">
        <f t="shared" si="14"/>
        <v>6.049885087568712</v>
      </c>
      <c r="U52" s="18">
        <f>+[1]SANTILLANA!X52</f>
        <v>102.06632652302676</v>
      </c>
      <c r="V52" s="19">
        <f>+[1]SANTILLANA!Y52</f>
        <v>122.18976295444489</v>
      </c>
      <c r="W52" s="20">
        <f t="shared" si="15"/>
        <v>-16.469003576773122</v>
      </c>
      <c r="Z52" s="34" t="str">
        <f>+IF($B$3="esp","España","Spain")</f>
        <v>Spain</v>
      </c>
      <c r="AA52" s="22"/>
      <c r="AB52" s="23">
        <f>+[1]RADIO!T52</f>
        <v>116.7790857</v>
      </c>
      <c r="AC52" s="24">
        <f>+[1]RADIO!U52</f>
        <v>116.51528125</v>
      </c>
      <c r="AD52" s="25">
        <f t="shared" si="16"/>
        <v>0.22641188964215367</v>
      </c>
      <c r="AF52" s="23">
        <f>+[1]RADIO!X52</f>
        <v>33.62819103999999</v>
      </c>
      <c r="AG52" s="24">
        <f>+[1]RADIO!Y52</f>
        <v>35.482151560000105</v>
      </c>
      <c r="AH52" s="25">
        <f t="shared" si="17"/>
        <v>-5.2250510143531708</v>
      </c>
      <c r="AK52" s="21" t="str">
        <f>+IF($B$3="esp","Circulación","Circulation")</f>
        <v>Circulation</v>
      </c>
      <c r="AL52" s="22"/>
      <c r="AM52" s="23">
        <f>+[1]NOTICIAS!T24</f>
        <v>60.448018888632106</v>
      </c>
      <c r="AN52" s="24">
        <f>+[1]NOTICIAS!U24</f>
        <v>69.878429126683713</v>
      </c>
      <c r="AO52" s="25">
        <f t="shared" si="18"/>
        <v>-13.49545253937387</v>
      </c>
      <c r="AQ52" s="23">
        <f>+[1]NOTICIAS!X24</f>
        <v>20.236591508744809</v>
      </c>
      <c r="AR52" s="24">
        <f>+[1]NOTICIAS!Y24</f>
        <v>23.078760500091519</v>
      </c>
      <c r="AS52" s="25">
        <f t="shared" si="19"/>
        <v>-12.315085081520907</v>
      </c>
      <c r="AV52" s="21" t="str">
        <f>+IF($B$3="esp","Otros","Others")</f>
        <v>Others</v>
      </c>
      <c r="AW52" s="22"/>
      <c r="AX52" s="23">
        <f>+'[1]MEDIA CAPITAL'!T23</f>
        <v>32.319096470000005</v>
      </c>
      <c r="AY52" s="24">
        <f>+'[1]MEDIA CAPITAL'!U23</f>
        <v>41.312599540000022</v>
      </c>
      <c r="AZ52" s="25">
        <f>IF(AY52=0,"---",IF(OR(ABS((AX52-AY52)/ABS(AY52))&gt;2,(AX52*AY52)&lt;0),"---",IF(AY52="0","---",((AX52-AY52)/ABS(AY52))*100)))</f>
        <v>-21.769395221165528</v>
      </c>
      <c r="BB52" s="23">
        <f>+'[1]MEDIA CAPITAL'!X23</f>
        <v>10.387229610000006</v>
      </c>
      <c r="BC52" s="24">
        <f>+'[1]MEDIA CAPITAL'!Y23</f>
        <v>13.147829820000027</v>
      </c>
      <c r="BD52" s="25">
        <f>IF(BC52=0,"---",IF(OR(ABS((BB52-BC52)/ABS(BC52))&gt;2,(BB52*BC52)&lt;0),"---",IF(BC52="0","---",((BB52-BC52)/ABS(BC52))*100)))</f>
        <v>-20.996622619808257</v>
      </c>
    </row>
    <row r="53" spans="4:56" ht="15" customHeight="1">
      <c r="D53" s="26" t="str">
        <f>+IF($B$3="esp","Portugal","Portugal")</f>
        <v>Portugal</v>
      </c>
      <c r="F53" s="18">
        <f>+[1]GRUPO!T53</f>
        <v>3.7484920000000002</v>
      </c>
      <c r="G53" s="19">
        <f>+[1]GRUPO!U53</f>
        <v>4.7065110000000008</v>
      </c>
      <c r="H53" s="20">
        <f t="shared" si="12"/>
        <v>-20.355184551783697</v>
      </c>
      <c r="J53" s="18">
        <f>+[1]GRUPO!X53</f>
        <v>3.6804140000000003</v>
      </c>
      <c r="K53" s="19">
        <f>+[1]GRUPO!Y53</f>
        <v>4.6383810000000008</v>
      </c>
      <c r="L53" s="20">
        <f t="shared" si="13"/>
        <v>-20.65304682819286</v>
      </c>
      <c r="O53" s="26" t="str">
        <f>+IF($B$3="esp","Portugal","Portugal")</f>
        <v>Portugal</v>
      </c>
      <c r="Q53" s="18">
        <f>+[1]SANTILLANA!T53</f>
        <v>3.7484920000000002</v>
      </c>
      <c r="R53" s="19">
        <f>+[1]SANTILLANA!U53</f>
        <v>4.7065110000000008</v>
      </c>
      <c r="S53" s="20">
        <f t="shared" si="14"/>
        <v>-20.355184551783697</v>
      </c>
      <c r="U53" s="18">
        <f>+[1]SANTILLANA!X53</f>
        <v>3.6804140000000003</v>
      </c>
      <c r="V53" s="19">
        <f>+[1]SANTILLANA!Y53</f>
        <v>4.6383810000000008</v>
      </c>
      <c r="W53" s="20">
        <f t="shared" si="15"/>
        <v>-20.65304682819286</v>
      </c>
      <c r="Z53" s="34" t="str">
        <f>+IF($B$3="esp","Latam","Latam")</f>
        <v>Latam</v>
      </c>
      <c r="AA53" s="22"/>
      <c r="AB53" s="23">
        <f>+[1]RADIO!T53</f>
        <v>63.0967127500125</v>
      </c>
      <c r="AC53" s="24">
        <f>+[1]RADIO!U53</f>
        <v>64.378120629319994</v>
      </c>
      <c r="AD53" s="25">
        <f t="shared" si="16"/>
        <v>-1.990440023382567</v>
      </c>
      <c r="AF53" s="23">
        <f>+[1]RADIO!X53</f>
        <v>22.477745675144696</v>
      </c>
      <c r="AG53" s="24">
        <f>+[1]RADIO!Y53</f>
        <v>23.467659535738996</v>
      </c>
      <c r="AH53" s="25">
        <f t="shared" si="17"/>
        <v>-4.2182044574438944</v>
      </c>
      <c r="AK53" s="21" t="str">
        <f>+IF($B$3="esp","Promociones y Otros","Add-ons and Others")</f>
        <v>Add-ons and Others</v>
      </c>
      <c r="AL53" s="22"/>
      <c r="AM53" s="23">
        <f>+[1]NOTICIAS!T25</f>
        <v>25.30203939624667</v>
      </c>
      <c r="AN53" s="24">
        <f>+[1]NOTICIAS!U25</f>
        <v>25.24773148655737</v>
      </c>
      <c r="AO53" s="25">
        <f t="shared" si="18"/>
        <v>0.21510015550591016</v>
      </c>
      <c r="AQ53" s="23">
        <f>+[1]NOTICIAS!X25</f>
        <v>7.542319915232774</v>
      </c>
      <c r="AR53" s="24">
        <f>+[1]NOTICIAS!Y25</f>
        <v>6.6076019583907595</v>
      </c>
      <c r="AS53" s="25">
        <f t="shared" si="19"/>
        <v>14.146099639901118</v>
      </c>
      <c r="AV53" s="13" t="str">
        <f>+IF($B$3="esp","Gastos de Explotación","Operating Expenses")</f>
        <v>Operating Expenses</v>
      </c>
      <c r="AW53" s="13"/>
      <c r="AX53" s="14">
        <f>+'[1]MEDIA CAPITAL'!T24</f>
        <v>92.446845897071597</v>
      </c>
      <c r="AY53" s="15">
        <f>+'[1]MEDIA CAPITAL'!U24</f>
        <v>101.58170323204621</v>
      </c>
      <c r="AZ53" s="16">
        <f>IF(AY53=0,"---",IF(OR(ABS((AX53-AY53)/ABS(AY53))&gt;2,(AX53*AY53)&lt;0),"---",IF(AY53="0","---",((AX53-AY53)/ABS(AY53))*100)))</f>
        <v>-8.9926207617405041</v>
      </c>
      <c r="BB53" s="14">
        <f>+'[1]MEDIA CAPITAL'!X24</f>
        <v>30.840065057629396</v>
      </c>
      <c r="BC53" s="15">
        <f>+'[1]MEDIA CAPITAL'!Y24</f>
        <v>33.567981631358805</v>
      </c>
      <c r="BD53" s="16">
        <f>IF(BC53=0,"---",IF(OR(ABS((BB53-BC53)/ABS(BC53))&gt;2,(BB53*BC53)&lt;0),"---",IF(BC53="0","---",((BB53-BC53)/ABS(BC53))*100)))</f>
        <v>-8.1265433343213651</v>
      </c>
    </row>
    <row r="54" spans="4:56" ht="15" customHeight="1">
      <c r="D54" s="26" t="str">
        <f>+IF($B$3="esp","Latam","Latam")</f>
        <v>Latam</v>
      </c>
      <c r="F54" s="18">
        <f>+[1]GRUPO!T54</f>
        <v>459.18877058632916</v>
      </c>
      <c r="G54" s="19">
        <f>+[1]GRUPO!U54</f>
        <v>437.82255444214394</v>
      </c>
      <c r="H54" s="20">
        <f t="shared" si="12"/>
        <v>4.8801086027669811</v>
      </c>
      <c r="J54" s="18">
        <f>+[1]GRUPO!X54</f>
        <v>127.67333010195938</v>
      </c>
      <c r="K54" s="19">
        <f>+[1]GRUPO!Y54</f>
        <v>148.01445595167189</v>
      </c>
      <c r="L54" s="20">
        <f t="shared" si="13"/>
        <v>-13.742661633235393</v>
      </c>
      <c r="O54" s="26" t="str">
        <f>+IF($B$3="esp","Latam","Latam")</f>
        <v>Latam</v>
      </c>
      <c r="Q54" s="18">
        <f>+[1]SANTILLANA!T54</f>
        <v>379.79648156581334</v>
      </c>
      <c r="R54" s="19">
        <f>+[1]SANTILLANA!U54</f>
        <v>356.95816525034036</v>
      </c>
      <c r="S54" s="20">
        <f t="shared" si="14"/>
        <v>6.3980372320258061</v>
      </c>
      <c r="U54" s="18">
        <f>+[1]SANTILLANA!X54</f>
        <v>98.385912523026775</v>
      </c>
      <c r="V54" s="19">
        <f>+[1]SANTILLANA!Y54</f>
        <v>117.55138195444491</v>
      </c>
      <c r="W54" s="20">
        <f t="shared" si="15"/>
        <v>-16.303908225294528</v>
      </c>
      <c r="Z54" s="34" t="str">
        <f>+IF($B$3="esp","Otros","Others")</f>
        <v>Others</v>
      </c>
      <c r="AA54" s="22"/>
      <c r="AB54" s="23">
        <f>+[1]RADIO!T54</f>
        <v>-9.8245224727492086E-2</v>
      </c>
      <c r="AC54" s="24">
        <f>+[1]RADIO!U54</f>
        <v>-2.8937179999999785E-2</v>
      </c>
      <c r="AD54" s="25" t="str">
        <f t="shared" si="16"/>
        <v>---</v>
      </c>
      <c r="AF54" s="23">
        <f>+[1]RADIO!X54</f>
        <v>-7.588880036768586E-2</v>
      </c>
      <c r="AG54" s="24">
        <f>+[1]RADIO!Y54</f>
        <v>-1.1214890000111666E-2</v>
      </c>
      <c r="AH54" s="25" t="str">
        <f t="shared" si="17"/>
        <v>---</v>
      </c>
      <c r="AK54" s="13" t="str">
        <f>+IF($B$3="esp","Gastos de Explotación","Operating Expenses")</f>
        <v>Operating Expenses</v>
      </c>
      <c r="AL54" s="13"/>
      <c r="AM54" s="14">
        <f>+[1]NOTICIAS!T26</f>
        <v>155.47576795079669</v>
      </c>
      <c r="AN54" s="15">
        <f>+[1]NOTICIAS!U26</f>
        <v>166.98139054833013</v>
      </c>
      <c r="AO54" s="16">
        <f t="shared" si="18"/>
        <v>-6.8903621893143292</v>
      </c>
      <c r="AQ54" s="14">
        <f>+[1]NOTICIAS!X26</f>
        <v>50.07876668335183</v>
      </c>
      <c r="AR54" s="15">
        <f>+[1]NOTICIAS!Y26</f>
        <v>52.072831906185158</v>
      </c>
      <c r="AS54" s="16">
        <f t="shared" si="19"/>
        <v>-3.8293773352404803</v>
      </c>
      <c r="AV54" s="13" t="str">
        <f>+IF($B$3="esp","EBITDA","EBITDA")</f>
        <v>EBITDA</v>
      </c>
      <c r="AW54" s="13"/>
      <c r="AX54" s="14">
        <f>+'[1]MEDIA CAPITAL'!T25</f>
        <v>22.861196092928399</v>
      </c>
      <c r="AY54" s="15">
        <f>+'[1]MEDIA CAPITAL'!U25</f>
        <v>22.719841827953797</v>
      </c>
      <c r="AZ54" s="16">
        <f>IF(AY54=0,"---",IF(OR(ABS((AX54-AY54)/ABS(AY54))&gt;2,(AX54*AY54)&lt;0),"---",IF(AY54="0","---",((AX54-AY54)/ABS(AY54))*100)))</f>
        <v>0.62216218776965271</v>
      </c>
      <c r="BB54" s="14">
        <f>+'[1]MEDIA CAPITAL'!X25</f>
        <v>5.4346167523705979</v>
      </c>
      <c r="BC54" s="15">
        <f>+'[1]MEDIA CAPITAL'!Y25</f>
        <v>5.4673003886411955</v>
      </c>
      <c r="BD54" s="16">
        <f>IF(BC54=0,"---",IF(OR(ABS((BB54-BC54)/ABS(BC54))&gt;2,(BB54*BC54)&lt;0),"---",IF(BC54="0","---",((BB54-BC54)/ABS(BC54))*100)))</f>
        <v>-0.59780209513457006</v>
      </c>
    </row>
    <row r="55" spans="4:56" s="13" customFormat="1" ht="15" customHeight="1">
      <c r="D55" s="13" t="str">
        <f>+IF($B$3="esp","Gastos de Explotación","Operating Expenses")</f>
        <v>Operating Expenses</v>
      </c>
      <c r="F55" s="14">
        <f>+[1]GRUPO!T55</f>
        <v>715.55080964766194</v>
      </c>
      <c r="G55" s="15">
        <f>+[1]GRUPO!U55</f>
        <v>721.89860561311298</v>
      </c>
      <c r="H55" s="16">
        <f t="shared" si="12"/>
        <v>-0.87931960473310777</v>
      </c>
      <c r="J55" s="14">
        <f>+[1]GRUPO!X55</f>
        <v>240.15220923775496</v>
      </c>
      <c r="K55" s="15">
        <f>+[1]GRUPO!Y55</f>
        <v>251.36630919526266</v>
      </c>
      <c r="L55" s="16">
        <f t="shared" si="13"/>
        <v>-4.4612581508671987</v>
      </c>
      <c r="O55" s="13" t="str">
        <f>+IF($B$3="esp","Gastos de Explotación","Operating Expenses")</f>
        <v>Operating Expenses</v>
      </c>
      <c r="Q55" s="14">
        <f>+[1]SANTILLANA!T55</f>
        <v>358.715743031648</v>
      </c>
      <c r="R55" s="15">
        <f>+[1]SANTILLANA!U55</f>
        <v>349.71419907096799</v>
      </c>
      <c r="S55" s="16">
        <f t="shared" si="14"/>
        <v>2.5739715415024693</v>
      </c>
      <c r="U55" s="14">
        <f>+[1]SANTILLANA!X55</f>
        <v>122.59121792483822</v>
      </c>
      <c r="V55" s="15">
        <f>+[1]SANTILLANA!Y55</f>
        <v>130.88457109041431</v>
      </c>
      <c r="W55" s="16">
        <f t="shared" si="15"/>
        <v>-6.3363871665569294</v>
      </c>
      <c r="Z55" s="17" t="str">
        <f>+IF($B$3="esp","Otros","Others")</f>
        <v>Others</v>
      </c>
      <c r="AA55" s="1"/>
      <c r="AB55" s="18">
        <f>+[1]RADIO!T55</f>
        <v>23.043483425064011</v>
      </c>
      <c r="AC55" s="19">
        <f>+[1]RADIO!U55</f>
        <v>26.882400993654016</v>
      </c>
      <c r="AD55" s="20">
        <f t="shared" si="16"/>
        <v>-14.280411818483914</v>
      </c>
      <c r="AF55" s="18">
        <f>+[1]RADIO!X55</f>
        <v>10.023084043565021</v>
      </c>
      <c r="AG55" s="19">
        <f>+[1]RADIO!Y55</f>
        <v>11.008224525376008</v>
      </c>
      <c r="AH55" s="20">
        <f t="shared" si="17"/>
        <v>-8.949131438408207</v>
      </c>
      <c r="AK55" s="13" t="str">
        <f>+IF($B$3="esp","EBITDA","EBITDA")</f>
        <v>EBITDA</v>
      </c>
      <c r="AM55" s="14">
        <f>+[1]NOTICIAS!T27</f>
        <v>1.94518677074827</v>
      </c>
      <c r="AN55" s="15">
        <f>+[1]NOTICIAS!U27</f>
        <v>7.0910176168268695</v>
      </c>
      <c r="AO55" s="16">
        <f t="shared" si="18"/>
        <v>-72.568298714526208</v>
      </c>
      <c r="AQ55" s="14">
        <f>+[1]NOTICIAS!X27</f>
        <v>-1.7117274660738599</v>
      </c>
      <c r="AR55" s="15">
        <f>+[1]NOTICIAS!Y27</f>
        <v>-3.2338694325170003E-2</v>
      </c>
      <c r="AS55" s="16" t="str">
        <f t="shared" si="19"/>
        <v>---</v>
      </c>
      <c r="AV55" s="21" t="str">
        <f>+IF($B$3="esp","Margen EBITDA ","EBITDA Margin")</f>
        <v>EBITDA Margin</v>
      </c>
      <c r="AW55" s="22"/>
      <c r="AX55" s="27">
        <f>+AX54/AX50</f>
        <v>0.19826193991665403</v>
      </c>
      <c r="AY55" s="28">
        <f>+AY54/AY50</f>
        <v>0.18278004361882222</v>
      </c>
      <c r="AZ55" s="29"/>
      <c r="BB55" s="27">
        <f>+BB54/BB50</f>
        <v>0.14981845411728503</v>
      </c>
      <c r="BC55" s="28">
        <f>+BC54/BC50</f>
        <v>0.14006048133173432</v>
      </c>
      <c r="BD55" s="29"/>
    </row>
    <row r="56" spans="4:56" ht="15" customHeight="1">
      <c r="D56" s="17" t="str">
        <f>+IF($B$3="esp","España","Spain")</f>
        <v>Spain</v>
      </c>
      <c r="F56" s="18">
        <f>+[1]GRUPO!T56</f>
        <v>366.36982187002468</v>
      </c>
      <c r="G56" s="19">
        <f>+[1]GRUPO!U56</f>
        <v>382.94648378678136</v>
      </c>
      <c r="H56" s="20">
        <f t="shared" si="12"/>
        <v>-4.328715008122729</v>
      </c>
      <c r="J56" s="18">
        <f>+[1]GRUPO!X56</f>
        <v>127.34101995110746</v>
      </c>
      <c r="K56" s="19">
        <f>+[1]GRUPO!Y56</f>
        <v>133.35156921445801</v>
      </c>
      <c r="L56" s="20">
        <f t="shared" si="13"/>
        <v>-4.5072954887274701</v>
      </c>
      <c r="O56" s="17" t="str">
        <f>+IF($B$3="esp","España","Spain")</f>
        <v>Spain</v>
      </c>
      <c r="Q56" s="18">
        <f>+[1]SANTILLANA!T56</f>
        <v>78.838081001772366</v>
      </c>
      <c r="R56" s="19">
        <f>+[1]SANTILLANA!U56</f>
        <v>83.71183214670414</v>
      </c>
      <c r="S56" s="20">
        <f t="shared" si="14"/>
        <v>-5.822057670880473</v>
      </c>
      <c r="U56" s="18">
        <f>+[1]SANTILLANA!X56</f>
        <v>33.896955174879011</v>
      </c>
      <c r="V56" s="19">
        <f>+[1]SANTILLANA!Y56</f>
        <v>37.956976124043479</v>
      </c>
      <c r="W56" s="20">
        <f t="shared" si="15"/>
        <v>-10.696376170473409</v>
      </c>
      <c r="Z56" s="13" t="str">
        <f>+IF($B$3="esp","Gastos de Explotación","Operating Expenses")</f>
        <v>Operating Expenses</v>
      </c>
      <c r="AA56" s="13"/>
      <c r="AB56" s="14">
        <f>+[1]RADIO!T56</f>
        <v>178.70413837697751</v>
      </c>
      <c r="AC56" s="15">
        <f>+[1]RADIO!U56</f>
        <v>187.7183451516637</v>
      </c>
      <c r="AD56" s="16">
        <f t="shared" si="16"/>
        <v>-4.8019849990704531</v>
      </c>
      <c r="AF56" s="14">
        <f>+[1]RADIO!X56</f>
        <v>60.26348724483671</v>
      </c>
      <c r="AG56" s="15">
        <f>+[1]RADIO!Y56</f>
        <v>63.294102083612984</v>
      </c>
      <c r="AH56" s="16">
        <f t="shared" si="17"/>
        <v>-4.7881472981049011</v>
      </c>
      <c r="AK56" s="21" t="str">
        <f>+IF($B$3="esp","Margen EBITDA ","EBITDA Margin")</f>
        <v>EBITDA Margin</v>
      </c>
      <c r="AL56" s="22"/>
      <c r="AM56" s="27">
        <f>+AM55/AM50</f>
        <v>1.2356593657998235E-2</v>
      </c>
      <c r="AN56" s="28">
        <f>+AN55/AN50</f>
        <v>4.0736022966368288E-2</v>
      </c>
      <c r="AO56" s="29"/>
      <c r="AQ56" s="27">
        <f>+AQ55/AQ50</f>
        <v>-3.539037108275972E-2</v>
      </c>
      <c r="AR56" s="28">
        <f>+AR55/AR50</f>
        <v>-6.214140629589584E-4</v>
      </c>
      <c r="AS56" s="29"/>
      <c r="AV56" s="13" t="str">
        <f>+IF($B$3="esp","EBIT","EBIT")</f>
        <v>EBIT</v>
      </c>
      <c r="AW56" s="13"/>
      <c r="AX56" s="14">
        <f>+'[1]MEDIA CAPITAL'!T27</f>
        <v>16.960387342928399</v>
      </c>
      <c r="AY56" s="15">
        <f>+'[1]MEDIA CAPITAL'!U27</f>
        <v>16.456102777953802</v>
      </c>
      <c r="AZ56" s="16">
        <f>IF(AY56=0,"---",IF(OR(ABS((AX56-AY56)/ABS(AY56))&gt;2,(AX56*AY56)&lt;0),"---",IF(AY56="0","---",((AX56-AY56)/ABS(AY56))*100)))</f>
        <v>3.0644227966914848</v>
      </c>
      <c r="BB56" s="14">
        <f>+'[1]MEDIA CAPITAL'!X27</f>
        <v>3.4672451023705992</v>
      </c>
      <c r="BC56" s="15">
        <f>+'[1]MEDIA CAPITAL'!Y27</f>
        <v>3.4243206286412029</v>
      </c>
      <c r="BD56" s="16">
        <f>IF(BC56=0,"---",IF(OR(ABS((BB56-BC56)/ABS(BC56))&gt;2,(BB56*BC56)&lt;0),"---",IF(BC56="0","---",((BB56-BC56)/ABS(BC56))*100)))</f>
        <v>1.2535179495276734</v>
      </c>
    </row>
    <row r="57" spans="4:56" ht="15" customHeight="1">
      <c r="D57" s="17" t="str">
        <f>+IF($B$3="esp","Internacional","International")</f>
        <v>International</v>
      </c>
      <c r="F57" s="18">
        <f>+[1]GRUPO!T57</f>
        <v>349.18098777763726</v>
      </c>
      <c r="G57" s="19">
        <f>+[1]GRUPO!U57</f>
        <v>338.95212182633162</v>
      </c>
      <c r="H57" s="20">
        <f t="shared" si="12"/>
        <v>3.0177908007156788</v>
      </c>
      <c r="J57" s="18">
        <f>+[1]GRUPO!X57</f>
        <v>112.81118928664745</v>
      </c>
      <c r="K57" s="19">
        <f>+[1]GRUPO!Y57</f>
        <v>118.01473998080468</v>
      </c>
      <c r="L57" s="20">
        <f t="shared" si="13"/>
        <v>-4.4092379435006146</v>
      </c>
      <c r="O57" s="17" t="str">
        <f>+IF($B$3="esp","Internacional","International")</f>
        <v>International</v>
      </c>
      <c r="Q57" s="18">
        <f>+[1]SANTILLANA!T57</f>
        <v>279.87766202987564</v>
      </c>
      <c r="R57" s="19">
        <f>+[1]SANTILLANA!U57</f>
        <v>266.00236692426387</v>
      </c>
      <c r="S57" s="20">
        <f t="shared" si="14"/>
        <v>5.2162299403758094</v>
      </c>
      <c r="U57" s="18">
        <f>+[1]SANTILLANA!X57</f>
        <v>88.694262749959194</v>
      </c>
      <c r="V57" s="19">
        <f>+[1]SANTILLANA!Y57</f>
        <v>92.927594966370862</v>
      </c>
      <c r="W57" s="20">
        <f t="shared" si="15"/>
        <v>-4.5555168170914673</v>
      </c>
      <c r="Z57" s="17" t="str">
        <f>+IF($B$3="esp","España","Spain")</f>
        <v>Spain</v>
      </c>
      <c r="AB57" s="18">
        <f>+[1]RADIO!T57</f>
        <v>116.93383961000009</v>
      </c>
      <c r="AC57" s="19">
        <f>+[1]RADIO!U57</f>
        <v>119.05717265999999</v>
      </c>
      <c r="AD57" s="20">
        <f t="shared" si="16"/>
        <v>-1.7834566389911279</v>
      </c>
      <c r="AF57" s="18">
        <f>+[1]RADIO!X57</f>
        <v>37.211224999999985</v>
      </c>
      <c r="AG57" s="19">
        <f>+[1]RADIO!Y57</f>
        <v>38.24542593999999</v>
      </c>
      <c r="AH57" s="20">
        <f t="shared" si="17"/>
        <v>-2.7041166742984521</v>
      </c>
      <c r="AK57" s="13" t="str">
        <f>+IF($B$3="esp","EBIT","EBIT")</f>
        <v>EBIT</v>
      </c>
      <c r="AL57" s="13"/>
      <c r="AM57" s="14">
        <f>+[1]NOTICIAS!T29</f>
        <v>-4.6434001340941906</v>
      </c>
      <c r="AN57" s="15">
        <f>+[1]NOTICIAS!U29</f>
        <v>1.3486027405336902</v>
      </c>
      <c r="AO57" s="16" t="str">
        <f>IF(AN57=0,"---",IF(OR(ABS((AM57-AN57)/ABS(AN57))&gt;2,(AM57*AN57)&lt;0),"---",IF(AN57="0","---",((AM57-AN57)/ABS(AN57))*100)))</f>
        <v>---</v>
      </c>
      <c r="AQ57" s="14">
        <f>+[1]NOTICIAS!X29</f>
        <v>-3.6927502565577432</v>
      </c>
      <c r="AR57" s="15">
        <f>+[1]NOTICIAS!Y29</f>
        <v>-1.9326599446811799</v>
      </c>
      <c r="AS57" s="16">
        <f>IF(AR57=0,"---",IF(OR(ABS((AQ57-AR57)/ABS(AR57))&gt;2,(AQ57*AR57)&lt;0),"---",IF(AR57="0","---",((AQ57-AR57)/ABS(AR57))*100)))</f>
        <v>-91.070874455718894</v>
      </c>
      <c r="AV57" s="21" t="str">
        <f>+IF($B$3="esp","Margen EBIT ","EBIT Margin")</f>
        <v>EBIT Margin</v>
      </c>
      <c r="AW57" s="22"/>
      <c r="AX57" s="27">
        <f>+AX56/AX50</f>
        <v>0.14708763630206537</v>
      </c>
      <c r="AY57" s="28">
        <f>+AY56/AY50</f>
        <v>0.13238856178344757</v>
      </c>
      <c r="AZ57" s="29"/>
      <c r="BB57" s="27">
        <f>+BB56/BB50</f>
        <v>9.5583060398196779E-2</v>
      </c>
      <c r="BC57" s="28">
        <f>+BC56/BC50</f>
        <v>8.7723732260643769E-2</v>
      </c>
      <c r="BD57" s="29"/>
    </row>
    <row r="58" spans="4:56" ht="15" customHeight="1">
      <c r="D58" s="26" t="str">
        <f>+IF($B$3="esp","Portugal","Portugal")</f>
        <v>Portugal</v>
      </c>
      <c r="F58" s="18">
        <f>+[1]GRUPO!T58</f>
        <v>3.3390139999999993</v>
      </c>
      <c r="G58" s="19">
        <f>+[1]GRUPO!U58</f>
        <v>3.9839140000000008</v>
      </c>
      <c r="H58" s="20">
        <f t="shared" si="12"/>
        <v>-16.187598427074519</v>
      </c>
      <c r="J58" s="18">
        <f>+[1]GRUPO!X58</f>
        <v>1.7482539999999991</v>
      </c>
      <c r="K58" s="19">
        <f>+[1]GRUPO!Y58</f>
        <v>1.7091630000000007</v>
      </c>
      <c r="L58" s="20">
        <f t="shared" si="13"/>
        <v>2.2871428880685118</v>
      </c>
      <c r="O58" s="26" t="str">
        <f>+IF($B$3="esp","Portugal","Portugal")</f>
        <v>Portugal</v>
      </c>
      <c r="Q58" s="18">
        <f>+[1]SANTILLANA!T58</f>
        <v>3.3390139999999993</v>
      </c>
      <c r="R58" s="19">
        <f>+[1]SANTILLANA!U58</f>
        <v>3.9839140000000008</v>
      </c>
      <c r="S58" s="20">
        <f t="shared" si="14"/>
        <v>-16.187598427074519</v>
      </c>
      <c r="U58" s="18">
        <f>+[1]SANTILLANA!X58</f>
        <v>1.7482539999999991</v>
      </c>
      <c r="V58" s="19">
        <f>+[1]SANTILLANA!Y58</f>
        <v>1.7091630000000007</v>
      </c>
      <c r="W58" s="20">
        <f t="shared" si="15"/>
        <v>2.2871428880685118</v>
      </c>
      <c r="Z58" s="17" t="str">
        <f>+IF($B$3="esp","Latam","Latam")</f>
        <v>Latam</v>
      </c>
      <c r="AB58" s="18">
        <f>+[1]RADIO!T58</f>
        <v>54.989322548932108</v>
      </c>
      <c r="AC58" s="19">
        <f>+[1]RADIO!U58</f>
        <v>58.592017794897799</v>
      </c>
      <c r="AD58" s="20">
        <f t="shared" si="16"/>
        <v>-6.1487816626779743</v>
      </c>
      <c r="AF58" s="18">
        <f>+[1]RADIO!X58</f>
        <v>17.349425843518524</v>
      </c>
      <c r="AG58" s="19">
        <f>+[1]RADIO!Y58</f>
        <v>19.290998752613646</v>
      </c>
      <c r="AH58" s="20">
        <f t="shared" si="17"/>
        <v>-10.064657273548718</v>
      </c>
      <c r="AK58" s="21" t="str">
        <f>+IF($B$3="esp","Margen EBIT ","EBIT Margin")</f>
        <v>EBIT Margin</v>
      </c>
      <c r="AL58" s="22"/>
      <c r="AM58" s="27">
        <f>+AM57/AM50</f>
        <v>-2.9496709267884301E-2</v>
      </c>
      <c r="AN58" s="28">
        <f>+AN57/AN50</f>
        <v>7.7473664824247073E-3</v>
      </c>
      <c r="AO58" s="29"/>
      <c r="AQ58" s="27">
        <f>+AQ57/AQ50</f>
        <v>-7.6348486827339135E-2</v>
      </c>
      <c r="AR58" s="28">
        <f>+AR57/AR50</f>
        <v>-3.713761775495103E-2</v>
      </c>
      <c r="AS58" s="29"/>
    </row>
    <row r="59" spans="4:56" ht="15" customHeight="1">
      <c r="D59" s="26" t="str">
        <f>+IF($B$3="esp","Latam","Latam")</f>
        <v>Latam</v>
      </c>
      <c r="F59" s="18">
        <f>+[1]GRUPO!T59</f>
        <v>345.84197377763724</v>
      </c>
      <c r="G59" s="19">
        <f>+[1]GRUPO!U59</f>
        <v>334.96820782633165</v>
      </c>
      <c r="H59" s="20">
        <f t="shared" si="12"/>
        <v>3.2462083556727341</v>
      </c>
      <c r="J59" s="18">
        <f>+[1]GRUPO!X59</f>
        <v>111.06293528664742</v>
      </c>
      <c r="K59" s="19">
        <f>+[1]GRUPO!Y59</f>
        <v>116.30557698080472</v>
      </c>
      <c r="L59" s="20">
        <f t="shared" si="13"/>
        <v>-4.507644285211323</v>
      </c>
      <c r="O59" s="26" t="str">
        <f>+IF($B$3="esp","Latam","Latam")</f>
        <v>Latam</v>
      </c>
      <c r="Q59" s="18">
        <f>+[1]SANTILLANA!T59</f>
        <v>276.53864802987562</v>
      </c>
      <c r="R59" s="19">
        <f>+[1]SANTILLANA!U59</f>
        <v>262.0184529242639</v>
      </c>
      <c r="S59" s="20">
        <f t="shared" si="14"/>
        <v>5.5416688952853113</v>
      </c>
      <c r="U59" s="18">
        <f>+[1]SANTILLANA!X59</f>
        <v>86.946008749959219</v>
      </c>
      <c r="V59" s="19">
        <f>+[1]SANTILLANA!Y59</f>
        <v>91.218431966370872</v>
      </c>
      <c r="W59" s="20">
        <f t="shared" si="15"/>
        <v>-4.6837279750508642</v>
      </c>
      <c r="Z59" s="17" t="str">
        <f>+IF($B$3="esp","Música","Music")</f>
        <v>Music</v>
      </c>
      <c r="AB59" s="18">
        <f>+[1]RADIO!T59</f>
        <v>13.478925393847522</v>
      </c>
      <c r="AC59" s="19">
        <f>+[1]RADIO!U59</f>
        <v>16.780998445034712</v>
      </c>
      <c r="AD59" s="20">
        <f t="shared" si="16"/>
        <v>-19.677452816666175</v>
      </c>
      <c r="AF59" s="18">
        <f>+[1]RADIO!X59</f>
        <v>7.9506116006451419</v>
      </c>
      <c r="AG59" s="19">
        <f>+[1]RADIO!Y59</f>
        <v>7.8816555358170497</v>
      </c>
      <c r="AH59" s="20">
        <f t="shared" si="17"/>
        <v>0.87489315556524039</v>
      </c>
    </row>
    <row r="60" spans="4:56" s="13" customFormat="1" ht="15" customHeight="1">
      <c r="D60" s="13" t="str">
        <f>+IF($B$3="esp","EBITDA","EBITDA")</f>
        <v>EBITDA</v>
      </c>
      <c r="F60" s="14">
        <f>+[1]GRUPO!T60</f>
        <v>178.05025079567</v>
      </c>
      <c r="G60" s="15">
        <f>+[1]GRUPO!U60</f>
        <v>175.50776664511</v>
      </c>
      <c r="H60" s="16">
        <f t="shared" si="12"/>
        <v>1.4486448088084305</v>
      </c>
      <c r="J60" s="14">
        <f>+[1]GRUPO!X60</f>
        <v>77.260859242289996</v>
      </c>
      <c r="K60" s="15">
        <f>+[1]GRUPO!Y60</f>
        <v>106.71700694115729</v>
      </c>
      <c r="L60" s="16">
        <f t="shared" si="13"/>
        <v>-27.602111924961619</v>
      </c>
      <c r="O60" s="13" t="str">
        <f>+IF($B$3="esp","EBITDA","EBITDA")</f>
        <v>EBITDA</v>
      </c>
      <c r="Q60" s="14">
        <f>+[1]SANTILLANA!T60</f>
        <v>163.89341536291298</v>
      </c>
      <c r="R60" s="15">
        <f>+[1]SANTILLANA!U60</f>
        <v>163.820619335375</v>
      </c>
      <c r="S60" s="16">
        <f t="shared" si="14"/>
        <v>4.4436425544788778E-2</v>
      </c>
      <c r="U60" s="14">
        <f>+[1]SANTILLANA!X60</f>
        <v>71.996457040043765</v>
      </c>
      <c r="V60" s="15">
        <f>+[1]SANTILLANA!Y60</f>
        <v>103.0895702080737</v>
      </c>
      <c r="W60" s="16">
        <f t="shared" si="15"/>
        <v>-30.161259868745482</v>
      </c>
      <c r="Z60" s="17" t="str">
        <f>+IF($B$3="esp","Ajustes y Otros","Adjustments &amp; others")</f>
        <v>Adjustments &amp; others</v>
      </c>
      <c r="AA60" s="1"/>
      <c r="AB60" s="18">
        <f>+[1]RADIO!T60</f>
        <v>-6.6979491758022114</v>
      </c>
      <c r="AC60" s="19">
        <f>+[1]RADIO!U60</f>
        <v>-6.7118437482688051</v>
      </c>
      <c r="AD60" s="20">
        <f t="shared" si="16"/>
        <v>0.20701573200624049</v>
      </c>
      <c r="AF60" s="18">
        <f>+[1]RADIO!X60</f>
        <v>-2.2477751993269406</v>
      </c>
      <c r="AG60" s="19">
        <f>+[1]RADIO!Y60</f>
        <v>-2.123978144817702</v>
      </c>
      <c r="AH60" s="20">
        <f t="shared" si="17"/>
        <v>-5.8285465324250749</v>
      </c>
      <c r="AK60" s="1"/>
      <c r="AL60" s="1"/>
      <c r="AM60" s="1"/>
      <c r="AN60" s="1"/>
      <c r="AO60" s="1"/>
      <c r="AQ60" s="1"/>
      <c r="AR60" s="1"/>
      <c r="AS60" s="1"/>
    </row>
    <row r="61" spans="4:56" ht="15" customHeight="1">
      <c r="D61" s="17" t="str">
        <f>+IF($B$3="esp","España","Spain")</f>
        <v>Spain</v>
      </c>
      <c r="F61" s="18">
        <f>+[1]GRUPO!T61</f>
        <v>64.293975986978054</v>
      </c>
      <c r="G61" s="19">
        <f>+[1]GRUPO!U61</f>
        <v>71.930823029297699</v>
      </c>
      <c r="H61" s="20">
        <f t="shared" si="12"/>
        <v>-10.616932659326208</v>
      </c>
      <c r="J61" s="18">
        <f>+[1]GRUPO!X61</f>
        <v>58.718304426977994</v>
      </c>
      <c r="K61" s="19">
        <f>+[1]GRUPO!Y61</f>
        <v>72.078909970290098</v>
      </c>
      <c r="L61" s="20">
        <f t="shared" si="13"/>
        <v>-18.536081565077989</v>
      </c>
      <c r="O61" s="17" t="str">
        <f>+IF($B$3="esp","España","Spain")</f>
        <v>Spain</v>
      </c>
      <c r="Q61" s="18">
        <f>+[1]SANTILLANA!T61</f>
        <v>60.226103826975248</v>
      </c>
      <c r="R61" s="19">
        <f>+[1]SANTILLANA!U61</f>
        <v>68.158310009298518</v>
      </c>
      <c r="S61" s="20">
        <f t="shared" si="14"/>
        <v>-11.637914997072428</v>
      </c>
      <c r="U61" s="18">
        <f>+[1]SANTILLANA!X61</f>
        <v>58.624393266976185</v>
      </c>
      <c r="V61" s="19">
        <f>+[1]SANTILLANA!Y61</f>
        <v>73.827402219999641</v>
      </c>
      <c r="W61" s="20">
        <f t="shared" si="15"/>
        <v>-20.592637009927191</v>
      </c>
      <c r="Z61" s="13" t="str">
        <f>+IF($B$3="esp","EBITDA","EBITDA")</f>
        <v>EBITDA</v>
      </c>
      <c r="AA61" s="13"/>
      <c r="AB61" s="14">
        <f>+[1]RADIO!T61</f>
        <v>24.116898273371497</v>
      </c>
      <c r="AC61" s="15">
        <f>+[1]RADIO!U61</f>
        <v>20.0285205413103</v>
      </c>
      <c r="AD61" s="16">
        <f t="shared" si="16"/>
        <v>20.412779484279014</v>
      </c>
      <c r="AF61" s="14">
        <f>+[1]RADIO!X61</f>
        <v>5.7896447135052966</v>
      </c>
      <c r="AG61" s="15">
        <f>+[1]RADIO!Y61</f>
        <v>6.6527186475019988</v>
      </c>
      <c r="AH61" s="16">
        <f t="shared" si="17"/>
        <v>-12.973251684418882</v>
      </c>
    </row>
    <row r="62" spans="4:56" ht="15" customHeight="1">
      <c r="D62" s="17" t="str">
        <f>+IF($B$3="esp","Internacional","International")</f>
        <v>International</v>
      </c>
      <c r="F62" s="18">
        <f>+[1]GRUPO!T62</f>
        <v>113.75627480869194</v>
      </c>
      <c r="G62" s="19">
        <f>+[1]GRUPO!U62</f>
        <v>103.57694361581231</v>
      </c>
      <c r="H62" s="20">
        <f t="shared" si="12"/>
        <v>9.8277964550072205</v>
      </c>
      <c r="J62" s="18">
        <f>+[1]GRUPO!X62</f>
        <v>18.542554815312002</v>
      </c>
      <c r="K62" s="19">
        <f>+[1]GRUPO!Y62</f>
        <v>34.63809697086721</v>
      </c>
      <c r="L62" s="20">
        <f t="shared" si="13"/>
        <v>-46.467743794044338</v>
      </c>
      <c r="O62" s="17" t="str">
        <f>+IF($B$3="esp","Internacional","International")</f>
        <v>International</v>
      </c>
      <c r="Q62" s="18">
        <f>+[1]SANTILLANA!T62</f>
        <v>103.66731153593773</v>
      </c>
      <c r="R62" s="19">
        <f>+[1]SANTILLANA!U62</f>
        <v>95.662309326076482</v>
      </c>
      <c r="S62" s="20">
        <f t="shared" si="14"/>
        <v>8.3679792660819352</v>
      </c>
      <c r="U62" s="18">
        <f>+[1]SANTILLANA!X62</f>
        <v>13.37206377306758</v>
      </c>
      <c r="V62" s="19">
        <f>+[1]SANTILLANA!Y62</f>
        <v>29.262167988074054</v>
      </c>
      <c r="W62" s="20">
        <f t="shared" si="15"/>
        <v>-54.302552775592595</v>
      </c>
      <c r="Z62" s="17" t="str">
        <f>+IF($B$3="esp","España","Spain")</f>
        <v>Spain</v>
      </c>
      <c r="AB62" s="18">
        <f>+[1]RADIO!T62</f>
        <v>12.101004579999898</v>
      </c>
      <c r="AC62" s="19">
        <f>+[1]RADIO!U62</f>
        <v>10.444244419999999</v>
      </c>
      <c r="AD62" s="20">
        <f t="shared" si="16"/>
        <v>15.862901071400817</v>
      </c>
      <c r="AF62" s="18">
        <f>+[1]RADIO!X62</f>
        <v>4.1286999999998741E-2</v>
      </c>
      <c r="AG62" s="19">
        <f>+[1]RADIO!Y62</f>
        <v>1.2942616499999975</v>
      </c>
      <c r="AH62" s="20">
        <f t="shared" si="17"/>
        <v>-96.809995876799817</v>
      </c>
    </row>
    <row r="63" spans="4:56" ht="15" customHeight="1">
      <c r="D63" s="26" t="str">
        <f>+IF($B$3="esp","Portugal","Portugal")</f>
        <v>Portugal</v>
      </c>
      <c r="F63" s="18">
        <f>+[1]GRUPO!T63</f>
        <v>0.40947800000000095</v>
      </c>
      <c r="G63" s="19">
        <f>+[1]GRUPO!U63</f>
        <v>0.72259699999999993</v>
      </c>
      <c r="H63" s="20">
        <f t="shared" si="12"/>
        <v>-43.332452252085055</v>
      </c>
      <c r="J63" s="18">
        <f>+[1]GRUPO!X63</f>
        <v>1.932160000000001</v>
      </c>
      <c r="K63" s="19">
        <f>+[1]GRUPO!Y63</f>
        <v>2.9292180000000001</v>
      </c>
      <c r="L63" s="20">
        <f t="shared" si="13"/>
        <v>-34.03836791935592</v>
      </c>
      <c r="O63" s="26" t="str">
        <f>+IF($B$3="esp","Portugal","Portugal")</f>
        <v>Portugal</v>
      </c>
      <c r="Q63" s="18">
        <f>+[1]SANTILLANA!T63</f>
        <v>0.40947800000000095</v>
      </c>
      <c r="R63" s="19">
        <f>+[1]SANTILLANA!U63</f>
        <v>0.72259699999999993</v>
      </c>
      <c r="S63" s="20">
        <f t="shared" si="14"/>
        <v>-43.332452252085055</v>
      </c>
      <c r="U63" s="18">
        <f>+[1]SANTILLANA!X63</f>
        <v>1.932160000000001</v>
      </c>
      <c r="V63" s="19">
        <f>+[1]SANTILLANA!Y63</f>
        <v>2.9292180000000001</v>
      </c>
      <c r="W63" s="20">
        <f t="shared" si="15"/>
        <v>-34.03836791935592</v>
      </c>
      <c r="Z63" s="17" t="str">
        <f>+IF($B$3="esp","Latam","Latam")</f>
        <v>Latam</v>
      </c>
      <c r="AB63" s="18">
        <f>+[1]RADIO!T63</f>
        <v>13.537662046190501</v>
      </c>
      <c r="AC63" s="19">
        <f>+[1]RADIO!U63</f>
        <v>10.843470745583799</v>
      </c>
      <c r="AD63" s="20">
        <f t="shared" si="16"/>
        <v>24.846208043711105</v>
      </c>
      <c r="AF63" s="18">
        <f>+[1]RADIO!X63</f>
        <v>6.4676875546611905</v>
      </c>
      <c r="AG63" s="19">
        <f>+[1]RADIO!Y63</f>
        <v>5.8047095648377596</v>
      </c>
      <c r="AH63" s="20">
        <f t="shared" si="17"/>
        <v>11.421380904902536</v>
      </c>
    </row>
    <row r="64" spans="4:56" ht="15" customHeight="1">
      <c r="D64" s="26" t="str">
        <f>+IF($B$3="esp","Latam","Latam")</f>
        <v>Latam</v>
      </c>
      <c r="F64" s="18">
        <f>+[1]GRUPO!T64</f>
        <v>113.34679680869195</v>
      </c>
      <c r="G64" s="19">
        <f>+[1]GRUPO!U64</f>
        <v>102.85434661581232</v>
      </c>
      <c r="H64" s="20">
        <f t="shared" si="12"/>
        <v>10.201270571550715</v>
      </c>
      <c r="J64" s="18">
        <f>+[1]GRUPO!X64</f>
        <v>16.610394815312006</v>
      </c>
      <c r="K64" s="19">
        <f>+[1]GRUPO!Y64</f>
        <v>31.708878970867204</v>
      </c>
      <c r="L64" s="20">
        <f t="shared" si="13"/>
        <v>-47.615950628298961</v>
      </c>
      <c r="O64" s="26" t="str">
        <f>+IF($B$3="esp","Latam","Latam")</f>
        <v>Latam</v>
      </c>
      <c r="Q64" s="18">
        <f>+[1]SANTILLANA!T64</f>
        <v>103.25783353593772</v>
      </c>
      <c r="R64" s="19">
        <f>+[1]SANTILLANA!U64</f>
        <v>94.939712326076489</v>
      </c>
      <c r="S64" s="20">
        <f t="shared" si="14"/>
        <v>8.7614771585699724</v>
      </c>
      <c r="U64" s="18">
        <f>+[1]SANTILLANA!X64</f>
        <v>11.43990377306757</v>
      </c>
      <c r="V64" s="19">
        <f>+[1]SANTILLANA!Y64</f>
        <v>26.332949988074063</v>
      </c>
      <c r="W64" s="20">
        <f t="shared" si="15"/>
        <v>-56.556695021831615</v>
      </c>
      <c r="Z64" s="17" t="str">
        <f>+IF($B$3="esp","Música","Music")</f>
        <v>Music</v>
      </c>
      <c r="AB64" s="18">
        <f>+[1]RADIO!T64</f>
        <v>-1.5217683528186201</v>
      </c>
      <c r="AC64" s="19">
        <f>+[1]RADIO!U64</f>
        <v>-1.25646642427341</v>
      </c>
      <c r="AD64" s="20">
        <f t="shared" si="16"/>
        <v>-21.114923838782957</v>
      </c>
      <c r="AF64" s="18">
        <f>+[1]RADIO!X64</f>
        <v>-0.71932984115559007</v>
      </c>
      <c r="AG64" s="19">
        <f>+[1]RADIO!Y64</f>
        <v>-0.44516018733542906</v>
      </c>
      <c r="AH64" s="20">
        <f t="shared" si="17"/>
        <v>-61.588987879002218</v>
      </c>
    </row>
    <row r="65" spans="4:34" s="22" customFormat="1" ht="15" customHeight="1">
      <c r="D65" s="21" t="str">
        <f>+IF($B$3="esp","Margen EBITDA ","EBITDA Margin")</f>
        <v>EBITDA Margin</v>
      </c>
      <c r="F65" s="27">
        <f>+F60/F50</f>
        <v>0.19925026801930606</v>
      </c>
      <c r="G65" s="28">
        <f>+G60/G50</f>
        <v>0.19557223134427304</v>
      </c>
      <c r="H65" s="29"/>
      <c r="J65" s="27">
        <f>+J60/J50</f>
        <v>0.2434079340597384</v>
      </c>
      <c r="K65" s="28">
        <f>+K60/K50</f>
        <v>0.29802284030597231</v>
      </c>
      <c r="L65" s="29"/>
      <c r="O65" s="21" t="str">
        <f>+IF($B$3="esp","Margen EBITDA ","EBITDA Margin")</f>
        <v>EBITDA Margin</v>
      </c>
      <c r="Q65" s="27">
        <f>+Q60/Q50</f>
        <v>0.31360609114924132</v>
      </c>
      <c r="R65" s="28">
        <f>+R60/R50</f>
        <v>0.31900586574394496</v>
      </c>
      <c r="S65" s="29"/>
      <c r="U65" s="27">
        <f>+U60/U50</f>
        <v>0.36999494984991865</v>
      </c>
      <c r="V65" s="28">
        <f>+V60/V50</f>
        <v>0.44060240860787758</v>
      </c>
      <c r="W65" s="29"/>
      <c r="Z65" s="17" t="str">
        <f>+IF($B$3="esp","Ajustes y Otros","Adjustments &amp; others")</f>
        <v>Adjustments &amp; others</v>
      </c>
      <c r="AA65" s="1"/>
      <c r="AB65" s="18">
        <f>+[1]RADIO!T65</f>
        <v>-2.8266278206956486E-13</v>
      </c>
      <c r="AC65" s="19">
        <f>+[1]RADIO!U65</f>
        <v>-2.7282000000876661E-3</v>
      </c>
      <c r="AD65" s="20">
        <f t="shared" si="16"/>
        <v>99.999999989639221</v>
      </c>
      <c r="AF65" s="18">
        <f>+[1]RADIO!X65</f>
        <v>-3.0253577421035516E-13</v>
      </c>
      <c r="AG65" s="19">
        <f>+[1]RADIO!Y65</f>
        <v>-1.092380000329185E-3</v>
      </c>
      <c r="AH65" s="20">
        <f t="shared" si="17"/>
        <v>99.999999972304892</v>
      </c>
    </row>
    <row r="66" spans="4:34" s="13" customFormat="1" ht="15" customHeight="1">
      <c r="D66" s="13" t="str">
        <f>+IF($B$3="esp","EBIT","EBIT")</f>
        <v>EBIT</v>
      </c>
      <c r="F66" s="14">
        <f>+[1]GRUPO!T66</f>
        <v>102.49954160371966</v>
      </c>
      <c r="G66" s="15">
        <f>+[1]GRUPO!U66</f>
        <v>89.81282101066779</v>
      </c>
      <c r="H66" s="16">
        <f>IF(G66=0,"---",IF(OR(ABS((F66-G66)/ABS(G66))&gt;2,(F66*G66)&lt;0),"---",IF(G66="0","---",((F66-G66)/ABS(G66))*100)))</f>
        <v>14.125734444467533</v>
      </c>
      <c r="J66" s="14">
        <f>+[1]GRUPO!X66</f>
        <v>36.458167445297349</v>
      </c>
      <c r="K66" s="15">
        <f>+[1]GRUPO!Y66</f>
        <v>58.332359836242304</v>
      </c>
      <c r="L66" s="16">
        <f>IF(K66=0,"---",IF(OR(ABS((J66-K66)/ABS(K66))&gt;2,(J66*K66)&lt;0),"---",IF(K66="0","---",((J66-K66)/ABS(K66))*100)))</f>
        <v>-37.499241334231719</v>
      </c>
      <c r="O66" s="13" t="str">
        <f>+IF($B$3="esp","EBIT","EBIT")</f>
        <v>EBIT</v>
      </c>
      <c r="Q66" s="14">
        <f>+[1]SANTILLANA!T66</f>
        <v>104.277184493359</v>
      </c>
      <c r="R66" s="15">
        <f>+[1]SANTILLANA!U66</f>
        <v>95.947722084362496</v>
      </c>
      <c r="S66" s="16">
        <f>IF(R66=0,"---",IF(OR(ABS((Q66-R66)/ABS(R66))&gt;2,(Q66*R66)&lt;0),"---",IF(R66="0","---",((Q66-R66)/ABS(R66))*100)))</f>
        <v>8.6812508187247914</v>
      </c>
      <c r="U66" s="14">
        <f>+[1]SANTILLANA!X66</f>
        <v>35.794242017092998</v>
      </c>
      <c r="V66" s="15">
        <f>+[1]SANTILLANA!Y66</f>
        <v>60.612210878104094</v>
      </c>
      <c r="W66" s="16">
        <f>IF(V66=0,"---",IF(OR(ABS((U66-V66)/ABS(V66))&gt;2,(U66*V66)&lt;0),"---",IF(V66="0","---",((U66-V66)/ABS(V66))*100)))</f>
        <v>-40.945493492923354</v>
      </c>
      <c r="Z66" s="21" t="str">
        <f>+IF($B$3="esp","Margen EBITDA ","EBITDA Margin")</f>
        <v>EBITDA Margin</v>
      </c>
      <c r="AA66" s="22"/>
      <c r="AB66" s="27">
        <f>+AB61/AB50</f>
        <v>0.11890728235921379</v>
      </c>
      <c r="AC66" s="28">
        <f>+AC61/AC50</f>
        <v>9.6408292247884747E-2</v>
      </c>
      <c r="AD66" s="29"/>
      <c r="AF66" s="27">
        <f>+AF61/AF50</f>
        <v>8.765132767900656E-2</v>
      </c>
      <c r="AG66" s="28">
        <f>+AG61/AG50</f>
        <v>9.5111094084975575E-2</v>
      </c>
      <c r="AH66" s="29"/>
    </row>
    <row r="67" spans="4:34" ht="15" customHeight="1">
      <c r="D67" s="17" t="str">
        <f>+IF($B$3="esp","España","Spain")</f>
        <v>Spain</v>
      </c>
      <c r="F67" s="18">
        <f>+[1]GRUPO!T67</f>
        <v>23.851089213601618</v>
      </c>
      <c r="G67" s="19">
        <f>+[1]GRUPO!U67</f>
        <v>21.28652068357011</v>
      </c>
      <c r="H67" s="20">
        <f>IF(G67=0,"---",IF(OR(ABS((F67-G67)/ABS(G67))&gt;2,(F67*G67)&lt;0),"---",IF(G67="0","---",((F67-G67)/ABS(G67))*100)))</f>
        <v>12.0478521039418</v>
      </c>
      <c r="J67" s="18">
        <f>+[1]GRUPO!X67</f>
        <v>27.631618202284166</v>
      </c>
      <c r="K67" s="19">
        <f>+[1]GRUPO!Y67</f>
        <v>34.192019628290048</v>
      </c>
      <c r="L67" s="20">
        <f>IF(K67=0,"---",IF(OR(ABS((J67-K67)/ABS(K67))&gt;2,(J67*K67)&lt;0),"---",IF(K67="0","---",((J67-K67)/ABS(K67))*100)))</f>
        <v>-19.186937470572484</v>
      </c>
      <c r="O67" s="17" t="str">
        <f>+IF($B$3="esp","España","Spain")</f>
        <v>Spain</v>
      </c>
      <c r="Q67" s="18">
        <f>+[1]SANTILLANA!T67</f>
        <v>31.294464726975619</v>
      </c>
      <c r="R67" s="19">
        <f>+[1]SANTILLANA!U67</f>
        <v>32.952095229297932</v>
      </c>
      <c r="S67" s="20">
        <f>IF(R67=0,"---",IF(OR(ABS((Q67-R67)/ABS(R67))&gt;2,(Q67*R67)&lt;0),"---",IF(R67="0","---",((Q67-R67)/ABS(R67))*100)))</f>
        <v>-5.0304251999384313</v>
      </c>
      <c r="U67" s="18">
        <f>+[1]SANTILLANA!X67</f>
        <v>31.134892696976706</v>
      </c>
      <c r="V67" s="19">
        <f>+[1]SANTILLANA!Y67</f>
        <v>40.830803239999213</v>
      </c>
      <c r="W67" s="20">
        <f>IF(V67=0,"---",IF(OR(ABS((U67-V67)/ABS(V67))&gt;2,(U67*V67)&lt;0),"---",IF(V67="0","---",((U67-V67)/ABS(V67))*100)))</f>
        <v>-23.746558415789554</v>
      </c>
      <c r="Z67" s="13" t="str">
        <f>+IF($B$3="esp","EBIT","EBIT")</f>
        <v>EBIT</v>
      </c>
      <c r="AA67" s="13"/>
      <c r="AB67" s="14">
        <f>+[1]RADIO!T67</f>
        <v>15.761782557076966</v>
      </c>
      <c r="AC67" s="15">
        <f>+[1]RADIO!U67</f>
        <v>11.74481578065809</v>
      </c>
      <c r="AD67" s="16">
        <f>IF(AC67=0,"---",IF(OR(ABS((AB67-AC67)/ABS(AC67))&gt;2,(AB67*AC67)&lt;0),"---",IF(AC67="0","---",((AB67-AC67)/ABS(AC67))*100)))</f>
        <v>34.202041576796837</v>
      </c>
      <c r="AF67" s="14">
        <f>+[1]RADIO!X67</f>
        <v>3.5511345305754425</v>
      </c>
      <c r="AG67" s="15">
        <f>+[1]RADIO!Y67</f>
        <v>3.6941771983559093</v>
      </c>
      <c r="AH67" s="16">
        <f>IF(AG67=0,"---",IF(OR(ABS((AF67-AG67)/ABS(AG67))&gt;2,(AF67*AG67)&lt;0),"---",IF(AG67="0","---",((AF67-AG67)/ABS(AG67))*100)))</f>
        <v>-3.8721117071516722</v>
      </c>
    </row>
    <row r="68" spans="4:34" ht="15" customHeight="1">
      <c r="D68" s="17" t="str">
        <f>+IF($B$3="esp","Internacional","International")</f>
        <v>International</v>
      </c>
      <c r="F68" s="18">
        <f>+[1]GRUPO!T68</f>
        <v>78.648452390118052</v>
      </c>
      <c r="G68" s="19">
        <f>+[1]GRUPO!U68</f>
        <v>68.526300327097672</v>
      </c>
      <c r="H68" s="20">
        <f>IF(G68=0,"---",IF(OR(ABS((F68-G68)/ABS(G68))&gt;2,(F68*G68)&lt;0),"---",IF(G68="0","---",((F68-G68)/ABS(G68))*100)))</f>
        <v>14.771192979489847</v>
      </c>
      <c r="J68" s="18">
        <f>+[1]GRUPO!X68</f>
        <v>8.82654924301319</v>
      </c>
      <c r="K68" s="19">
        <f>+[1]GRUPO!Y68</f>
        <v>24.140340207952242</v>
      </c>
      <c r="L68" s="20">
        <f>IF(K68=0,"---",IF(OR(ABS((J68-K68)/ABS(K68))&gt;2,(J68*K68)&lt;0),"---",IF(K68="0","---",((J68-K68)/ABS(K68))*100)))</f>
        <v>-63.43651677242903</v>
      </c>
      <c r="O68" s="17" t="str">
        <f>+IF($B$3="esp","Internacional","International")</f>
        <v>International</v>
      </c>
      <c r="Q68" s="18">
        <f>+[1]SANTILLANA!T68</f>
        <v>72.982719766383383</v>
      </c>
      <c r="R68" s="19">
        <f>+[1]SANTILLANA!U68</f>
        <v>62.995626855064565</v>
      </c>
      <c r="S68" s="20">
        <f>IF(R68=0,"---",IF(OR(ABS((Q68-R68)/ABS(R68))&gt;2,(Q68*R68)&lt;0),"---",IF(R68="0","---",((Q68-R68)/ABS(R68))*100)))</f>
        <v>15.853628910299353</v>
      </c>
      <c r="U68" s="18">
        <f>+[1]SANTILLANA!X68</f>
        <v>4.6593493201162914</v>
      </c>
      <c r="V68" s="19">
        <f>+[1]SANTILLANA!Y68</f>
        <v>19.781407638104881</v>
      </c>
      <c r="W68" s="20">
        <f>IF(V68=0,"---",IF(OR(ABS((U68-V68)/ABS(V68))&gt;2,(U68*V68)&lt;0),"---",IF(V68="0","---",((U68-V68)/ABS(V68))*100)))</f>
        <v>-76.445815154524198</v>
      </c>
      <c r="Z68" s="17" t="str">
        <f>+IF($B$3="esp","España","Spain")</f>
        <v>Spain</v>
      </c>
      <c r="AB68" s="18">
        <f>+[1]RADIO!T68</f>
        <v>7.8312348899998998</v>
      </c>
      <c r="AC68" s="19">
        <f>+[1]RADIO!U68</f>
        <v>5.2479723600000998</v>
      </c>
      <c r="AD68" s="20">
        <f>IF(AC68=0,"---",IF(OR(ABS((AB68-AC68)/ABS(AC68))&gt;2,(AB68*AC68)&lt;0),"---",IF(AC68="0","---",((AB68-AC68)/ABS(AC68))*100)))</f>
        <v>49.224011728593609</v>
      </c>
      <c r="AF68" s="18">
        <f>+[1]RADIO!X68</f>
        <v>-1.43666144</v>
      </c>
      <c r="AG68" s="19">
        <f>+[1]RADIO!Y68</f>
        <v>-0.72678615999989926</v>
      </c>
      <c r="AH68" s="20">
        <f>IF(AG68=0,"---",IF(OR(ABS((AF68-AG68)/ABS(AG68))&gt;2,(AF68*AG68)&lt;0),"---",IF(AG68="0","---",((AF68-AG68)/ABS(AG68))*100)))</f>
        <v>-97.673197299216469</v>
      </c>
    </row>
    <row r="69" spans="4:34" ht="15" customHeight="1">
      <c r="D69" s="26" t="str">
        <f>+IF($B$3="esp","Portugal","Portugal")</f>
        <v>Portugal</v>
      </c>
      <c r="F69" s="18">
        <f>+[1]GRUPO!T69</f>
        <v>-3.3568999999999301E-2</v>
      </c>
      <c r="G69" s="19">
        <f>+[1]GRUPO!U69</f>
        <v>0.32819299999999996</v>
      </c>
      <c r="H69" s="20" t="str">
        <f>IF(G69=0,"---",IF(OR(ABS((F69-G69)/ABS(G69))&gt;2,(F69*G69)&lt;0),"---",IF(G69="0","---",((F69-G69)/ABS(G69))*100)))</f>
        <v>---</v>
      </c>
      <c r="J69" s="18">
        <f>+[1]GRUPO!X69</f>
        <v>1.4938460000000007</v>
      </c>
      <c r="K69" s="19">
        <f>+[1]GRUPO!Y69</f>
        <v>2.5250279999999998</v>
      </c>
      <c r="L69" s="20">
        <f>IF(K69=0,"---",IF(OR(ABS((J69-K69)/ABS(K69))&gt;2,(J69*K69)&lt;0),"---",IF(K69="0","---",((J69-K69)/ABS(K69))*100)))</f>
        <v>-40.838438227219626</v>
      </c>
      <c r="O69" s="26" t="str">
        <f>+IF($B$3="esp","Portugal","Portugal")</f>
        <v>Portugal</v>
      </c>
      <c r="Q69" s="18">
        <f>+[1]SANTILLANA!T69</f>
        <v>-3.3568999999998801E-2</v>
      </c>
      <c r="R69" s="19">
        <f>+[1]SANTILLANA!U69</f>
        <v>0.32819299999999996</v>
      </c>
      <c r="S69" s="20" t="str">
        <f>IF(R69=0,"---",IF(OR(ABS((Q69-R69)/ABS(R69))&gt;2,(Q69*R69)&lt;0),"---",IF(R69="0","---",((Q69-R69)/ABS(R69))*100)))</f>
        <v>---</v>
      </c>
      <c r="U69" s="18">
        <f>+[1]SANTILLANA!X69</f>
        <v>1.4938460000000011</v>
      </c>
      <c r="V69" s="19">
        <f>+[1]SANTILLANA!Y69</f>
        <v>2.5250279999999998</v>
      </c>
      <c r="W69" s="20">
        <f>IF(V69=0,"---",IF(OR(ABS((U69-V69)/ABS(V69))&gt;2,(U69*V69)&lt;0),"---",IF(V69="0","---",((U69-V69)/ABS(V69))*100)))</f>
        <v>-40.838438227219612</v>
      </c>
      <c r="Z69" s="17" t="str">
        <f>+IF($B$3="esp","Latam","Latam")</f>
        <v>Latam</v>
      </c>
      <c r="AB69" s="18">
        <f>+[1]RADIO!T69</f>
        <v>9.8852484344537661</v>
      </c>
      <c r="AC69" s="19">
        <f>+[1]RADIO!U69</f>
        <v>8.7103107039357699</v>
      </c>
      <c r="AD69" s="20">
        <f>IF(AC69=0,"---",IF(OR(ABS((AB69-AC69)/ABS(AC69))&gt;2,(AB69*AC69)&lt;0),"---",IF(AC69="0","---",((AB69-AC69)/ABS(AC69))*100)))</f>
        <v>13.489045000278791</v>
      </c>
      <c r="AF69" s="18">
        <f>+[1]RADIO!X69</f>
        <v>5.7542537710480319</v>
      </c>
      <c r="AG69" s="19">
        <f>+[1]RADIO!Y69</f>
        <v>4.8862929066958003</v>
      </c>
      <c r="AH69" s="20">
        <f>IF(AG69=0,"---",IF(OR(ABS((AF69-AG69)/ABS(AG69))&gt;2,(AF69*AG69)&lt;0),"---",IF(AG69="0","---",((AF69-AG69)/ABS(AG69))*100)))</f>
        <v>17.763177135018754</v>
      </c>
    </row>
    <row r="70" spans="4:34" ht="15" customHeight="1">
      <c r="D70" s="26" t="str">
        <f>+IF($B$3="esp","Latam","Latam")</f>
        <v>Latam</v>
      </c>
      <c r="F70" s="18">
        <f>+[1]GRUPO!T70</f>
        <v>78.682021390118052</v>
      </c>
      <c r="G70" s="19">
        <f>+[1]GRUPO!U70</f>
        <v>68.198107327097674</v>
      </c>
      <c r="H70" s="20">
        <f>IF(G70=0,"---",IF(OR(ABS((F70-G70)/ABS(G70))&gt;2,(F70*G70)&lt;0),"---",IF(G70="0","---",((F70-G70)/ABS(G70))*100)))</f>
        <v>15.372734631382833</v>
      </c>
      <c r="J70" s="18">
        <f>+[1]GRUPO!X70</f>
        <v>7.3327032430131993</v>
      </c>
      <c r="K70" s="19">
        <f>+[1]GRUPO!Y70</f>
        <v>21.61531220795225</v>
      </c>
      <c r="L70" s="20">
        <f>IF(K70=0,"---",IF(OR(ABS((J70-K70)/ABS(K70))&gt;2,(J70*K70)&lt;0),"---",IF(K70="0","---",((J70-K70)/ABS(K70))*100)))</f>
        <v>-66.076348227274252</v>
      </c>
      <c r="O70" s="26" t="str">
        <f>+IF($B$3="esp","Latam","Latam")</f>
        <v>Latam</v>
      </c>
      <c r="Q70" s="18">
        <f>+[1]SANTILLANA!T70</f>
        <v>73.016288766383383</v>
      </c>
      <c r="R70" s="19">
        <f>+[1]SANTILLANA!U70</f>
        <v>62.667433855064566</v>
      </c>
      <c r="S70" s="20">
        <f>IF(R70=0,"---",IF(OR(ABS((Q70-R70)/ABS(R70))&gt;2,(Q70*R70)&lt;0),"---",IF(R70="0","---",((Q70-R70)/ABS(R70))*100)))</f>
        <v>16.51392800805176</v>
      </c>
      <c r="U70" s="18">
        <f>+[1]SANTILLANA!X70</f>
        <v>3.1655033201162865</v>
      </c>
      <c r="V70" s="19">
        <f>+[1]SANTILLANA!Y70</f>
        <v>17.256379638104882</v>
      </c>
      <c r="W70" s="20">
        <f>IF(V70=0,"---",IF(OR(ABS((U70-V70)/ABS(V70))&gt;2,(U70*V70)&lt;0),"---",IF(V70="0","---",((U70-V70)/ABS(V70))*100)))</f>
        <v>-81.656040336952586</v>
      </c>
      <c r="Z70" s="17" t="str">
        <f>+IF($B$3="esp","Música","Music")</f>
        <v>Music</v>
      </c>
      <c r="AB70" s="18">
        <f>+[1]RADIO!T70</f>
        <v>-1.9547007673768402</v>
      </c>
      <c r="AC70" s="19">
        <f>+[1]RADIO!U70</f>
        <v>-2.2107390832774998</v>
      </c>
      <c r="AD70" s="20">
        <f>IF(AC70=0,"---",IF(OR(ABS((AB70-AC70)/ABS(AC70))&gt;2,(AB70*AC70)&lt;0),"---",IF(AC70="0","---",((AB70-AC70)/ABS(AC70))*100)))</f>
        <v>11.58157097042287</v>
      </c>
      <c r="AF70" s="18">
        <f>+[1]RADIO!X70</f>
        <v>-0.76645780047268008</v>
      </c>
      <c r="AG70" s="19">
        <f>+[1]RADIO!Y70</f>
        <v>-0.46423716833951967</v>
      </c>
      <c r="AH70" s="20">
        <f>IF(AG70=0,"---",IF(OR(ABS((AF70-AG70)/ABS(AG70))&gt;2,(AF70*AG70)&lt;0),"---",IF(AG70="0","---",((AF70-AG70)/ABS(AG70))*100)))</f>
        <v>-65.100481552164624</v>
      </c>
    </row>
    <row r="71" spans="4:34" s="22" customFormat="1" ht="15" customHeight="1">
      <c r="D71" s="21" t="str">
        <f>+IF($B$3="esp","Margen EBIT ","EBIT Margin")</f>
        <v>EBIT Margin</v>
      </c>
      <c r="F71" s="27">
        <f>+F66/F50</f>
        <v>0.11470391670402423</v>
      </c>
      <c r="G71" s="28">
        <f>+G66/G50</f>
        <v>0.1000804360065595</v>
      </c>
      <c r="H71" s="29"/>
      <c r="J71" s="27">
        <f>+J66/J50</f>
        <v>0.11486032260700507</v>
      </c>
      <c r="K71" s="28">
        <f>+K66/K50</f>
        <v>0.1629016410639452</v>
      </c>
      <c r="L71" s="29"/>
      <c r="O71" s="21" t="str">
        <f>+IF($B$3="esp","Margen EBIT ","EBIT Margin")</f>
        <v>EBIT Margin</v>
      </c>
      <c r="Q71" s="27">
        <f>+Q66/Q50</f>
        <v>0.1995318735203479</v>
      </c>
      <c r="R71" s="28">
        <f>+R66/R50</f>
        <v>0.18683781244301581</v>
      </c>
      <c r="S71" s="29"/>
      <c r="U71" s="27">
        <f>+U66/U50</f>
        <v>0.18394917367481231</v>
      </c>
      <c r="V71" s="28">
        <f>+V66/V50</f>
        <v>0.25905516969406989</v>
      </c>
      <c r="W71" s="29"/>
      <c r="Z71" s="17" t="str">
        <f>+IF($B$3="esp","Ajustes y Otros","Adjustments &amp; others")</f>
        <v>Adjustments &amp; others</v>
      </c>
      <c r="AA71" s="1"/>
      <c r="AB71" s="18">
        <f>+[1]RADIO!T71</f>
        <v>1.4033219031261979E-13</v>
      </c>
      <c r="AC71" s="19">
        <f>+[1]RADIO!U71</f>
        <v>-2.7282000002797346E-3</v>
      </c>
      <c r="AD71" s="20" t="str">
        <f>IF(AC71=0,"---",IF(OR(ABS((AB71-AC71)/ABS(AC71))&gt;2,(AB71*AC71)&lt;0),"---",IF(AC71="0","---",((AB71-AC71)/ABS(AC71))*100)))</f>
        <v>---</v>
      </c>
      <c r="AF71" s="18">
        <f>+[1]RADIO!X71</f>
        <v>9.0594198809412774E-14</v>
      </c>
      <c r="AG71" s="19">
        <f>+[1]RADIO!Y71</f>
        <v>-1.0923800004720707E-3</v>
      </c>
      <c r="AH71" s="20" t="str">
        <f>IF(AG71=0,"---",IF(OR(ABS((AF71-AG71)/ABS(AG71))&gt;2,(AF71*AG71)&lt;0),"---",IF(AG71="0","---",((AF71-AG71)/ABS(AG71))*100)))</f>
        <v>---</v>
      </c>
    </row>
    <row r="72" spans="4:34" s="13" customFormat="1" ht="15" customHeight="1">
      <c r="D72" s="13" t="str">
        <f>+IF($B$3="esp","Resultado Financiero","Financial Result")</f>
        <v>Financial Result</v>
      </c>
      <c r="F72" s="14">
        <f>+[1]GRUPO!T72</f>
        <v>-36.986601461907796</v>
      </c>
      <c r="G72" s="15">
        <f>+[1]GRUPO!U72</f>
        <v>-41.706810535405602</v>
      </c>
      <c r="H72" s="16">
        <f t="shared" ref="H72:H80" si="20">IF(G72=0,"---",IF(OR(ABS((F72-G72)/ABS(G72))&gt;2,(F72*G72)&lt;0),"---",IF(G72="0","---",((F72-G72)/ABS(G72))*100)))</f>
        <v>11.317597804537803</v>
      </c>
      <c r="J72" s="14">
        <f>+[1]GRUPO!X72</f>
        <v>-13.035501395405696</v>
      </c>
      <c r="K72" s="15">
        <f>+[1]GRUPO!Y72</f>
        <v>-18.1200056881781</v>
      </c>
      <c r="L72" s="16">
        <f t="shared" ref="L72:L80" si="21">IF(K72=0,"---",IF(OR(ABS((J72-K72)/ABS(K72))&gt;2,(J72*K72)&lt;0),"---",IF(K72="0","---",((J72-K72)/ABS(K72))*100)))</f>
        <v>28.060169407615859</v>
      </c>
      <c r="O72" s="1"/>
      <c r="P72" s="1"/>
      <c r="Q72" s="1"/>
      <c r="R72" s="1"/>
      <c r="S72" s="1"/>
      <c r="U72" s="1"/>
      <c r="V72" s="1"/>
      <c r="W72" s="1"/>
      <c r="Z72" s="21" t="str">
        <f>+IF($B$3="esp","Margen EBIT ","EBIT Margin")</f>
        <v>EBIT Margin</v>
      </c>
      <c r="AA72" s="22"/>
      <c r="AB72" s="27">
        <f>+AB67/AB50</f>
        <v>7.7712760063687616E-2</v>
      </c>
      <c r="AC72" s="28">
        <f>+AC67/AC50</f>
        <v>5.6534262220906753E-2</v>
      </c>
      <c r="AD72" s="29"/>
      <c r="AF72" s="27">
        <f>+AF67/AF50</f>
        <v>5.3761788809878842E-2</v>
      </c>
      <c r="AG72" s="28">
        <f>+AG67/AG50</f>
        <v>5.2814083038267373E-2</v>
      </c>
      <c r="AH72" s="29"/>
    </row>
    <row r="73" spans="4:34" ht="15" customHeight="1">
      <c r="D73" s="17" t="str">
        <f>+IF($B$3="esp","Gastos por intereses de financiación","Interests on debt")</f>
        <v>Interests on debt</v>
      </c>
      <c r="F73" s="18">
        <f>+[1]GRUPO!T73</f>
        <v>-37.241737349037599</v>
      </c>
      <c r="G73" s="19">
        <f>+[1]GRUPO!U73</f>
        <v>-42.421405587266101</v>
      </c>
      <c r="H73" s="20">
        <f t="shared" si="20"/>
        <v>12.210034454358851</v>
      </c>
      <c r="J73" s="18">
        <f>+[1]GRUPO!X73</f>
        <v>-12.174317069312302</v>
      </c>
      <c r="K73" s="19">
        <f>+[1]GRUPO!Y73</f>
        <v>-13.189561496703899</v>
      </c>
      <c r="L73" s="20">
        <f t="shared" si="21"/>
        <v>7.6973326796748216</v>
      </c>
    </row>
    <row r="74" spans="4:34" ht="15" customHeight="1">
      <c r="D74" s="17" t="str">
        <f>+IF($B$3="esp","Otros resultados financieros","Other financial results")</f>
        <v>Other financial results</v>
      </c>
      <c r="F74" s="18">
        <f>+[1]GRUPO!T74</f>
        <v>0.25513588712980351</v>
      </c>
      <c r="G74" s="19">
        <f>+[1]GRUPO!U74</f>
        <v>0.7145950518604991</v>
      </c>
      <c r="H74" s="20">
        <f t="shared" si="20"/>
        <v>-64.296438036404098</v>
      </c>
      <c r="J74" s="18">
        <f>+[1]GRUPO!X74</f>
        <v>-0.86118432609339379</v>
      </c>
      <c r="K74" s="19">
        <f>+[1]GRUPO!Y74</f>
        <v>-4.9304441914742014</v>
      </c>
      <c r="L74" s="20">
        <f t="shared" si="21"/>
        <v>82.53333183280796</v>
      </c>
    </row>
    <row r="75" spans="4:34" s="13" customFormat="1" ht="15" customHeight="1">
      <c r="D75" s="13" t="str">
        <f>+IF($B$3="esp","Resultado puesta en equivalencia","Result from associates")</f>
        <v>Result from associates</v>
      </c>
      <c r="F75" s="14">
        <f>+[1]GRUPO!T75</f>
        <v>1.6203167378905201</v>
      </c>
      <c r="G75" s="15">
        <f>+[1]GRUPO!U75</f>
        <v>2.8639747220285399</v>
      </c>
      <c r="H75" s="16">
        <f t="shared" si="20"/>
        <v>-43.424195561933679</v>
      </c>
      <c r="J75" s="14">
        <f>+[1]GRUPO!X75</f>
        <v>1.0639345741247941</v>
      </c>
      <c r="K75" s="15">
        <f>+[1]GRUPO!Y75</f>
        <v>0.94345293608039982</v>
      </c>
      <c r="L75" s="16">
        <f t="shared" si="21"/>
        <v>12.770285982143257</v>
      </c>
    </row>
    <row r="76" spans="4:34" s="13" customFormat="1" ht="15" customHeight="1">
      <c r="D76" s="13" t="str">
        <f>+IF($B$3="esp","Resultado antes de impuestos","Profit before tax")</f>
        <v>Profit before tax</v>
      </c>
      <c r="F76" s="14">
        <f>+[1]GRUPO!T76</f>
        <v>67.133256879702387</v>
      </c>
      <c r="G76" s="15">
        <f>+[1]GRUPO!U76</f>
        <v>50.969985197290725</v>
      </c>
      <c r="H76" s="16">
        <f t="shared" si="20"/>
        <v>31.711352514324076</v>
      </c>
      <c r="J76" s="14">
        <f>+[1]GRUPO!X76</f>
        <v>24.486600624016447</v>
      </c>
      <c r="K76" s="15">
        <f>+[1]GRUPO!Y76</f>
        <v>41.155807084144598</v>
      </c>
      <c r="L76" s="16">
        <f t="shared" si="21"/>
        <v>-40.502683925131954</v>
      </c>
    </row>
    <row r="77" spans="4:34" ht="15" customHeight="1">
      <c r="D77" s="17" t="str">
        <f>+IF($B$3="esp","Impuesto sobre sociedades","Income tax expense")</f>
        <v>Income tax expense</v>
      </c>
      <c r="F77" s="18">
        <f>+[1]GRUPO!T77</f>
        <v>36.635255943711698</v>
      </c>
      <c r="G77" s="19">
        <f>+[1]GRUPO!U77</f>
        <v>26.194568257046928</v>
      </c>
      <c r="H77" s="20">
        <f t="shared" si="20"/>
        <v>39.858216345505106</v>
      </c>
      <c r="J77" s="18">
        <f>+[1]GRUPO!X77</f>
        <v>14.406767509854486</v>
      </c>
      <c r="K77" s="19">
        <f>+[1]GRUPO!Y77</f>
        <v>11.180633169906178</v>
      </c>
      <c r="L77" s="20">
        <f t="shared" si="21"/>
        <v>28.854665839782484</v>
      </c>
    </row>
    <row r="78" spans="4:34" s="13" customFormat="1" ht="15" customHeight="1">
      <c r="D78" s="13" t="str">
        <f>+IF($B$3="esp","Resultado operaciones en discontinuación","Results from discontinued activities")</f>
        <v>Results from discontinued activities</v>
      </c>
      <c r="F78" s="14">
        <f>+[1]GRUPO!T78</f>
        <v>65.428151420626904</v>
      </c>
      <c r="G78" s="15">
        <f>+[1]GRUPO!U78</f>
        <v>-9.6431978127667008</v>
      </c>
      <c r="H78" s="16" t="str">
        <f t="shared" si="20"/>
        <v>---</v>
      </c>
      <c r="J78" s="14">
        <f>+[1]GRUPO!X78</f>
        <v>73.095795047531297</v>
      </c>
      <c r="K78" s="15">
        <f>+[1]GRUPO!Y78</f>
        <v>-1.5786804692650609</v>
      </c>
      <c r="L78" s="16" t="str">
        <f t="shared" si="21"/>
        <v>---</v>
      </c>
    </row>
    <row r="79" spans="4:34" s="13" customFormat="1" ht="15" customHeight="1">
      <c r="D79" s="13" t="str">
        <f>+IF($B$3="esp","Resultado atribuido a socios externos","Minority interest")</f>
        <v>Minority interest</v>
      </c>
      <c r="F79" s="14">
        <f>+[1]GRUPO!T79</f>
        <v>-20.062215705848001</v>
      </c>
      <c r="G79" s="15">
        <f>+[1]GRUPO!U79</f>
        <v>-20.464968373102501</v>
      </c>
      <c r="H79" s="16">
        <f t="shared" si="20"/>
        <v>1.9680102109703019</v>
      </c>
      <c r="J79" s="14">
        <f>+[1]GRUPO!X79</f>
        <v>-5.8758639610739003</v>
      </c>
      <c r="K79" s="15">
        <f>+[1]GRUPO!Y79</f>
        <v>-7.1158225041045</v>
      </c>
      <c r="L79" s="16">
        <f t="shared" si="21"/>
        <v>17.425372011673637</v>
      </c>
    </row>
    <row r="80" spans="4:34" s="13" customFormat="1" ht="15" customHeight="1">
      <c r="D80" s="13" t="str">
        <f>+IF($B$3="esp","Resultado Neto","Net Profit")</f>
        <v>Net Profit</v>
      </c>
      <c r="F80" s="14">
        <f>+[1]GRUPO!T80</f>
        <v>-54.992366317109337</v>
      </c>
      <c r="G80" s="15">
        <f>+[1]GRUPO!U80</f>
        <v>13.953875865635556</v>
      </c>
      <c r="H80" s="16" t="str">
        <f t="shared" si="20"/>
        <v>---</v>
      </c>
      <c r="J80" s="14">
        <f>+[1]GRUPO!X80</f>
        <v>-68.891826019751448</v>
      </c>
      <c r="K80" s="15">
        <f>+[1]GRUPO!Y80</f>
        <v>24.438031879398778</v>
      </c>
      <c r="L80" s="16" t="str">
        <f t="shared" si="21"/>
        <v>---</v>
      </c>
    </row>
    <row r="83" spans="4:56"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B83" s="35"/>
      <c r="BC83" s="35"/>
      <c r="BD83" s="35"/>
    </row>
    <row r="86" spans="4:56">
      <c r="D86" s="9" t="str">
        <f>+IF($B$3="esp","Millones de €","€ Millions")</f>
        <v>€ Millions</v>
      </c>
      <c r="F86" s="10">
        <v>2017</v>
      </c>
      <c r="G86" s="10">
        <v>2016</v>
      </c>
      <c r="H86" s="10" t="str">
        <f>+IF($B$3="esp","Var.%","% Chg.")</f>
        <v>% Chg.</v>
      </c>
      <c r="J86" s="10">
        <v>2017</v>
      </c>
      <c r="K86" s="10">
        <v>2016</v>
      </c>
      <c r="L86" s="10" t="str">
        <f>+IF($B$3="esp","Var.%","% Chg.")</f>
        <v>% Chg.</v>
      </c>
      <c r="O86" s="9" t="str">
        <f>+IF($B$3="esp","Millones de €","€ Millions")</f>
        <v>€ Millions</v>
      </c>
      <c r="Q86" s="10">
        <v>2017</v>
      </c>
      <c r="R86" s="10">
        <v>2016</v>
      </c>
      <c r="S86" s="10" t="str">
        <f>+IF($B$3="esp","Var.%","% Chg.")</f>
        <v>% Chg.</v>
      </c>
      <c r="U86" s="10">
        <v>2017</v>
      </c>
      <c r="V86" s="10">
        <v>2016</v>
      </c>
      <c r="W86" s="10" t="str">
        <f>+IF($B$3="esp","Var.%","% Chg.")</f>
        <v>% Chg.</v>
      </c>
      <c r="Z86" s="9" t="str">
        <f>+IF($B$3="esp","Millones de €","€ Millions")</f>
        <v>€ Millions</v>
      </c>
      <c r="AB86" s="10">
        <v>2017</v>
      </c>
      <c r="AC86" s="10">
        <v>2016</v>
      </c>
      <c r="AD86" s="10" t="str">
        <f>+IF($B$3="esp","Var.%","% Chg.")</f>
        <v>% Chg.</v>
      </c>
      <c r="AF86" s="10">
        <v>2017</v>
      </c>
      <c r="AG86" s="10">
        <v>2016</v>
      </c>
      <c r="AH86" s="10" t="str">
        <f>+IF($B$3="esp","Var.%","% Chg.")</f>
        <v>% Chg.</v>
      </c>
      <c r="AK86" s="9" t="str">
        <f>+IF($B$3="esp","Millones de €","€ Millions")</f>
        <v>€ Millions</v>
      </c>
      <c r="AM86" s="10">
        <v>2017</v>
      </c>
      <c r="AN86" s="10">
        <v>2016</v>
      </c>
      <c r="AO86" s="10" t="str">
        <f>+IF($B$3="esp","Var.%","% Chg.")</f>
        <v>% Chg.</v>
      </c>
      <c r="AQ86" s="10">
        <v>2017</v>
      </c>
      <c r="AR86" s="10">
        <v>2016</v>
      </c>
      <c r="AS86" s="10" t="str">
        <f>+IF($B$3="esp","Var.%","% Chg.")</f>
        <v>% Chg.</v>
      </c>
      <c r="AV86" s="9" t="str">
        <f>+IF($B$3="esp","Millones de €","€ Millions")</f>
        <v>€ Millions</v>
      </c>
      <c r="AX86" s="10">
        <v>2017</v>
      </c>
      <c r="AY86" s="10">
        <v>2016</v>
      </c>
      <c r="AZ86" s="10" t="str">
        <f>+IF($B$3="esp","Var.%","% Chg.")</f>
        <v>% Chg.</v>
      </c>
      <c r="BB86" s="10">
        <v>2017</v>
      </c>
      <c r="BC86" s="10">
        <v>2016</v>
      </c>
      <c r="BD86" s="10" t="str">
        <f>+IF($B$3="esp","Var.%","% Chg.")</f>
        <v>% Chg.</v>
      </c>
    </row>
    <row r="87" spans="4:56" ht="15.75" customHeight="1">
      <c r="D87" s="11" t="str">
        <f>+IF($B$3="esp","Efectos Extraordinarios","Extraordinary Effects")</f>
        <v>Extraordinary Effects</v>
      </c>
      <c r="F87" s="12"/>
      <c r="G87" s="12"/>
      <c r="H87" s="12"/>
      <c r="J87" s="12"/>
      <c r="K87" s="12"/>
      <c r="L87" s="12"/>
      <c r="O87" s="11" t="str">
        <f>+IF($B$3="esp","Efectos Extraordinarios","Extraordinary Effects")</f>
        <v>Extraordinary Effects</v>
      </c>
      <c r="Q87" s="12"/>
      <c r="R87" s="12"/>
      <c r="S87" s="12"/>
      <c r="U87" s="12"/>
      <c r="V87" s="12"/>
      <c r="W87" s="12"/>
      <c r="Z87" s="11" t="str">
        <f>+IF($B$3="esp","Efectos Extraordinarios","Extraordinary Effects")</f>
        <v>Extraordinary Effects</v>
      </c>
      <c r="AB87" s="12"/>
      <c r="AC87" s="12"/>
      <c r="AD87" s="12"/>
      <c r="AF87" s="12"/>
      <c r="AG87" s="12"/>
      <c r="AH87" s="12"/>
      <c r="AK87" s="11" t="str">
        <f>+IF($B$3="esp","Efectos Extraordinarios","Extraordinary Effects")</f>
        <v>Extraordinary Effects</v>
      </c>
      <c r="AM87" s="12"/>
      <c r="AN87" s="12"/>
      <c r="AO87" s="12"/>
      <c r="AQ87" s="12"/>
      <c r="AR87" s="12"/>
      <c r="AS87" s="12"/>
      <c r="AV87" s="11" t="str">
        <f>+IF($B$3="esp","Efectos Extraordinarios","Extraordinary Effects")</f>
        <v>Extraordinary Effects</v>
      </c>
      <c r="AX87" s="12"/>
      <c r="AY87" s="12"/>
      <c r="AZ87" s="12"/>
      <c r="BB87" s="12"/>
      <c r="BC87" s="12"/>
      <c r="BD87" s="12"/>
    </row>
    <row r="88" spans="4:56" s="13" customFormat="1" ht="15" customHeight="1">
      <c r="D88" s="13" t="str">
        <f>+IF($B$3="esp","Efectos extraordinarios en Ingresos","One-offs in Operating Revenues")</f>
        <v>One-offs in Operating Revenues</v>
      </c>
      <c r="F88" s="14">
        <f>+[1]GRUPO!T90</f>
        <v>19.440996423379101</v>
      </c>
      <c r="G88" s="15">
        <f>+[1]GRUPO!U90</f>
        <v>14.518259689345316</v>
      </c>
      <c r="H88" s="16">
        <f>IF(G88=0,"---",IF(OR(ABS((F88-G88)/ABS(G88))&gt;2,(F88*G88)&lt;0),"---",IF(G88="0","---",((F88-G88)/ABS(G88))*100)))</f>
        <v>33.907209537286974</v>
      </c>
      <c r="J88" s="14">
        <f>+[1]GRUPO!X90</f>
        <v>9.4266896273367955</v>
      </c>
      <c r="K88" s="15">
        <f>+[1]GRUPO!Y90</f>
        <v>4.7608307169530804</v>
      </c>
      <c r="L88" s="16">
        <f>IF(K88=0,"---",IF(OR(ABS((J88-K88)/ABS(K88))&gt;2,(J88*K88)&lt;0),"---",IF(K88="0","---",((J88-K88)/ABS(K88))*100)))</f>
        <v>98.005142122966589</v>
      </c>
      <c r="O88" s="13" t="str">
        <f>+IF($B$3="esp","Efectos extraordinarios en Ingresos","One-offs in Operating Revenues")</f>
        <v>One-offs in Operating Revenues</v>
      </c>
      <c r="Q88" s="14">
        <f>+[1]SANTILLANA!T79</f>
        <v>0</v>
      </c>
      <c r="R88" s="15">
        <f>+[1]SANTILLANA!U79</f>
        <v>0</v>
      </c>
      <c r="S88" s="16" t="str">
        <f>IF(R88=0,"---",IF(OR(ABS((Q88-R88)/ABS(R88))&gt;2,(Q88*R88)&lt;0),"---",IF(R88="0","---",((Q88-R88)/ABS(R88))*100)))</f>
        <v>---</v>
      </c>
      <c r="U88" s="14">
        <f>+[1]SANTILLANA!X79</f>
        <v>0</v>
      </c>
      <c r="V88" s="15">
        <f>+[1]SANTILLANA!Y79</f>
        <v>0</v>
      </c>
      <c r="W88" s="16" t="str">
        <f>IF(V88=0,"---",IF(OR(ABS((U88-V88)/ABS(V88))&gt;2,(U88*V88)&lt;0),"---",IF(V88="0","---",((U88-V88)/ABS(V88))*100)))</f>
        <v>---</v>
      </c>
      <c r="Z88" s="13" t="str">
        <f>+IF($B$3="esp","Efectos extraordinarios en Ingresos","One-offs in Operating Revenues")</f>
        <v>One-offs in Operating Revenues</v>
      </c>
      <c r="AB88" s="14">
        <f>+[1]RADIO!T80</f>
        <v>14.8074904233791</v>
      </c>
      <c r="AC88" s="15">
        <f>+[1]RADIO!U80</f>
        <v>14.518259689345316</v>
      </c>
      <c r="AD88" s="16">
        <f>IF(AC88=0,"---",IF(OR(ABS((AB88-AC88)/ABS(AC88))&gt;2,(AB88*AC88)&lt;0),"---",IF(AC88="0","---",((AB88-AC88)/ABS(AC88))*100)))</f>
        <v>1.9921859797427777</v>
      </c>
      <c r="AF88" s="14">
        <f>+[1]RADIO!X80</f>
        <v>4.7931836273367949</v>
      </c>
      <c r="AG88" s="15">
        <f>+[1]RADIO!Y80</f>
        <v>4.7608307169530804</v>
      </c>
      <c r="AH88" s="16">
        <f>IF(AG88=0,"---",IF(OR(ABS((AF88-AG88)/ABS(AG88))&gt;2,(AF88*AG88)&lt;0),"---",IF(AG88="0","---",((AF88-AG88)/ABS(AG88))*100)))</f>
        <v>0.67956439342628738</v>
      </c>
      <c r="AK88" s="13" t="str">
        <f>+IF($B$3="esp","Efectos extraordinarios en Ingresos","One-offs in Operating Revenues")</f>
        <v>One-offs in Operating Revenues</v>
      </c>
      <c r="AM88" s="14">
        <f>+[1]NOTICIAS!T38</f>
        <v>0</v>
      </c>
      <c r="AN88" s="15">
        <f>+[1]NOTICIAS!U38</f>
        <v>0</v>
      </c>
      <c r="AO88" s="16" t="str">
        <f>IF(AN88=0,"---",IF(OR(ABS((AM88-AN88)/ABS(AN88))&gt;2,(AM88*AN88)&lt;0),"---",IF(AN88="0","---",((AM88-AN88)/ABS(AN88))*100)))</f>
        <v>---</v>
      </c>
      <c r="AQ88" s="14">
        <f>+[1]NOTICIAS!X38</f>
        <v>0</v>
      </c>
      <c r="AR88" s="15">
        <f>+[1]NOTICIAS!Y38</f>
        <v>0</v>
      </c>
      <c r="AS88" s="16" t="str">
        <f>IF(AR88=0,"---",IF(OR(ABS((AQ88-AR88)/ABS(AR88))&gt;2,(AQ88*AR88)&lt;0),"---",IF(AR88="0","---",((AQ88-AR88)/ABS(AR88))*100)))</f>
        <v>---</v>
      </c>
      <c r="AV88" s="13" t="str">
        <f>+IF($B$3="esp","Efectos extraordinarios en Ingresos","One-offs in Operating Revenues")</f>
        <v>One-offs in Operating Revenues</v>
      </c>
      <c r="AX88" s="14">
        <f>+'[1]MEDIA CAPITAL'!T36</f>
        <v>0</v>
      </c>
      <c r="AY88" s="15">
        <f>+'[1]MEDIA CAPITAL'!U36</f>
        <v>0</v>
      </c>
      <c r="AZ88" s="16" t="str">
        <f t="shared" ref="AZ88:AZ105" si="22">IF(AY88=0,"---",IF(OR(ABS((AX88-AY88)/ABS(AY88))&gt;2,(AX88*AY88)&lt;0),"---",IF(AY88="0","---",((AX88-AY88)/ABS(AY88))*100)))</f>
        <v>---</v>
      </c>
      <c r="BB88" s="14">
        <f>+'[1]MEDIA CAPITAL'!X36</f>
        <v>0</v>
      </c>
      <c r="BC88" s="15">
        <f>+'[1]MEDIA CAPITAL'!Y36</f>
        <v>0</v>
      </c>
      <c r="BD88" s="16" t="str">
        <f t="shared" ref="BD88:BD105" si="23">IF(BC88=0,"---",IF(OR(ABS((BB88-BC88)/ABS(BC88))&gt;2,(BB88*BC88)&lt;0),"---",IF(BC88="0","---",((BB88-BC88)/ABS(BC88))*100)))</f>
        <v>---</v>
      </c>
    </row>
    <row r="89" spans="4:56" ht="15" customHeight="1">
      <c r="D89" s="17" t="str">
        <f>+IF($B$3="esp","Ajuste perímetro consolidación MX&amp;CR","Consolidation perimeter adjustment MX&amp;CR")</f>
        <v>Consolidation perimeter adjustment MX&amp;CR</v>
      </c>
      <c r="F89" s="18">
        <f>+[1]GRUPO!T91</f>
        <v>14.8074904233791</v>
      </c>
      <c r="G89" s="19">
        <f>+[1]GRUPO!U91</f>
        <v>14.518259689345316</v>
      </c>
      <c r="H89" s="20">
        <f>IF(G89=0,"---",IF(OR(ABS((F89-G89)/ABS(G89))&gt;2,(F89*G89)&lt;0),"---",IF(G89="0","---",((F89-G89)/ABS(G89))*100)))</f>
        <v>1.9921859797427777</v>
      </c>
      <c r="J89" s="18">
        <f>+[1]GRUPO!X91</f>
        <v>4.7931836273367949</v>
      </c>
      <c r="K89" s="19">
        <f>+[1]GRUPO!Y91</f>
        <v>4.7608307169530804</v>
      </c>
      <c r="L89" s="20">
        <f>IF(K89=0,"---",IF(OR(ABS((J89-K89)/ABS(K89))&gt;2,(J89*K89)&lt;0),"---",IF(K89="0","---",((J89-K89)/ABS(K89))*100)))</f>
        <v>0.67956439342628738</v>
      </c>
      <c r="O89" s="17"/>
      <c r="Q89" s="18"/>
      <c r="R89" s="19"/>
      <c r="S89" s="20" t="str">
        <f>IF(R89=0,"---",IF(OR(ABS((Q89-R89)/ABS(R89))&gt;2,(Q89*R89)&lt;0),"---",IF(R89="0","---",((Q89-R89)/ABS(R89))*100)))</f>
        <v>---</v>
      </c>
      <c r="U89" s="18"/>
      <c r="V89" s="19"/>
      <c r="W89" s="20" t="str">
        <f>IF(V89=0,"---",IF(OR(ABS((U89-V89)/ABS(V89))&gt;2,(U89*V89)&lt;0),"---",IF(V89="0","---",((U89-V89)/ABS(V89))*100)))</f>
        <v>---</v>
      </c>
      <c r="Z89" s="17" t="str">
        <f>+IF($B$3="esp","Ajuste perímetro consolidación MX&amp;CR","Consolidation perimeter adjustment MX&amp;CR")</f>
        <v>Consolidation perimeter adjustment MX&amp;CR</v>
      </c>
      <c r="AB89" s="18">
        <f>+[1]RADIO!T81</f>
        <v>14.8074904233791</v>
      </c>
      <c r="AC89" s="19">
        <f>+[1]RADIO!U81</f>
        <v>14.518259689345316</v>
      </c>
      <c r="AD89" s="20">
        <f>IF(AC89=0,"---",IF(OR(ABS((AB89-AC89)/ABS(AC89))&gt;2,(AB89*AC89)&lt;0),"---",IF(AC89="0","---",((AB89-AC89)/ABS(AC89))*100)))</f>
        <v>1.9921859797427777</v>
      </c>
      <c r="AF89" s="18">
        <f>+[1]RADIO!X81</f>
        <v>4.7931836273367949</v>
      </c>
      <c r="AG89" s="19">
        <f>+[1]RADIO!Y81</f>
        <v>4.7608307169530804</v>
      </c>
      <c r="AH89" s="20">
        <f>IF(AG89=0,"---",IF(OR(ABS((AF89-AG89)/ABS(AG89))&gt;2,(AF89*AG89)&lt;0),"---",IF(AG89="0","---",((AF89-AG89)/ABS(AG89))*100)))</f>
        <v>0.67956439342628738</v>
      </c>
      <c r="AK89" s="17"/>
      <c r="AM89" s="18"/>
      <c r="AN89" s="19"/>
      <c r="AO89" s="20"/>
      <c r="AQ89" s="18"/>
      <c r="AR89" s="19"/>
      <c r="AS89" s="20"/>
      <c r="AV89" s="17"/>
      <c r="AX89" s="18"/>
      <c r="AY89" s="19"/>
      <c r="AZ89" s="20" t="str">
        <f t="shared" si="22"/>
        <v>---</v>
      </c>
      <c r="BB89" s="18"/>
      <c r="BC89" s="19"/>
      <c r="BD89" s="20" t="str">
        <f t="shared" si="23"/>
        <v>---</v>
      </c>
    </row>
    <row r="90" spans="4:56" ht="15" customHeight="1">
      <c r="D90" s="17"/>
      <c r="F90" s="18"/>
      <c r="G90" s="19"/>
      <c r="H90" s="20"/>
      <c r="J90" s="18"/>
      <c r="K90" s="19"/>
      <c r="L90" s="20"/>
      <c r="O90" s="17"/>
      <c r="Q90" s="18"/>
      <c r="R90" s="19"/>
      <c r="S90" s="20"/>
      <c r="U90" s="18"/>
      <c r="V90" s="19"/>
      <c r="W90" s="20"/>
      <c r="Z90" s="17"/>
      <c r="AB90" s="18"/>
      <c r="AC90" s="19"/>
      <c r="AD90" s="20"/>
      <c r="AF90" s="18"/>
      <c r="AG90" s="19"/>
      <c r="AH90" s="20"/>
      <c r="AK90" s="17"/>
      <c r="AM90" s="18"/>
      <c r="AN90" s="19"/>
      <c r="AO90" s="20"/>
      <c r="AQ90" s="18"/>
      <c r="AR90" s="19"/>
      <c r="AS90" s="20"/>
      <c r="AV90" s="17"/>
      <c r="AX90" s="18"/>
      <c r="AY90" s="19"/>
      <c r="AZ90" s="20" t="str">
        <f t="shared" si="22"/>
        <v>---</v>
      </c>
      <c r="BB90" s="18"/>
      <c r="BC90" s="19"/>
      <c r="BD90" s="20" t="str">
        <f t="shared" si="23"/>
        <v>---</v>
      </c>
    </row>
    <row r="91" spans="4:56" ht="15" customHeight="1">
      <c r="D91" s="17"/>
      <c r="F91" s="18"/>
      <c r="G91" s="19"/>
      <c r="H91" s="20"/>
      <c r="J91" s="18"/>
      <c r="K91" s="19"/>
      <c r="L91" s="20"/>
      <c r="O91" s="17"/>
      <c r="Q91" s="18"/>
      <c r="R91" s="19"/>
      <c r="S91" s="20"/>
      <c r="U91" s="18"/>
      <c r="V91" s="19"/>
      <c r="W91" s="20"/>
      <c r="Z91" s="17"/>
      <c r="AB91" s="18"/>
      <c r="AC91" s="19"/>
      <c r="AD91" s="20"/>
      <c r="AF91" s="18"/>
      <c r="AG91" s="19"/>
      <c r="AH91" s="20"/>
      <c r="AK91" s="17"/>
      <c r="AM91" s="18"/>
      <c r="AN91" s="19"/>
      <c r="AO91" s="20"/>
      <c r="AQ91" s="18"/>
      <c r="AR91" s="19"/>
      <c r="AS91" s="20"/>
      <c r="AV91" s="17"/>
      <c r="AX91" s="18"/>
      <c r="AY91" s="19"/>
      <c r="AZ91" s="20" t="str">
        <f t="shared" si="22"/>
        <v>---</v>
      </c>
      <c r="BB91" s="18"/>
      <c r="BC91" s="19"/>
      <c r="BD91" s="20" t="str">
        <f t="shared" si="23"/>
        <v>---</v>
      </c>
    </row>
    <row r="92" spans="4:56" ht="15" customHeight="1">
      <c r="D92" s="17"/>
      <c r="F92" s="18"/>
      <c r="G92" s="19"/>
      <c r="H92" s="20"/>
      <c r="J92" s="18"/>
      <c r="K92" s="19"/>
      <c r="L92" s="20"/>
      <c r="O92" s="17"/>
      <c r="Q92" s="18"/>
      <c r="R92" s="19"/>
      <c r="S92" s="20"/>
      <c r="U92" s="18"/>
      <c r="V92" s="19"/>
      <c r="W92" s="20"/>
      <c r="Z92" s="17"/>
      <c r="AB92" s="18"/>
      <c r="AC92" s="19"/>
      <c r="AD92" s="20"/>
      <c r="AF92" s="18"/>
      <c r="AG92" s="19"/>
      <c r="AH92" s="20"/>
      <c r="AK92" s="17"/>
      <c r="AM92" s="18"/>
      <c r="AN92" s="19"/>
      <c r="AO92" s="20"/>
      <c r="AQ92" s="18"/>
      <c r="AR92" s="19"/>
      <c r="AS92" s="20"/>
      <c r="AV92" s="17"/>
      <c r="AX92" s="18"/>
      <c r="AY92" s="19"/>
      <c r="AZ92" s="20" t="str">
        <f t="shared" si="22"/>
        <v>---</v>
      </c>
      <c r="BB92" s="18"/>
      <c r="BC92" s="19"/>
      <c r="BD92" s="20" t="str">
        <f t="shared" si="23"/>
        <v>---</v>
      </c>
    </row>
    <row r="93" spans="4:56" ht="15" customHeight="1">
      <c r="D93" s="17"/>
      <c r="F93" s="18"/>
      <c r="G93" s="19"/>
      <c r="H93" s="20"/>
      <c r="J93" s="18"/>
      <c r="K93" s="19"/>
      <c r="L93" s="20"/>
      <c r="O93" s="17"/>
      <c r="Q93" s="18"/>
      <c r="R93" s="19"/>
      <c r="S93" s="20"/>
      <c r="U93" s="18"/>
      <c r="V93" s="19"/>
      <c r="W93" s="20"/>
      <c r="Z93" s="17"/>
      <c r="AB93" s="18"/>
      <c r="AC93" s="19"/>
      <c r="AD93" s="20"/>
      <c r="AF93" s="18"/>
      <c r="AG93" s="19"/>
      <c r="AH93" s="20"/>
      <c r="AK93" s="17"/>
      <c r="AM93" s="18"/>
      <c r="AN93" s="19"/>
      <c r="AO93" s="20"/>
      <c r="AQ93" s="18"/>
      <c r="AR93" s="19"/>
      <c r="AS93" s="20"/>
      <c r="AV93" s="17"/>
      <c r="AX93" s="18"/>
      <c r="AY93" s="19"/>
      <c r="AZ93" s="20" t="str">
        <f t="shared" si="22"/>
        <v>---</v>
      </c>
      <c r="BB93" s="18"/>
      <c r="BC93" s="19"/>
      <c r="BD93" s="20" t="str">
        <f t="shared" si="23"/>
        <v>---</v>
      </c>
    </row>
    <row r="94" spans="4:56" ht="15" customHeight="1">
      <c r="D94" s="13" t="str">
        <f>+IF($B$3="esp","Efectos extraordinarios en Gastos","One-offs in Operating Expenses")</f>
        <v>One-offs in Operating Expenses</v>
      </c>
      <c r="E94" s="13"/>
      <c r="F94" s="14">
        <f>+[1]GRUPO!T97</f>
        <v>-6.6640194856536947</v>
      </c>
      <c r="G94" s="15">
        <f>+[1]GRUPO!U97</f>
        <v>-0.38728801678859526</v>
      </c>
      <c r="H94" s="16" t="str">
        <f>IF(G94=0,"---",IF(OR(ABS((F94-G94)/ABS(G94))&gt;2,(F94*G94)&lt;0),"---",IF(G94="0","---",((F94-G94)/ABS(G94))*100)))</f>
        <v>---</v>
      </c>
      <c r="J94" s="14">
        <f>+[1]GRUPO!X97</f>
        <v>-0.3705881210959765</v>
      </c>
      <c r="K94" s="15">
        <f>+[1]GRUPO!Y97</f>
        <v>-1.999527533816714E-2</v>
      </c>
      <c r="L94" s="16" t="str">
        <f>IF(K94=0,"---",IF(OR(ABS((J94-K94)/ABS(K94))&gt;2,(J94*K94)&lt;0),"---",IF(K94="0","---",((J94-K94)/ABS(K94))*100)))</f>
        <v>---</v>
      </c>
      <c r="O94" s="13" t="str">
        <f>+IF($B$3="esp","Efectos extraordinarios en Gastos","One-offs in Operating Expenses")</f>
        <v>One-offs in Operating Expenses</v>
      </c>
      <c r="P94" s="13"/>
      <c r="Q94" s="14">
        <f>+[1]SANTILLANA!T85</f>
        <v>-3.6967098485372398</v>
      </c>
      <c r="R94" s="15">
        <f>+[1]SANTILLANA!U85</f>
        <v>-3.41608916773838</v>
      </c>
      <c r="S94" s="16">
        <f>IF(R94=0,"---",IF(OR(ABS((Q94-R94)/ABS(R94))&gt;2,(Q94*R94)&lt;0),"---",IF(R94="0","---",((Q94-R94)/ABS(R94))*100)))</f>
        <v>-8.214676696646201</v>
      </c>
      <c r="U94" s="14">
        <f>+[1]SANTILLANA!X85</f>
        <v>-1.3901926974767296</v>
      </c>
      <c r="V94" s="15">
        <f>+[1]SANTILLANA!Y85</f>
        <v>-1.3367008138669503</v>
      </c>
      <c r="W94" s="16">
        <f>IF(V94=0,"---",IF(OR(ABS((U94-V94)/ABS(V94))&gt;2,(U94*V94)&lt;0),"---",IF(V94="0","---",((U94-V94)/ABS(V94))*100)))</f>
        <v>-4.0017843226288079</v>
      </c>
      <c r="Z94" s="13" t="str">
        <f>+IF($B$3="esp","Efectos extraordinarios en Gastos","One-offs in Operating Expenses")</f>
        <v>One-offs in Operating Expenses</v>
      </c>
      <c r="AA94" s="13"/>
      <c r="AB94" s="14">
        <f>+[1]RADIO!T86</f>
        <v>4.811301251636265</v>
      </c>
      <c r="AC94" s="15">
        <f>+[1]RADIO!U86</f>
        <v>5.0919998202072154</v>
      </c>
      <c r="AD94" s="16">
        <f>IF(AC94=0,"---",IF(OR(ABS((AB94-AC94)/ABS(AC94))&gt;2,(AB94*AC94)&lt;0),"---",IF(AC94="0","---",((AB94-AC94)/ABS(AC94))*100)))</f>
        <v>-5.5125408185801463</v>
      </c>
      <c r="AF94" s="14">
        <f>+[1]RADIO!X86</f>
        <v>2.378537575133445</v>
      </c>
      <c r="AG94" s="15">
        <f>+[1]RADIO!Y86</f>
        <v>2.4923212939525046</v>
      </c>
      <c r="AH94" s="16">
        <f>IF(AG94=0,"---",IF(OR(ABS((AF94-AG94)/ABS(AG94))&gt;2,(AF94*AG94)&lt;0),"---",IF(AG94="0","---",((AF94-AG94)/ABS(AG94))*100)))</f>
        <v>-4.565371210170623</v>
      </c>
      <c r="AK94" s="13" t="str">
        <f>+IF($B$3="esp","Efectos extraordinarios en Gastos","One-offs in Operating Expenses")</f>
        <v>One-offs in Operating Expenses</v>
      </c>
      <c r="AL94" s="13"/>
      <c r="AM94" s="14">
        <f>+[1]NOTICIAS!T44</f>
        <v>-2.5675437287251599</v>
      </c>
      <c r="AN94" s="15">
        <f>+[1]NOTICIAS!U44</f>
        <v>-0.396050102692035</v>
      </c>
      <c r="AO94" s="16" t="str">
        <f>IF(AN94=0,"---",IF(OR(ABS((AM94-AN94)/ABS(AN94))&gt;2,(AM94*AN94)&lt;0),"---",IF(AN94="0","---",((AM94-AN94)/ABS(AN94))*100)))</f>
        <v>---</v>
      </c>
      <c r="AQ94" s="14">
        <f>+[1]NOTICIAS!X44</f>
        <v>-0.26492037872516017</v>
      </c>
      <c r="AR94" s="15">
        <f>+[1]NOTICIAS!Y44</f>
        <v>-0.14191900000000002</v>
      </c>
      <c r="AS94" s="16">
        <f>IF(AR94=0,"---",IF(OR(ABS((AQ94-AR94)/ABS(AR94))&gt;2,(AQ94*AR94)&lt;0),"---",IF(AR94="0","---",((AQ94-AR94)/ABS(AR94))*100)))</f>
        <v>-86.670127837118443</v>
      </c>
      <c r="AV94" s="13" t="str">
        <f>+IF($B$3="esp","Efectos extraordinarios en Gastos","One-offs in Operating Expenses")</f>
        <v>One-offs in Operating Expenses</v>
      </c>
      <c r="AW94" s="13"/>
      <c r="AX94" s="14">
        <f>+'[1]MEDIA CAPITAL'!T42</f>
        <v>-0.91717209000000111</v>
      </c>
      <c r="AY94" s="15">
        <f>+'[1]MEDIA CAPITAL'!U42</f>
        <v>-0.81588526000000172</v>
      </c>
      <c r="AZ94" s="16">
        <f t="shared" si="22"/>
        <v>-12.414347331143006</v>
      </c>
      <c r="BB94" s="14">
        <f>+'[1]MEDIA CAPITAL'!X42</f>
        <v>-8.4105400000002106E-2</v>
      </c>
      <c r="BC94" s="15">
        <f>+'[1]MEDIA CAPITAL'!Y42</f>
        <v>-0.3984308700000021</v>
      </c>
      <c r="BD94" s="16">
        <f t="shared" si="23"/>
        <v>78.890842469108463</v>
      </c>
    </row>
    <row r="95" spans="4:56" s="13" customFormat="1" ht="15" customHeight="1">
      <c r="D95" s="17" t="str">
        <f>+IF($B$3="esp","Indemnizaciones y otros no recurrentes","Redundancies and other non-recurrent")</f>
        <v>Redundancies and other non-recurrent</v>
      </c>
      <c r="E95" s="1"/>
      <c r="F95" s="18">
        <f>+[1]GRUPO!T98</f>
        <v>-15.82507673006894</v>
      </c>
      <c r="G95" s="19">
        <f>+[1]GRUPO!U98</f>
        <v>-9.5840725570866905</v>
      </c>
      <c r="H95" s="20">
        <f>IF(G95=0,"---",IF(OR(ABS((F95-G95)/ABS(G95))&gt;2,(F95*G95)&lt;0),"---",IF(G95="0","---",((F95-G95)/ABS(G95))*100)))</f>
        <v>-65.11849879900484</v>
      </c>
      <c r="J95" s="18">
        <f>+[1]GRUPO!X98</f>
        <v>-3.4124295327018022</v>
      </c>
      <c r="K95" s="19">
        <f>+[1]GRUPO!Y98</f>
        <v>-3.0302045053582312</v>
      </c>
      <c r="L95" s="20">
        <f>IF(K95=0,"---",IF(OR(ABS((J95-K95)/ABS(K95))&gt;2,(J95*K95)&lt;0),"---",IF(K95="0","---",((J95-K95)/ABS(K95))*100)))</f>
        <v>-12.613836018912009</v>
      </c>
      <c r="O95" s="17" t="str">
        <f>+IF($B$3="esp","Indemnizaciones","Redundancies")</f>
        <v>Redundancies</v>
      </c>
      <c r="P95" s="1"/>
      <c r="Q95" s="18">
        <f>+[1]SANTILLANA!T86</f>
        <v>-3.6967098485372398</v>
      </c>
      <c r="R95" s="19">
        <f>+[1]SANTILLANA!U86</f>
        <v>-3.41608916773838</v>
      </c>
      <c r="S95" s="20">
        <f>IF(R95=0,"---",IF(OR(ABS((Q95-R95)/ABS(R95))&gt;2,(Q95*R95)&lt;0),"---",IF(R95="0","---",((Q95-R95)/ABS(R95))*100)))</f>
        <v>-8.214676696646201</v>
      </c>
      <c r="U95" s="18">
        <f>+[1]SANTILLANA!X86</f>
        <v>-1.3901926974767296</v>
      </c>
      <c r="V95" s="19">
        <f>+[1]SANTILLANA!Y86</f>
        <v>-1.3367008138669503</v>
      </c>
      <c r="W95" s="20">
        <f>IF(V95=0,"---",IF(OR(ABS((U95-V95)/ABS(V95))&gt;2,(U95*V95)&lt;0),"---",IF(V95="0","---",((U95-V95)/ABS(V95))*100)))</f>
        <v>-4.0017843226288079</v>
      </c>
      <c r="Z95" s="17" t="str">
        <f>+IF($B$3="esp","Indemnizaciones","Redundancies")</f>
        <v>Redundancies</v>
      </c>
      <c r="AA95" s="1"/>
      <c r="AB95" s="18">
        <f>+[1]RADIO!T87</f>
        <v>-4.34975599277898</v>
      </c>
      <c r="AC95" s="19">
        <f>+[1]RADIO!U87</f>
        <v>-4.1047847200908798</v>
      </c>
      <c r="AD95" s="20">
        <f>IF(AC95=0,"---",IF(OR(ABS((AB95-AC95)/ABS(AC95))&gt;2,(AB95*AC95)&lt;0),"---",IF(AC95="0","---",((AB95-AC95)/ABS(AC95))*100)))</f>
        <v>-5.9679444695135313</v>
      </c>
      <c r="AF95" s="18">
        <f>+[1]RADIO!X87</f>
        <v>-0.66330383647238067</v>
      </c>
      <c r="AG95" s="19">
        <f>+[1]RADIO!Y87</f>
        <v>-0.51788793606755945</v>
      </c>
      <c r="AH95" s="20">
        <f>IF(AG95=0,"---",IF(OR(ABS((AF95-AG95)/ABS(AG95))&gt;2,(AF95*AG95)&lt;0),"---",IF(AG95="0","---",((AF95-AG95)/ABS(AG95))*100)))</f>
        <v>-28.078642168998396</v>
      </c>
      <c r="AK95" s="17" t="str">
        <f>+IF($B$3="esp","Indemnizaciones","Redundancies")</f>
        <v>Redundancies</v>
      </c>
      <c r="AL95" s="1"/>
      <c r="AM95" s="18">
        <f>+[1]NOTICIAS!T45</f>
        <v>-2.5675437287251599</v>
      </c>
      <c r="AN95" s="19">
        <f>+[1]NOTICIAS!U45</f>
        <v>-0.396050102692035</v>
      </c>
      <c r="AO95" s="20" t="str">
        <f>IF(AN95=0,"---",IF(OR(ABS((AM95-AN95)/ABS(AN95))&gt;2,(AM95*AN95)&lt;0),"---",IF(AN95="0","---",((AM95-AN95)/ABS(AN95))*100)))</f>
        <v>---</v>
      </c>
      <c r="AQ95" s="18">
        <f>+[1]NOTICIAS!X45</f>
        <v>-0.26492037872516017</v>
      </c>
      <c r="AR95" s="19">
        <f>+[1]NOTICIAS!Y45</f>
        <v>-0.14191900000000002</v>
      </c>
      <c r="AS95" s="20">
        <f>IF(AR95=0,"---",IF(OR(ABS((AQ95-AR95)/ABS(AR95))&gt;2,(AQ95*AR95)&lt;0),"---",IF(AR95="0","---",((AQ95-AR95)/ABS(AR95))*100)))</f>
        <v>-86.670127837118443</v>
      </c>
      <c r="AV95" s="17" t="str">
        <f>+IF($B$3="esp","Indemnizaciones","Redundancies")</f>
        <v>Redundancies</v>
      </c>
      <c r="AW95" s="1"/>
      <c r="AX95" s="18">
        <f>+'[1]MEDIA CAPITAL'!T43</f>
        <v>-0.91717209000000111</v>
      </c>
      <c r="AY95" s="19">
        <f>+'[1]MEDIA CAPITAL'!U43</f>
        <v>-0.81588526000000172</v>
      </c>
      <c r="AZ95" s="20">
        <f t="shared" si="22"/>
        <v>-12.414347331143006</v>
      </c>
      <c r="BB95" s="18">
        <f>+'[1]MEDIA CAPITAL'!X43</f>
        <v>-8.4105400000002106E-2</v>
      </c>
      <c r="BC95" s="19">
        <f>+'[1]MEDIA CAPITAL'!Y43</f>
        <v>-0.3984308700000021</v>
      </c>
      <c r="BD95" s="20">
        <f t="shared" si="23"/>
        <v>78.890842469108463</v>
      </c>
    </row>
    <row r="96" spans="4:56" ht="15" customHeight="1">
      <c r="D96" s="17" t="str">
        <f>+IF($B$3="esp","Ajuste perímetro consolidación MX&amp;CR","Consolidation perimeter adjustment MX&amp;CR")</f>
        <v>Consolidation perimeter adjustment MX&amp;CR</v>
      </c>
      <c r="F96" s="18">
        <f>+[1]GRUPO!T99</f>
        <v>9.1610572444152449</v>
      </c>
      <c r="G96" s="19">
        <f>+[1]GRUPO!U99</f>
        <v>9.1967845402980952</v>
      </c>
      <c r="H96" s="20">
        <f>IF(G96=0,"---",IF(OR(ABS((F96-G96)/ABS(G96))&gt;2,(F96*G96)&lt;0),"---",IF(G96="0","---",((F96-G96)/ABS(G96))*100)))</f>
        <v>-0.38847594750428133</v>
      </c>
      <c r="J96" s="18">
        <f>+[1]GRUPO!X99</f>
        <v>3.0418414116058257</v>
      </c>
      <c r="K96" s="19">
        <f>+[1]GRUPO!Y99</f>
        <v>3.010209230020064</v>
      </c>
      <c r="L96" s="20">
        <f>IF(K96=0,"---",IF(OR(ABS((J96-K96)/ABS(K96))&gt;2,(J96*K96)&lt;0),"---",IF(K96="0","---",((J96-K96)/ABS(K96))*100)))</f>
        <v>1.0508299978055282</v>
      </c>
      <c r="O96" s="17"/>
      <c r="Q96" s="18"/>
      <c r="R96" s="19"/>
      <c r="S96" s="20" t="str">
        <f>IF(R96=0,"---",IF(OR(ABS((Q96-R96)/ABS(R96))&gt;2,(Q96*R96)&lt;0),"---",IF(R96="0","---",((Q96-R96)/ABS(R96))*100)))</f>
        <v>---</v>
      </c>
      <c r="U96" s="18"/>
      <c r="V96" s="19"/>
      <c r="W96" s="20" t="str">
        <f>IF(V96=0,"---",IF(OR(ABS((U96-V96)/ABS(V96))&gt;2,(U96*V96)&lt;0),"---",IF(V96="0","---",((U96-V96)/ABS(V96))*100)))</f>
        <v>---</v>
      </c>
      <c r="Z96" s="17" t="str">
        <f>+IF($B$3="esp","Ajuste perímetro consolidación MX&amp;CR","Consolidation perimeter adjustment MX&amp;CR")</f>
        <v>Consolidation perimeter adjustment MX&amp;CR</v>
      </c>
      <c r="AB96" s="18">
        <f>+[1]RADIO!T88</f>
        <v>9.1610572444152449</v>
      </c>
      <c r="AC96" s="19">
        <f>+[1]RADIO!U88</f>
        <v>9.1967845402980952</v>
      </c>
      <c r="AD96" s="20">
        <f>IF(AC96=0,"---",IF(OR(ABS((AB96-AC96)/ABS(AC96))&gt;2,(AB96*AC96)&lt;0),"---",IF(AC96="0","---",((AB96-AC96)/ABS(AC96))*100)))</f>
        <v>-0.38847594750428133</v>
      </c>
      <c r="AF96" s="18">
        <f>+[1]RADIO!X88</f>
        <v>3.0418414116058257</v>
      </c>
      <c r="AG96" s="19">
        <f>+[1]RADIO!Y88</f>
        <v>3.010209230020064</v>
      </c>
      <c r="AH96" s="20">
        <f>IF(AG96=0,"---",IF(OR(ABS((AF96-AG96)/ABS(AG96))&gt;2,(AF96*AG96)&lt;0),"---",IF(AG96="0","---",((AF96-AG96)/ABS(AG96))*100)))</f>
        <v>1.0508299978055282</v>
      </c>
      <c r="AK96" s="17"/>
      <c r="AM96" s="18"/>
      <c r="AN96" s="19"/>
      <c r="AO96" s="20"/>
      <c r="AQ96" s="18"/>
      <c r="AR96" s="19"/>
      <c r="AS96" s="20"/>
      <c r="AV96" s="17"/>
      <c r="AX96" s="18"/>
      <c r="AY96" s="19"/>
      <c r="AZ96" s="20" t="str">
        <f t="shared" si="22"/>
        <v>---</v>
      </c>
      <c r="BB96" s="18"/>
      <c r="BC96" s="19"/>
      <c r="BD96" s="20" t="str">
        <f t="shared" si="23"/>
        <v>---</v>
      </c>
    </row>
    <row r="97" spans="1:56" ht="15" customHeight="1">
      <c r="D97" s="17"/>
      <c r="F97" s="18"/>
      <c r="G97" s="19"/>
      <c r="H97" s="20"/>
      <c r="J97" s="18"/>
      <c r="K97" s="19"/>
      <c r="L97" s="20"/>
      <c r="O97" s="17"/>
      <c r="Q97" s="18"/>
      <c r="R97" s="19"/>
      <c r="S97" s="20" t="str">
        <f>IF(R97=0,"---",IF(OR(ABS((Q97-R97)/ABS(R97))&gt;2,(Q97*R97)&lt;0),"---",IF(R97="0","---",((Q97-R97)/ABS(R97))*100)))</f>
        <v>---</v>
      </c>
      <c r="U97" s="18"/>
      <c r="V97" s="19"/>
      <c r="W97" s="20" t="str">
        <f>IF(V97=0,"---",IF(OR(ABS((U97-V97)/ABS(V97))&gt;2,(U97*V97)&lt;0),"---",IF(V97="0","---",((U97-V97)/ABS(V97))*100)))</f>
        <v>---</v>
      </c>
      <c r="Z97" s="17"/>
      <c r="AB97" s="18"/>
      <c r="AC97" s="19"/>
      <c r="AD97" s="20"/>
      <c r="AF97" s="18"/>
      <c r="AG97" s="19"/>
      <c r="AH97" s="20"/>
      <c r="AK97" s="17"/>
      <c r="AM97" s="18"/>
      <c r="AN97" s="19"/>
      <c r="AO97" s="20"/>
      <c r="AQ97" s="18"/>
      <c r="AR97" s="19"/>
      <c r="AS97" s="20"/>
      <c r="AV97" s="17"/>
      <c r="AX97" s="18"/>
      <c r="AY97" s="19"/>
      <c r="AZ97" s="20" t="str">
        <f t="shared" si="22"/>
        <v>---</v>
      </c>
      <c r="BB97" s="18"/>
      <c r="BC97" s="19"/>
      <c r="BD97" s="20" t="str">
        <f t="shared" si="23"/>
        <v>---</v>
      </c>
    </row>
    <row r="98" spans="1:56" ht="15" customHeight="1">
      <c r="D98" s="17"/>
      <c r="F98" s="18"/>
      <c r="G98" s="19"/>
      <c r="H98" s="20"/>
      <c r="J98" s="18"/>
      <c r="K98" s="19"/>
      <c r="L98" s="20"/>
      <c r="O98" s="17"/>
      <c r="Q98" s="18"/>
      <c r="R98" s="19"/>
      <c r="S98" s="20"/>
      <c r="U98" s="18"/>
      <c r="V98" s="19"/>
      <c r="W98" s="20"/>
      <c r="Z98" s="17"/>
      <c r="AB98" s="18"/>
      <c r="AC98" s="19"/>
      <c r="AD98" s="20"/>
      <c r="AF98" s="18"/>
      <c r="AG98" s="19"/>
      <c r="AH98" s="20"/>
      <c r="AK98" s="17"/>
      <c r="AM98" s="18"/>
      <c r="AN98" s="19"/>
      <c r="AO98" s="20"/>
      <c r="AQ98" s="18"/>
      <c r="AR98" s="19"/>
      <c r="AS98" s="20"/>
      <c r="AV98" s="17"/>
      <c r="AX98" s="18"/>
      <c r="AY98" s="19"/>
      <c r="AZ98" s="20" t="str">
        <f t="shared" si="22"/>
        <v>---</v>
      </c>
      <c r="BB98" s="18"/>
      <c r="BC98" s="19"/>
      <c r="BD98" s="20" t="str">
        <f t="shared" si="23"/>
        <v>---</v>
      </c>
    </row>
    <row r="99" spans="1:56" ht="15" customHeight="1">
      <c r="A99" s="36"/>
      <c r="D99" s="17"/>
      <c r="F99" s="18"/>
      <c r="G99" s="19"/>
      <c r="H99" s="20"/>
      <c r="J99" s="18"/>
      <c r="K99" s="19"/>
      <c r="L99" s="20"/>
      <c r="O99" s="17"/>
      <c r="Q99" s="18"/>
      <c r="R99" s="19"/>
      <c r="S99" s="20"/>
      <c r="U99" s="18"/>
      <c r="V99" s="19"/>
      <c r="W99" s="20"/>
      <c r="Z99" s="17"/>
      <c r="AB99" s="18"/>
      <c r="AC99" s="19"/>
      <c r="AD99" s="20"/>
      <c r="AF99" s="18"/>
      <c r="AG99" s="19"/>
      <c r="AH99" s="20"/>
      <c r="AK99" s="17"/>
      <c r="AM99" s="18"/>
      <c r="AN99" s="19"/>
      <c r="AO99" s="20"/>
      <c r="AQ99" s="18"/>
      <c r="AR99" s="19"/>
      <c r="AS99" s="20"/>
      <c r="AV99" s="17"/>
      <c r="AX99" s="18"/>
      <c r="AY99" s="19"/>
      <c r="AZ99" s="20" t="str">
        <f t="shared" si="22"/>
        <v>---</v>
      </c>
      <c r="BB99" s="18"/>
      <c r="BC99" s="19"/>
      <c r="BD99" s="20" t="str">
        <f t="shared" si="23"/>
        <v>---</v>
      </c>
    </row>
    <row r="100" spans="1:56" ht="15" customHeight="1">
      <c r="D100" s="13" t="str">
        <f>+IF($B$3="esp","Efectos extraordinarios en Amort.y Provisiones","One-offs in Amortization&amp;Provisions")</f>
        <v>One-offs in Amortization&amp;Provisions</v>
      </c>
      <c r="E100" s="13"/>
      <c r="F100" s="14">
        <f>+[1]GRUPO!T104</f>
        <v>-0.51840272379216157</v>
      </c>
      <c r="G100" s="15">
        <f>+[1]GRUPO!U104</f>
        <v>1.0582830946813624</v>
      </c>
      <c r="H100" s="16" t="str">
        <f>IF(G100=0,"---",IF(OR(ABS((F100-G100)/ABS(G100))&gt;2,(F100*G100)&lt;0),"---",IF(G100="0","---",((F100-G100)/ABS(G100))*100)))</f>
        <v>---</v>
      </c>
      <c r="J100" s="14">
        <f>+[1]GRUPO!X104</f>
        <v>0.26583250128175306</v>
      </c>
      <c r="K100" s="15">
        <f>+[1]GRUPO!Y104</f>
        <v>0.58118489652453298</v>
      </c>
      <c r="L100" s="16">
        <f>IF(K100=0,"---",IF(OR(ABS((J100-K100)/ABS(K100))&gt;2,(J100*K100)&lt;0),"---",IF(K100="0","---",((J100-K100)/ABS(K100))*100)))</f>
        <v>-54.260252998413605</v>
      </c>
      <c r="O100" s="13" t="str">
        <f>+IF($B$3="esp","Efectos extraordinarios en Amort.y Provisiones","One-offs in Amortization&amp;Provisions")</f>
        <v>One-offs in Amortization&amp;Provisions</v>
      </c>
      <c r="P100" s="13"/>
      <c r="Q100" s="14">
        <f>+[1]SANTILLANA!T91</f>
        <v>0</v>
      </c>
      <c r="R100" s="15">
        <f>+[1]SANTILLANA!U91</f>
        <v>0</v>
      </c>
      <c r="S100" s="16" t="str">
        <f>IF(R100=0,"---",IF(OR(ABS((Q100-R100)/ABS(R100))&gt;2,(Q100*R100)&lt;0),"---",IF(R100="0","---",((Q100-R100)/ABS(R100))*100)))</f>
        <v>---</v>
      </c>
      <c r="U100" s="14">
        <f>+[1]SANTILLANA!X91</f>
        <v>0</v>
      </c>
      <c r="V100" s="15">
        <f>+[1]SANTILLANA!Y91</f>
        <v>0</v>
      </c>
      <c r="W100" s="16" t="str">
        <f>IF(V100=0,"---",IF(OR(ABS((U100-V100)/ABS(V100))&gt;2,(U100*V100)&lt;0),"---",IF(V100="0","---",((U100-V100)/ABS(V100))*100)))</f>
        <v>---</v>
      </c>
      <c r="Z100" s="13" t="str">
        <f>+IF($B$3="esp","Efectos extraordinarios en Amort.y Provisiones","One-offs in Amortization&amp;Provisions")</f>
        <v>One-offs in Amortization&amp;Provisions</v>
      </c>
      <c r="AA100" s="13"/>
      <c r="AB100" s="14">
        <f>+[1]RADIO!T92</f>
        <v>-0.51840272510908147</v>
      </c>
      <c r="AC100" s="15">
        <f>+[1]RADIO!U92</f>
        <v>0.66154409468136244</v>
      </c>
      <c r="AD100" s="16" t="str">
        <f>IF(AC100=0,"---",IF(OR(ABS((AB100-AC100)/ABS(AC100))&gt;2,(AB100*AC100)&lt;0),"---",IF(AC100="0","---",((AB100-AC100)/ABS(AC100))*100)))</f>
        <v>---</v>
      </c>
      <c r="AF100" s="14">
        <f>+[1]RADIO!X92</f>
        <v>0.26583250128175306</v>
      </c>
      <c r="AG100" s="15">
        <f>+[1]RADIO!Y92</f>
        <v>0.18444589652453303</v>
      </c>
      <c r="AH100" s="16">
        <f>IF(AG100=0,"---",IF(OR(ABS((AF100-AG100)/ABS(AG100))&gt;2,(AF100*AG100)&lt;0),"---",IF(AG100="0","---",((AF100-AG100)/ABS(AG100))*100)))</f>
        <v>44.124920256165666</v>
      </c>
      <c r="AK100" s="13" t="str">
        <f>+IF($B$3="esp","Efectos extraordinarios en Amort.y Provisiones","One-offs in Amortization&amp;Provisions")</f>
        <v>One-offs in Amortization&amp;Provisions</v>
      </c>
      <c r="AL100" s="13"/>
      <c r="AM100" s="14">
        <f>+[1]NOTICIAS!T50</f>
        <v>0</v>
      </c>
      <c r="AN100" s="15">
        <f>+[1]NOTICIAS!U50</f>
        <v>0</v>
      </c>
      <c r="AO100" s="16" t="str">
        <f>IF(AN100=0,"---",IF(OR(ABS((AM100-AN100)/ABS(AN100))&gt;2,(AM100*AN100)&lt;0),"---",IF(AN100="0","---",((AM100-AN100)/ABS(AN100))*100)))</f>
        <v>---</v>
      </c>
      <c r="AQ100" s="14">
        <f>+[1]NOTICIAS!X50</f>
        <v>0</v>
      </c>
      <c r="AR100" s="15">
        <f>+[1]NOTICIAS!Y50</f>
        <v>0</v>
      </c>
      <c r="AS100" s="16" t="str">
        <f>IF(AR100=0,"---",IF(OR(ABS((AQ100-AR100)/ABS(AR100))&gt;2,(AQ100*AR100)&lt;0),"---",IF(AR100="0","---",((AQ100-AR100)/ABS(AR100))*100)))</f>
        <v>---</v>
      </c>
      <c r="AV100" s="13" t="str">
        <f>+IF($B$3="esp","Efectos extraordinarios en Amort.y Provisiones","One-offs in Amortization&amp;Provisions")</f>
        <v>One-offs in Amortization&amp;Provisions</v>
      </c>
      <c r="AW100" s="13"/>
      <c r="AX100" s="14">
        <f>+'[1]MEDIA CAPITAL'!T48</f>
        <v>0</v>
      </c>
      <c r="AY100" s="15">
        <f>+'[1]MEDIA CAPITAL'!U48</f>
        <v>0</v>
      </c>
      <c r="AZ100" s="16" t="str">
        <f t="shared" si="22"/>
        <v>---</v>
      </c>
      <c r="BB100" s="14">
        <f>+'[1]MEDIA CAPITAL'!X48</f>
        <v>0</v>
      </c>
      <c r="BC100" s="15">
        <f>+'[1]MEDIA CAPITAL'!Y48</f>
        <v>0</v>
      </c>
      <c r="BD100" s="16" t="str">
        <f t="shared" si="23"/>
        <v>---</v>
      </c>
    </row>
    <row r="101" spans="1:56" ht="15" customHeight="1">
      <c r="D101" s="17" t="str">
        <f>+IF($B$3="esp","Ajuste perímetro consolidación MX&amp;CR","Consolidation perimeter adjustment MX&amp;CR")</f>
        <v>Consolidation perimeter adjustment MX&amp;CR</v>
      </c>
      <c r="F101" s="18">
        <f>+[1]GRUPO!T105</f>
        <v>0.69825679890323844</v>
      </c>
      <c r="G101" s="19">
        <f>+[1]GRUPO!U105</f>
        <v>0.66154409468136244</v>
      </c>
      <c r="H101" s="20">
        <f>IF(G101=0,"---",IF(OR(ABS((F101-G101)/ABS(G101))&gt;2,(F101*G101)&lt;0),"---",IF(G101="0","---",((F101-G101)/ABS(G101))*100)))</f>
        <v>5.5495475686407492</v>
      </c>
      <c r="J101" s="18">
        <f>+[1]GRUPO!X105</f>
        <v>0.26583250128175306</v>
      </c>
      <c r="K101" s="19">
        <f>+[1]GRUPO!Y105</f>
        <v>0.18444589652453303</v>
      </c>
      <c r="L101" s="20">
        <f>IF(K101=0,"---",IF(OR(ABS((J101-K101)/ABS(K101))&gt;2,(J101*K101)&lt;0),"---",IF(K101="0","---",((J101-K101)/ABS(K101))*100)))</f>
        <v>44.124920256165666</v>
      </c>
      <c r="O101" s="17"/>
      <c r="Q101" s="18"/>
      <c r="R101" s="19"/>
      <c r="S101" s="20" t="str">
        <f>IF(R101=0,"---",IF(OR(ABS((Q101-R101)/ABS(R101))&gt;2,(Q101*R101)&lt;0),"---",IF(R101="0","---",((Q101-R101)/ABS(R101))*100)))</f>
        <v>---</v>
      </c>
      <c r="U101" s="18"/>
      <c r="V101" s="19"/>
      <c r="W101" s="20" t="str">
        <f>IF(V101=0,"---",IF(OR(ABS((U101-V101)/ABS(V101))&gt;2,(U101*V101)&lt;0),"---",IF(V101="0","---",((U101-V101)/ABS(V101))*100)))</f>
        <v>---</v>
      </c>
      <c r="Z101" s="17" t="str">
        <f>+IF($B$3="esp","Ajuste perímetro consolidación MX&amp;CR","Consolidation perimeter adjustment MX&amp;CR")</f>
        <v>Consolidation perimeter adjustment MX&amp;CR</v>
      </c>
      <c r="AB101" s="18">
        <f>+[1]RADIO!T93</f>
        <v>0.69825679890323844</v>
      </c>
      <c r="AC101" s="19">
        <f>+[1]RADIO!U93</f>
        <v>0.66154409468136244</v>
      </c>
      <c r="AD101" s="20">
        <f>IF(AC101=0,"---",IF(OR(ABS((AB101-AC101)/ABS(AC101))&gt;2,(AB101*AC101)&lt;0),"---",IF(AC101="0","---",((AB101-AC101)/ABS(AC101))*100)))</f>
        <v>5.5495475686407492</v>
      </c>
      <c r="AF101" s="18">
        <f>+[1]RADIO!X93</f>
        <v>0.26583250128175306</v>
      </c>
      <c r="AG101" s="19">
        <f>+[1]RADIO!Y93</f>
        <v>0.18444589652453303</v>
      </c>
      <c r="AH101" s="20">
        <f>IF(AG101=0,"---",IF(OR(ABS((AF101-AG101)/ABS(AG101))&gt;2,(AF101*AG101)&lt;0),"---",IF(AG101="0","---",((AF101-AG101)/ABS(AG101))*100)))</f>
        <v>44.124920256165666</v>
      </c>
      <c r="AK101" s="17"/>
      <c r="AM101" s="18"/>
      <c r="AN101" s="19"/>
      <c r="AO101" s="20" t="str">
        <f>IF(AN101=0,"---",IF(OR(ABS((AM101-AN101)/ABS(AN101))&gt;2,(AM101*AN101)&lt;0),"---",IF(AN101="0","---",((AM101-AN101)/ABS(AN101))*100)))</f>
        <v>---</v>
      </c>
      <c r="AQ101" s="18"/>
      <c r="AR101" s="19"/>
      <c r="AS101" s="20" t="str">
        <f>IF(AR101=0,"---",IF(OR(ABS((AQ101-AR101)/ABS(AR101))&gt;2,(AQ101*AR101)&lt;0),"---",IF(AR101="0","---",((AQ101-AR101)/ABS(AR101))*100)))</f>
        <v>---</v>
      </c>
      <c r="AV101" s="17"/>
      <c r="AX101" s="18"/>
      <c r="AY101" s="19"/>
      <c r="AZ101" s="20" t="str">
        <f t="shared" si="22"/>
        <v>---</v>
      </c>
      <c r="BB101" s="18"/>
      <c r="BC101" s="19"/>
      <c r="BD101" s="20" t="str">
        <f t="shared" si="23"/>
        <v>---</v>
      </c>
    </row>
    <row r="102" spans="1:56" s="13" customFormat="1" ht="15" customHeight="1">
      <c r="D102" s="17" t="str">
        <f>+IF($B$3="esp","Otros deterioros","Other impairments")</f>
        <v>Other impairments</v>
      </c>
      <c r="E102" s="1"/>
      <c r="F102" s="18">
        <f>+[1]GRUPO!T106</f>
        <v>-1.2166595226954</v>
      </c>
      <c r="G102" s="19">
        <f>+[1]GRUPO!U106</f>
        <v>0.39673899999999995</v>
      </c>
      <c r="H102" s="20"/>
      <c r="J102" s="18">
        <f>+[1]GRUPO!X106</f>
        <v>0</v>
      </c>
      <c r="K102" s="19">
        <f>+[1]GRUPO!Y106</f>
        <v>0.39673899999999995</v>
      </c>
      <c r="L102" s="20"/>
      <c r="O102" s="17"/>
      <c r="P102" s="1"/>
      <c r="Q102" s="18"/>
      <c r="R102" s="19"/>
      <c r="S102" s="20" t="str">
        <f>IF(R102=0,"---",IF(OR(ABS((Q102-R102)/ABS(R102))&gt;2,(Q102*R102)&lt;0),"---",IF(R102="0","---",((Q102-R102)/ABS(R102))*100)))</f>
        <v>---</v>
      </c>
      <c r="U102" s="18"/>
      <c r="V102" s="19"/>
      <c r="W102" s="20" t="str">
        <f>IF(V102=0,"---",IF(OR(ABS((U102-V102)/ABS(V102))&gt;2,(U102*V102)&lt;0),"---",IF(V102="0","---",((U102-V102)/ABS(V102))*100)))</f>
        <v>---</v>
      </c>
      <c r="Z102" s="17" t="str">
        <f>+IF($B$3="esp","Deterioros y Pérdidas de inmovilizado","Impairment &amp; Losses from fixed assets")</f>
        <v>Impairment &amp; Losses from fixed assets</v>
      </c>
      <c r="AA102" s="1"/>
      <c r="AB102" s="18">
        <f>+[1]RADIO!T94</f>
        <v>-1.2166595240123199</v>
      </c>
      <c r="AC102" s="19">
        <f>+[1]RADIO!U94</f>
        <v>0</v>
      </c>
      <c r="AD102" s="20" t="str">
        <f>IF(AC102=0,"---",IF(OR(ABS((AB102-AC102)/ABS(AC102))&gt;2,(AB102*AC102)&lt;0),"---",IF(AC102="0","---",((AB102-AC102)/ABS(AC102))*100)))</f>
        <v>---</v>
      </c>
      <c r="AF102" s="18">
        <f>+[1]RADIO!X94</f>
        <v>0</v>
      </c>
      <c r="AG102" s="19">
        <f>+[1]RADIO!Y94</f>
        <v>0</v>
      </c>
      <c r="AH102" s="20" t="str">
        <f>IF(AG102=0,"---",IF(OR(ABS((AF102-AG102)/ABS(AG102))&gt;2,(AF102*AG102)&lt;0),"---",IF(AG102="0","---",((AF102-AG102)/ABS(AG102))*100)))</f>
        <v>---</v>
      </c>
      <c r="AK102" s="17"/>
      <c r="AL102" s="1"/>
      <c r="AM102" s="18"/>
      <c r="AN102" s="19"/>
      <c r="AO102" s="20"/>
      <c r="AQ102" s="18"/>
      <c r="AR102" s="19"/>
      <c r="AS102" s="20"/>
      <c r="AV102" s="17"/>
      <c r="AW102" s="1"/>
      <c r="AX102" s="18"/>
      <c r="AY102" s="19"/>
      <c r="AZ102" s="20" t="str">
        <f t="shared" si="22"/>
        <v>---</v>
      </c>
      <c r="BB102" s="18"/>
      <c r="BC102" s="19"/>
      <c r="BD102" s="20" t="str">
        <f t="shared" si="23"/>
        <v>---</v>
      </c>
    </row>
    <row r="103" spans="1:56" ht="15" customHeight="1">
      <c r="D103" s="17"/>
      <c r="F103" s="18"/>
      <c r="G103" s="19"/>
      <c r="H103" s="20" t="str">
        <f>IF(G103=0,"---",IF(OR(ABS((F103-G103)/ABS(G103))&gt;2,(F103*G103)&lt;0),"---",IF(G103="0","---",((F103-G103)/ABS(G103))*100)))</f>
        <v>---</v>
      </c>
      <c r="J103" s="18"/>
      <c r="K103" s="19"/>
      <c r="L103" s="20" t="str">
        <f>IF(K103=0,"---",IF(OR(ABS((J103-K103)/ABS(K103))&gt;2,(J103*K103)&lt;0),"---",IF(K103="0","---",((J103-K103)/ABS(K103))*100)))</f>
        <v>---</v>
      </c>
      <c r="O103" s="17"/>
      <c r="Q103" s="18"/>
      <c r="R103" s="19"/>
      <c r="S103" s="20"/>
      <c r="U103" s="18"/>
      <c r="V103" s="19"/>
      <c r="W103" s="20"/>
      <c r="Z103" s="17"/>
      <c r="AB103" s="18"/>
      <c r="AC103" s="19"/>
      <c r="AD103" s="20"/>
      <c r="AF103" s="18"/>
      <c r="AG103" s="19"/>
      <c r="AH103" s="20"/>
      <c r="AK103" s="17"/>
      <c r="AM103" s="18"/>
      <c r="AN103" s="19"/>
      <c r="AO103" s="20"/>
      <c r="AQ103" s="18"/>
      <c r="AR103" s="19"/>
      <c r="AS103" s="20"/>
      <c r="AV103" s="17"/>
      <c r="AX103" s="18"/>
      <c r="AY103" s="19"/>
      <c r="AZ103" s="20" t="str">
        <f t="shared" si="22"/>
        <v>---</v>
      </c>
      <c r="BB103" s="18"/>
      <c r="BC103" s="19"/>
      <c r="BD103" s="20" t="str">
        <f t="shared" si="23"/>
        <v>---</v>
      </c>
    </row>
    <row r="104" spans="1:56" ht="15" customHeight="1">
      <c r="A104" s="36"/>
      <c r="D104" s="17"/>
      <c r="F104" s="18"/>
      <c r="G104" s="19"/>
      <c r="H104" s="20"/>
      <c r="J104" s="18"/>
      <c r="K104" s="19"/>
      <c r="L104" s="20"/>
      <c r="O104" s="17"/>
      <c r="Q104" s="18"/>
      <c r="R104" s="19"/>
      <c r="S104" s="20"/>
      <c r="U104" s="18"/>
      <c r="V104" s="19"/>
      <c r="W104" s="20"/>
      <c r="Z104" s="17"/>
      <c r="AB104" s="18"/>
      <c r="AC104" s="19"/>
      <c r="AD104" s="20"/>
      <c r="AF104" s="18"/>
      <c r="AG104" s="19"/>
      <c r="AH104" s="20"/>
      <c r="AK104" s="17"/>
      <c r="AM104" s="18"/>
      <c r="AN104" s="19"/>
      <c r="AO104" s="20"/>
      <c r="AQ104" s="18"/>
      <c r="AR104" s="19"/>
      <c r="AS104" s="20"/>
      <c r="AV104" s="17"/>
      <c r="AX104" s="18"/>
      <c r="AY104" s="19"/>
      <c r="AZ104" s="20" t="str">
        <f t="shared" si="22"/>
        <v>---</v>
      </c>
      <c r="BB104" s="18"/>
      <c r="BC104" s="19"/>
      <c r="BD104" s="20" t="str">
        <f t="shared" si="23"/>
        <v>---</v>
      </c>
    </row>
    <row r="105" spans="1:56" ht="15" customHeight="1">
      <c r="O105" s="17"/>
      <c r="Q105" s="18"/>
      <c r="R105" s="19"/>
      <c r="S105" s="20"/>
      <c r="U105" s="18"/>
      <c r="V105" s="19"/>
      <c r="W105" s="20"/>
      <c r="Z105" s="17"/>
      <c r="AB105" s="18"/>
      <c r="AC105" s="19"/>
      <c r="AD105" s="20"/>
      <c r="AF105" s="18"/>
      <c r="AG105" s="19"/>
      <c r="AH105" s="20"/>
      <c r="AK105" s="17"/>
      <c r="AM105" s="18"/>
      <c r="AN105" s="19"/>
      <c r="AO105" s="20"/>
      <c r="AQ105" s="18"/>
      <c r="AR105" s="19"/>
      <c r="AS105" s="20"/>
      <c r="AV105" s="17"/>
      <c r="AX105" s="18"/>
      <c r="AY105" s="19"/>
      <c r="AZ105" s="20" t="str">
        <f t="shared" si="22"/>
        <v>---</v>
      </c>
      <c r="BB105" s="18"/>
      <c r="BC105" s="19"/>
      <c r="BD105" s="20" t="str">
        <f t="shared" si="23"/>
        <v>---</v>
      </c>
    </row>
    <row r="106" spans="1:56" ht="15" customHeight="1">
      <c r="D106" s="17"/>
      <c r="F106" s="19"/>
      <c r="G106" s="19"/>
      <c r="H106" s="20"/>
      <c r="J106" s="19"/>
      <c r="K106" s="19"/>
      <c r="L106" s="20"/>
    </row>
    <row r="107" spans="1:56" ht="15" customHeight="1"/>
    <row r="108" spans="1:56" ht="15" customHeight="1">
      <c r="D108" s="17"/>
      <c r="F108" s="19"/>
      <c r="G108" s="19"/>
      <c r="H108" s="20"/>
      <c r="J108" s="19"/>
      <c r="K108" s="19"/>
      <c r="L108" s="20"/>
    </row>
    <row r="111" spans="1:56"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B111" s="35"/>
      <c r="BC111" s="35"/>
      <c r="BD111" s="35"/>
    </row>
    <row r="114" spans="4:56">
      <c r="D114" s="9" t="str">
        <f>+IF($B$3="esp","Millones de €","€ Millions")</f>
        <v>€ Millions</v>
      </c>
      <c r="F114" s="7" t="str">
        <f>+F6</f>
        <v>ENERO - SEPTIEMBRE</v>
      </c>
      <c r="G114" s="8"/>
      <c r="H114" s="8"/>
      <c r="J114" s="7" t="str">
        <f>+J6</f>
        <v>JULIO - SEPTIEMBRE</v>
      </c>
      <c r="K114" s="8"/>
      <c r="L114" s="8"/>
      <c r="O114" s="9" t="str">
        <f>+IF($B$3="esp","Millones de €","€ Millions")</f>
        <v>€ Millions</v>
      </c>
      <c r="Q114" s="7" t="str">
        <f>+Q6</f>
        <v>ENERO - SEPTIEMBRE</v>
      </c>
      <c r="R114" s="8"/>
      <c r="S114" s="8"/>
      <c r="U114" s="7" t="str">
        <f>+U6</f>
        <v>JULIO - SEPTIEMBRE</v>
      </c>
      <c r="V114" s="8"/>
      <c r="W114" s="8"/>
      <c r="Z114" s="9" t="str">
        <f>+IF($B$3="esp","Millones de €","€ Millions")</f>
        <v>€ Millions</v>
      </c>
      <c r="AB114" s="7" t="str">
        <f>+AB6</f>
        <v>ENERO - SEPTIEMBRE</v>
      </c>
      <c r="AC114" s="8"/>
      <c r="AD114" s="8"/>
      <c r="AF114" s="7" t="str">
        <f>+AF6</f>
        <v>JULIO - SEPTIEMBRE</v>
      </c>
      <c r="AG114" s="8"/>
      <c r="AH114" s="8"/>
      <c r="AK114" s="9" t="str">
        <f>+IF($B$3="esp","Millones de €","€ Millions")</f>
        <v>€ Millions</v>
      </c>
      <c r="AM114" s="7" t="str">
        <f>+IF($B$3="esp","ENERO - MARZO","JANUARY - MARCH")</f>
        <v>JANUARY - MARCH</v>
      </c>
      <c r="AN114" s="8"/>
      <c r="AO114" s="8"/>
      <c r="AQ114" s="7" t="str">
        <f>+IF($B$3="esp","ENERO - MARZO","JANUARY - MARCH")</f>
        <v>JANUARY - MARCH</v>
      </c>
      <c r="AR114" s="8"/>
      <c r="AS114" s="8"/>
      <c r="AV114" s="9" t="str">
        <f>+IF($B$3="esp","Millones de €","€ Millions")</f>
        <v>€ Millions</v>
      </c>
      <c r="AX114" s="7" t="str">
        <f>+IF($B$3="esp","ENERO - MARZO","JANUARY - MARCH")</f>
        <v>JANUARY - MARCH</v>
      </c>
      <c r="AY114" s="8"/>
      <c r="AZ114" s="8"/>
      <c r="BB114" s="7" t="str">
        <f>+IF($B$3="esp","ENERO - MARZO","JANUARY - MARCH")</f>
        <v>JANUARY - MARCH</v>
      </c>
      <c r="BC114" s="8"/>
      <c r="BD114" s="8"/>
    </row>
    <row r="115" spans="4:56" ht="6.75" customHeight="1">
      <c r="D115" s="9"/>
    </row>
    <row r="116" spans="4:56" ht="15">
      <c r="D116" s="37" t="str">
        <f>+IF($B$3="esp","GRUPO","GROUP")</f>
        <v>GROUP</v>
      </c>
      <c r="F116" s="10">
        <v>2017</v>
      </c>
      <c r="G116" s="10">
        <v>2016</v>
      </c>
      <c r="H116" s="10" t="str">
        <f>+IF($B$3="esp","Var.%","% Chg.")</f>
        <v>% Chg.</v>
      </c>
      <c r="J116" s="10">
        <v>2017</v>
      </c>
      <c r="K116" s="10">
        <v>2016</v>
      </c>
      <c r="L116" s="10" t="str">
        <f>+IF($B$3="esp","Var.%","% Chg.")</f>
        <v>% Chg.</v>
      </c>
      <c r="O116" s="37" t="str">
        <f>+IF($B$3="esp","EDUCACIÓN","EDUCATION")</f>
        <v>EDUCATION</v>
      </c>
      <c r="Q116" s="10">
        <v>2017</v>
      </c>
      <c r="R116" s="10">
        <v>2016</v>
      </c>
      <c r="S116" s="10" t="str">
        <f>+IF($B$3="esp","Var.%","% Chg.")</f>
        <v>% Chg.</v>
      </c>
      <c r="U116" s="10">
        <v>2017</v>
      </c>
      <c r="V116" s="10">
        <v>2016</v>
      </c>
      <c r="W116" s="10" t="str">
        <f>+IF($B$3="esp","Var.%","% Chg.")</f>
        <v>% Chg.</v>
      </c>
      <c r="Z116" s="37" t="str">
        <f>+IF($B$3="esp","RADIO","RADIO")</f>
        <v>RADIO</v>
      </c>
      <c r="AB116" s="10">
        <v>2017</v>
      </c>
      <c r="AC116" s="10">
        <v>2016</v>
      </c>
      <c r="AD116" s="10" t="str">
        <f>+IF($B$3="esp","Var.%","% Chg.")</f>
        <v>% Chg.</v>
      </c>
      <c r="AF116" s="10">
        <v>2017</v>
      </c>
      <c r="AG116" s="10">
        <v>2016</v>
      </c>
      <c r="AH116" s="10" t="str">
        <f>+IF($B$3="esp","Var.%","% Chg.")</f>
        <v>% Chg.</v>
      </c>
      <c r="AK116" s="37" t="str">
        <f>+IF($B$3="esp","PRENSA","PRESS")</f>
        <v>PRESS</v>
      </c>
      <c r="AM116" s="10">
        <v>2017</v>
      </c>
      <c r="AN116" s="10">
        <v>2016</v>
      </c>
      <c r="AO116" s="10" t="str">
        <f>+IF($B$3="esp","Var.%","% Chg.")</f>
        <v>% Chg.</v>
      </c>
      <c r="AQ116" s="10">
        <v>2017</v>
      </c>
      <c r="AR116" s="10">
        <v>2016</v>
      </c>
      <c r="AS116" s="10" t="str">
        <f>+IF($B$3="esp","Var.%","% Chg.")</f>
        <v>% Chg.</v>
      </c>
      <c r="AV116" s="37" t="str">
        <f>+IF($B$3="esp","MEDIA CAPITAL","MEDIA CAPITAL")</f>
        <v>MEDIA CAPITAL</v>
      </c>
      <c r="AX116" s="10">
        <v>2017</v>
      </c>
      <c r="AY116" s="10">
        <v>2016</v>
      </c>
      <c r="AZ116" s="10" t="str">
        <f>+IF($B$3="esp","Var.%","% Chg.")</f>
        <v>% Chg.</v>
      </c>
      <c r="BB116" s="10">
        <v>2017</v>
      </c>
      <c r="BC116" s="10">
        <v>2016</v>
      </c>
      <c r="BD116" s="10" t="str">
        <f>+IF($B$3="esp","Var.%","% Chg.")</f>
        <v>% Chg.</v>
      </c>
    </row>
    <row r="117" spans="4:56" ht="15.75" customHeight="1">
      <c r="D117" s="11"/>
      <c r="F117" s="12"/>
      <c r="G117" s="12"/>
      <c r="H117" s="12"/>
      <c r="J117" s="12"/>
      <c r="K117" s="12"/>
      <c r="L117" s="12"/>
      <c r="O117" s="11"/>
      <c r="Q117" s="12"/>
      <c r="R117" s="12"/>
      <c r="S117" s="12"/>
      <c r="U117" s="12"/>
      <c r="V117" s="12"/>
      <c r="W117" s="12"/>
      <c r="Z117" s="11"/>
      <c r="AB117" s="12"/>
      <c r="AC117" s="12"/>
      <c r="AD117" s="12"/>
      <c r="AF117" s="12"/>
      <c r="AG117" s="12"/>
      <c r="AH117" s="12"/>
      <c r="AK117" s="11"/>
      <c r="AM117" s="12"/>
      <c r="AN117" s="12"/>
      <c r="AO117" s="12"/>
      <c r="AQ117" s="12"/>
      <c r="AR117" s="12"/>
      <c r="AS117" s="12"/>
      <c r="AV117" s="11"/>
      <c r="AX117" s="12"/>
      <c r="AY117" s="12"/>
      <c r="AZ117" s="12"/>
      <c r="BB117" s="12"/>
      <c r="BC117" s="12"/>
      <c r="BD117" s="12"/>
    </row>
    <row r="118" spans="4:56" s="13" customFormat="1" ht="15" customHeight="1">
      <c r="D118" s="13" t="str">
        <f>+IF($B$3="esp","EBITDA","EBITDA")</f>
        <v>EBITDA</v>
      </c>
      <c r="F118" s="14">
        <f>+[1]GRUPO!T150</f>
        <v>178.05025079567</v>
      </c>
      <c r="G118" s="15">
        <f>+[1]GRUPO!U150</f>
        <v>175.50776664511</v>
      </c>
      <c r="H118" s="16">
        <f>IF(G118=0,"---",IF(OR(ABS((F118-G118)/ABS(G118))&gt;2,(F118*G118)&lt;0),"---",IF(G118="0","---",((F118-G118)/ABS(G118))*100)))</f>
        <v>1.4486448088084305</v>
      </c>
      <c r="J118" s="14">
        <f>+[1]GRUPO!X150</f>
        <v>77.260859242289996</v>
      </c>
      <c r="K118" s="15">
        <f>+[1]GRUPO!Y150</f>
        <v>106.71700694115729</v>
      </c>
      <c r="L118" s="16">
        <f>IF(K118=0,"---",IF(OR(ABS((J118-K118)/ABS(K118))&gt;2,(J118*K118)&lt;0),"---",IF(K118="0","---",((J118-K118)/ABS(K118))*100)))</f>
        <v>-27.602111924961619</v>
      </c>
      <c r="O118" s="13" t="str">
        <f>+IF($B$3="esp","EBITDA","EBITDA")</f>
        <v>EBITDA</v>
      </c>
      <c r="Q118" s="14">
        <f>+[1]SANTILLANA!T156</f>
        <v>163.89341536291298</v>
      </c>
      <c r="R118" s="15">
        <f>+[1]SANTILLANA!U156</f>
        <v>163.820619335375</v>
      </c>
      <c r="S118" s="16">
        <f>IF(R118=0,"---",IF(OR(ABS((Q118-R118)/ABS(R118))&gt;2,(Q118*R118)&lt;0),"---",IF(R118="0","---",((Q118-R118)/ABS(R118))*100)))</f>
        <v>4.4436425544788778E-2</v>
      </c>
      <c r="U118" s="14">
        <f>+[1]SANTILLANA!X156</f>
        <v>71.996457040043765</v>
      </c>
      <c r="V118" s="15">
        <f>+[1]SANTILLANA!Y156</f>
        <v>103.0895702080737</v>
      </c>
      <c r="W118" s="16">
        <f>IF(V118=0,"---",IF(OR(ABS((U118-V118)/ABS(V118))&gt;2,(U118*V118)&lt;0),"---",IF(V118="0","---",((U118-V118)/ABS(V118))*100)))</f>
        <v>-30.161259868745482</v>
      </c>
      <c r="Z118" s="13" t="str">
        <f>+IF($B$3="esp","EBITDA","EBITDA")</f>
        <v>EBITDA</v>
      </c>
      <c r="AB118" s="14">
        <f>+[1]RADIO!T107</f>
        <v>24.116898273371497</v>
      </c>
      <c r="AC118" s="15">
        <f>+[1]RADIO!U107</f>
        <v>20.0285205413103</v>
      </c>
      <c r="AD118" s="16">
        <f>IF(AC118=0,"---",IF(OR(ABS((AB118-AC118)/ABS(AC118))&gt;2,(AB118*AC118)&lt;0),"---",IF(AC118="0","---",((AB118-AC118)/ABS(AC118))*100)))</f>
        <v>20.412779484279014</v>
      </c>
      <c r="AF118" s="14">
        <f>+[1]RADIO!X107</f>
        <v>5.7896447135052966</v>
      </c>
      <c r="AG118" s="15">
        <f>+[1]RADIO!Y107</f>
        <v>6.6527186475019988</v>
      </c>
      <c r="AH118" s="16">
        <f>IF(AG118=0,"---",IF(OR(ABS((AF118-AG118)/ABS(AG118))&gt;2,(AF118*AG118)&lt;0),"---",IF(AG118="0","---",((AF118-AG118)/ABS(AG118))*100)))</f>
        <v>-12.973251684418882</v>
      </c>
      <c r="AK118" s="13" t="str">
        <f>+IF($B$3="esp","EBITDA","EBITDA")</f>
        <v>EBITDA</v>
      </c>
      <c r="AM118" s="14">
        <f>+[1]NOTICIAS!T65</f>
        <v>1.94518677074827</v>
      </c>
      <c r="AN118" s="15">
        <f>+[1]NOTICIAS!U65</f>
        <v>7.0910176168268695</v>
      </c>
      <c r="AO118" s="16">
        <f>IF(AN118=0,"---",IF(OR(ABS((AM118-AN118)/ABS(AN118))&gt;2,(AM118*AN118)&lt;0),"---",IF(AN118="0","---",((AM118-AN118)/ABS(AN118))*100)))</f>
        <v>-72.568298714526208</v>
      </c>
      <c r="AQ118" s="14">
        <f>+[1]NOTICIAS!X65</f>
        <v>-1.7117274660738599</v>
      </c>
      <c r="AR118" s="15">
        <f>+[1]NOTICIAS!Y65</f>
        <v>-3.2338694325170003E-2</v>
      </c>
      <c r="AS118" s="16" t="str">
        <f>IF(AR118=0,"---",IF(OR(ABS((AQ118-AR118)/ABS(AR118))&gt;2,(AQ118*AR118)&lt;0),"---",IF(AR118="0","---",((AQ118-AR118)/ABS(AR118))*100)))</f>
        <v>---</v>
      </c>
      <c r="AV118" s="13" t="str">
        <f>+IF($B$3="esp","EBITDA","EBITDA")</f>
        <v>EBITDA</v>
      </c>
      <c r="AX118" s="14">
        <f>+'[1]MEDIA CAPITAL'!T63</f>
        <v>22.861196092928399</v>
      </c>
      <c r="AY118" s="15">
        <f>+'[1]MEDIA CAPITAL'!U63</f>
        <v>22.719841827953797</v>
      </c>
      <c r="AZ118" s="16">
        <f>IF(AY118=0,"---",IF(OR(ABS((AX118-AY118)/ABS(AY118))&gt;2,(AX118*AY118)&lt;0),"---",IF(AY118="0","---",((AX118-AY118)/ABS(AY118))*100)))</f>
        <v>0.62216218776965271</v>
      </c>
      <c r="BB118" s="14">
        <f>+'[1]MEDIA CAPITAL'!X63</f>
        <v>5.4346167523705979</v>
      </c>
      <c r="BC118" s="15">
        <f>+'[1]MEDIA CAPITAL'!Y63</f>
        <v>5.4673003886411955</v>
      </c>
      <c r="BD118" s="16">
        <f>IF(BC118=0,"---",IF(OR(ABS((BB118-BC118)/ABS(BC118))&gt;2,(BB118*BC118)&lt;0),"---",IF(BC118="0","---",((BB118-BC118)/ABS(BC118))*100)))</f>
        <v>-0.59780209513457006</v>
      </c>
    </row>
    <row r="119" spans="4:56" ht="15" customHeight="1">
      <c r="D119" s="17" t="str">
        <f>+IF($B$3="esp","Radio México y Costa Rica","Radio Mexico and Costa Rica")</f>
        <v>Radio Mexico and Costa Rica</v>
      </c>
      <c r="F119" s="18">
        <f>+[1]GRUPO!T151</f>
        <v>5.6464331789638544</v>
      </c>
      <c r="G119" s="19">
        <f>+[1]GRUPO!U151</f>
        <v>5.3214751490472221</v>
      </c>
      <c r="H119" s="20">
        <f t="shared" ref="H119:H125" si="24">IF(G119=0,"---",IF(OR(ABS((F119-G119)/ABS(G119))&gt;2,(F119*G119)&lt;0),"---",IF(G119="0","---",((F119-G119)/ABS(G119))*100)))</f>
        <v>6.1065404012046196</v>
      </c>
      <c r="J119" s="18">
        <f>+[1]GRUPO!X151</f>
        <v>1.7513422157309684</v>
      </c>
      <c r="K119" s="19">
        <f>+[1]GRUPO!Y151</f>
        <v>1.7506214869330181</v>
      </c>
      <c r="L119" s="20">
        <f t="shared" ref="L119:L125" si="25">IF(K119=0,"---",IF(OR(ABS((J119-K119)/ABS(K119))&gt;2,(J119*K119)&lt;0),"---",IF(K119="0","---",((J119-K119)/ABS(K119))*100)))</f>
        <v>4.1169881857953089E-2</v>
      </c>
      <c r="O119" s="17" t="str">
        <f>+IF($B$3="esp","Efectos extraordinarios","Extraordinary effects")</f>
        <v>Extraordinary effects</v>
      </c>
      <c r="Q119" s="18">
        <f>+[1]SANTILLANA!T157</f>
        <v>3.6967098485372398</v>
      </c>
      <c r="R119" s="19">
        <f>+[1]SANTILLANA!U157</f>
        <v>3.41608916773838</v>
      </c>
      <c r="S119" s="20">
        <f t="shared" ref="S119:S124" si="26">IF(R119=0,"---",IF(OR(ABS((Q119-R119)/ABS(R119))&gt;2,(Q119*R119)&lt;0),"---",IF(R119="0","---",((Q119-R119)/ABS(R119))*100)))</f>
        <v>8.214676696646201</v>
      </c>
      <c r="U119" s="18">
        <f>+[1]SANTILLANA!X157</f>
        <v>1.3901926974767296</v>
      </c>
      <c r="V119" s="19">
        <f>+[1]SANTILLANA!Y157</f>
        <v>1.3367008138669503</v>
      </c>
      <c r="W119" s="20">
        <f t="shared" ref="W119:W124" si="27">IF(V119=0,"---",IF(OR(ABS((U119-V119)/ABS(V119))&gt;2,(U119*V119)&lt;0),"---",IF(V119="0","---",((U119-V119)/ABS(V119))*100)))</f>
        <v>4.0017843226288079</v>
      </c>
      <c r="Z119" s="17" t="str">
        <f>+IF($B$3="esp","Radio México y Costa Rica","Radio Mexico and Costa Rica")</f>
        <v>Radio Mexico and Costa Rica</v>
      </c>
      <c r="AB119" s="18">
        <f>+[1]RADIO!T108</f>
        <v>5.6464331789638544</v>
      </c>
      <c r="AC119" s="19">
        <f>+[1]RADIO!U108</f>
        <v>5.3214751490472221</v>
      </c>
      <c r="AD119" s="20">
        <f t="shared" ref="AD119:AD125" si="28">IF(AC119=0,"---",IF(OR(ABS((AB119-AC119)/ABS(AC119))&gt;2,(AB119*AC119)&lt;0),"---",IF(AC119="0","---",((AB119-AC119)/ABS(AC119))*100)))</f>
        <v>6.1065404012046196</v>
      </c>
      <c r="AF119" s="18">
        <f>+[1]RADIO!X108</f>
        <v>1.7513422157309684</v>
      </c>
      <c r="AG119" s="19">
        <f>+[1]RADIO!Y108</f>
        <v>1.7506214869330181</v>
      </c>
      <c r="AH119" s="20">
        <f t="shared" ref="AH119:AH125" si="29">IF(AG119=0,"---",IF(OR(ABS((AF119-AG119)/ABS(AG119))&gt;2,(AF119*AG119)&lt;0),"---",IF(AG119="0","---",((AF119-AG119)/ABS(AG119))*100)))</f>
        <v>4.1169881857953089E-2</v>
      </c>
      <c r="AK119" s="17" t="str">
        <f>+IF($B$3="esp","Efectos extraordinarios","Extraordinary effects")</f>
        <v>Extraordinary effects</v>
      </c>
      <c r="AM119" s="18">
        <f>+[1]NOTICIAS!T66</f>
        <v>2.5675437287251599</v>
      </c>
      <c r="AN119" s="19">
        <f>+[1]NOTICIAS!U66</f>
        <v>0.396050102692035</v>
      </c>
      <c r="AO119" s="20" t="str">
        <f t="shared" ref="AO119:AO124" si="30">IF(AN119=0,"---",IF(OR(ABS((AM119-AN119)/ABS(AN119))&gt;2,(AM119*AN119)&lt;0),"---",IF(AN119="0","---",((AM119-AN119)/ABS(AN119))*100)))</f>
        <v>---</v>
      </c>
      <c r="AQ119" s="18">
        <f>+[1]NOTICIAS!X66</f>
        <v>0.26492037872516017</v>
      </c>
      <c r="AR119" s="19">
        <f>+[1]NOTICIAS!Y66</f>
        <v>0.14191900000000002</v>
      </c>
      <c r="AS119" s="20">
        <f t="shared" ref="AS119:AS124" si="31">IF(AR119=0,"---",IF(OR(ABS((AQ119-AR119)/ABS(AR119))&gt;2,(AQ119*AR119)&lt;0),"---",IF(AR119="0","---",((AQ119-AR119)/ABS(AR119))*100)))</f>
        <v>86.670127837118443</v>
      </c>
      <c r="AV119" s="17" t="str">
        <f>+IF($B$3="esp","Efectos extraordinarios","Extraordinary effects")</f>
        <v>Extraordinary effects</v>
      </c>
      <c r="AX119" s="18">
        <f>+'[1]MEDIA CAPITAL'!T64</f>
        <v>0.91717209000000111</v>
      </c>
      <c r="AY119" s="19">
        <f>+'[1]MEDIA CAPITAL'!U64</f>
        <v>0.81588526000000172</v>
      </c>
      <c r="AZ119" s="20">
        <f t="shared" ref="AZ119:AZ124" si="32">IF(AY119=0,"---",IF(OR(ABS((AX119-AY119)/ABS(AY119))&gt;2,(AX119*AY119)&lt;0),"---",IF(AY119="0","---",((AX119-AY119)/ABS(AY119))*100)))</f>
        <v>12.414347331143006</v>
      </c>
      <c r="BB119" s="18">
        <f>+'[1]MEDIA CAPITAL'!X64</f>
        <v>8.4105400000002106E-2</v>
      </c>
      <c r="BC119" s="19">
        <f>+'[1]MEDIA CAPITAL'!Y64</f>
        <v>0.3984308700000021</v>
      </c>
      <c r="BD119" s="20">
        <f t="shared" ref="BD119:BD124" si="33">IF(BC119=0,"---",IF(OR(ABS((BB119-BC119)/ABS(BC119))&gt;2,(BB119*BC119)&lt;0),"---",IF(BC119="0","---",((BB119-BC119)/ABS(BC119))*100)))</f>
        <v>-78.890842469108463</v>
      </c>
    </row>
    <row r="120" spans="4:56" ht="15" customHeight="1">
      <c r="D120" s="17" t="str">
        <f>+IF($B$3="esp","Efectos extraordinarios","Extraordinary effects")</f>
        <v>Extraordinary effects</v>
      </c>
      <c r="F120" s="18">
        <f>+[1]GRUPO!T152</f>
        <v>15.82507673006894</v>
      </c>
      <c r="G120" s="19">
        <f>+[1]GRUPO!U152</f>
        <v>9.5840725570866905</v>
      </c>
      <c r="H120" s="20">
        <f t="shared" si="24"/>
        <v>65.11849879900484</v>
      </c>
      <c r="J120" s="18">
        <f>+[1]GRUPO!X152</f>
        <v>3.4124295327018022</v>
      </c>
      <c r="K120" s="19">
        <f>+[1]GRUPO!Y152</f>
        <v>3.0302045053582312</v>
      </c>
      <c r="L120" s="20">
        <f t="shared" si="25"/>
        <v>12.613836018912009</v>
      </c>
      <c r="O120" s="13" t="str">
        <f>+IF($B$3="esp","EBITDA Ajustado","Adjusted EBITDA")</f>
        <v>Adjusted EBITDA</v>
      </c>
      <c r="P120" s="13"/>
      <c r="Q120" s="14">
        <f>+[1]SANTILLANA!T158</f>
        <v>167.59012521145021</v>
      </c>
      <c r="R120" s="15">
        <f>+[1]SANTILLANA!U158</f>
        <v>167.23670850311339</v>
      </c>
      <c r="S120" s="16">
        <f t="shared" si="26"/>
        <v>0.21132723281877061</v>
      </c>
      <c r="U120" s="14">
        <f>+[1]SANTILLANA!X158</f>
        <v>73.3866497375205</v>
      </c>
      <c r="V120" s="15">
        <f>+[1]SANTILLANA!Y158</f>
        <v>104.42627102194066</v>
      </c>
      <c r="W120" s="16">
        <f t="shared" si="27"/>
        <v>-29.723958330273547</v>
      </c>
      <c r="Z120" s="17" t="str">
        <f>+IF($B$3="esp","Efectos extraordinarios","Extraordinary effects")</f>
        <v>Extraordinary effects</v>
      </c>
      <c r="AB120" s="18">
        <f>+[1]RADIO!T109</f>
        <v>4.34975599277898</v>
      </c>
      <c r="AC120" s="19">
        <f>+[1]RADIO!U109</f>
        <v>4.1047847200908798</v>
      </c>
      <c r="AD120" s="20">
        <f t="shared" si="28"/>
        <v>5.9679444695135313</v>
      </c>
      <c r="AF120" s="18">
        <f>+[1]RADIO!X109</f>
        <v>0.66330383647238067</v>
      </c>
      <c r="AG120" s="19">
        <f>+[1]RADIO!Y109</f>
        <v>0.51788793606755945</v>
      </c>
      <c r="AH120" s="20">
        <f t="shared" si="29"/>
        <v>28.078642168998396</v>
      </c>
      <c r="AK120" s="13" t="str">
        <f>+IF($B$3="esp","EBITDA Ajustado","Adjusted EBITDA")</f>
        <v>Adjusted EBITDA</v>
      </c>
      <c r="AL120" s="13"/>
      <c r="AM120" s="14">
        <f>+[1]NOTICIAS!T67</f>
        <v>4.5127304994734292</v>
      </c>
      <c r="AN120" s="15">
        <f>+[1]NOTICIAS!U67</f>
        <v>7.4870677195189046</v>
      </c>
      <c r="AO120" s="16">
        <f t="shared" si="30"/>
        <v>-39.72632987265937</v>
      </c>
      <c r="AQ120" s="14">
        <f>+[1]NOTICIAS!X67</f>
        <v>-1.4468070873487004</v>
      </c>
      <c r="AR120" s="15">
        <f>+[1]NOTICIAS!Y67</f>
        <v>0.10958030567482968</v>
      </c>
      <c r="AS120" s="16" t="str">
        <f t="shared" si="31"/>
        <v>---</v>
      </c>
      <c r="AV120" s="13" t="str">
        <f>+IF($B$3="esp","EBITDA Ajustado","Adjusted EBITDA")</f>
        <v>Adjusted EBITDA</v>
      </c>
      <c r="AW120" s="13"/>
      <c r="AX120" s="14">
        <f>+'[1]MEDIA CAPITAL'!T65</f>
        <v>23.7783681829284</v>
      </c>
      <c r="AY120" s="15">
        <f>+'[1]MEDIA CAPITAL'!U65</f>
        <v>23.535727087953799</v>
      </c>
      <c r="AZ120" s="16">
        <f t="shared" si="32"/>
        <v>1.0309479459370152</v>
      </c>
      <c r="BB120" s="14">
        <f>+'[1]MEDIA CAPITAL'!X65</f>
        <v>5.5187221523706</v>
      </c>
      <c r="BC120" s="15">
        <f>+'[1]MEDIA CAPITAL'!Y65</f>
        <v>5.8657312586411976</v>
      </c>
      <c r="BD120" s="16">
        <f t="shared" si="33"/>
        <v>-5.9158712012146042</v>
      </c>
    </row>
    <row r="121" spans="4:56" ht="15" customHeight="1">
      <c r="D121" s="13" t="str">
        <f>+IF($B$3="esp","EBITDA Ajustado","Adjusted EBITDA")</f>
        <v>Adjusted EBITDA</v>
      </c>
      <c r="E121" s="13"/>
      <c r="F121" s="14">
        <f>+[1]GRUPO!T153</f>
        <v>194.8882547047028</v>
      </c>
      <c r="G121" s="15">
        <f>+[1]GRUPO!U153</f>
        <v>190.41331435124391</v>
      </c>
      <c r="H121" s="16">
        <f t="shared" si="24"/>
        <v>2.3501194591908838</v>
      </c>
      <c r="J121" s="14">
        <f>+[1]GRUPO!X153</f>
        <v>77.791124990722778</v>
      </c>
      <c r="K121" s="15">
        <f>+[1]GRUPO!Y153</f>
        <v>111.49783293344855</v>
      </c>
      <c r="L121" s="16">
        <f t="shared" si="25"/>
        <v>-30.230818892098842</v>
      </c>
      <c r="O121" s="17" t="str">
        <f>+IF($B$3="esp","Amortizaciones","Amortizations")</f>
        <v>Amortizations</v>
      </c>
      <c r="Q121" s="18">
        <f>+[1]SANTILLANA!T159</f>
        <v>39.6118756101557</v>
      </c>
      <c r="R121" s="19">
        <f>+[1]SANTILLANA!U159</f>
        <v>41.5275890874344</v>
      </c>
      <c r="S121" s="20">
        <f t="shared" si="26"/>
        <v>-4.6131102704885061</v>
      </c>
      <c r="U121" s="18">
        <f>+[1]SANTILLANA!X159</f>
        <v>17.899956337891002</v>
      </c>
      <c r="V121" s="19">
        <f>+[1]SANTILLANA!Y159</f>
        <v>19.2330526215224</v>
      </c>
      <c r="W121" s="20">
        <f t="shared" si="27"/>
        <v>-6.9312776804843823</v>
      </c>
      <c r="Z121" s="13" t="str">
        <f>+IF($B$3="esp","EBITDA Ajustado","Adjusted EBITDA")</f>
        <v>Adjusted EBITDA</v>
      </c>
      <c r="AA121" s="13"/>
      <c r="AB121" s="14">
        <f>+[1]RADIO!T110</f>
        <v>34.113087445114331</v>
      </c>
      <c r="AC121" s="15">
        <f>+[1]RADIO!U110</f>
        <v>29.4547804104484</v>
      </c>
      <c r="AD121" s="16">
        <f t="shared" si="28"/>
        <v>15.815113776959292</v>
      </c>
      <c r="AF121" s="14">
        <f>+[1]RADIO!X110</f>
        <v>8.2042907657086417</v>
      </c>
      <c r="AG121" s="15">
        <f>+[1]RADIO!Y110</f>
        <v>8.9212280705025755</v>
      </c>
      <c r="AH121" s="16">
        <f t="shared" si="29"/>
        <v>-8.0363073237017382</v>
      </c>
      <c r="AK121" s="17" t="str">
        <f>+IF($B$3="esp","Amortizaciones","Amortizations")</f>
        <v>Amortizations</v>
      </c>
      <c r="AM121" s="18">
        <f>+[1]NOTICIAS!T68</f>
        <v>5.6780267827789599</v>
      </c>
      <c r="AN121" s="19">
        <f>+[1]NOTICIAS!U68</f>
        <v>5.46150981710975</v>
      </c>
      <c r="AO121" s="20">
        <f t="shared" si="30"/>
        <v>3.9644159384444975</v>
      </c>
      <c r="AQ121" s="18">
        <f>+[1]NOTICIAS!X68</f>
        <v>1.9119799724892901</v>
      </c>
      <c r="AR121" s="19">
        <f>+[1]NOTICIAS!Y68</f>
        <v>1.84313502442384</v>
      </c>
      <c r="AS121" s="20">
        <f t="shared" si="31"/>
        <v>3.7352091492575719</v>
      </c>
      <c r="AV121" s="17" t="str">
        <f>+IF($B$3="esp","Amortizaciones","Amortizations")</f>
        <v>Amortizations</v>
      </c>
      <c r="AX121" s="18">
        <f>+'[1]MEDIA CAPITAL'!T66</f>
        <v>5.7846811300000001</v>
      </c>
      <c r="AY121" s="19">
        <f>+'[1]MEDIA CAPITAL'!U66</f>
        <v>6.2872005600000005</v>
      </c>
      <c r="AZ121" s="20">
        <f t="shared" si="32"/>
        <v>-7.992737390900098</v>
      </c>
      <c r="BB121" s="18">
        <f>+'[1]MEDIA CAPITAL'!X66</f>
        <v>1.9467319700000001</v>
      </c>
      <c r="BC121" s="19">
        <f>+'[1]MEDIA CAPITAL'!Y66</f>
        <v>2.1461901400000007</v>
      </c>
      <c r="BD121" s="20">
        <f t="shared" si="33"/>
        <v>-9.293592691652222</v>
      </c>
    </row>
    <row r="122" spans="4:56" ht="15" customHeight="1">
      <c r="D122" s="17" t="str">
        <f>+IF($B$3="esp","Amortizaciones","Amortizations")</f>
        <v>Amortizations</v>
      </c>
      <c r="F122" s="18">
        <f>+[1]GRUPO!T154</f>
        <v>52.439278301008237</v>
      </c>
      <c r="G122" s="19">
        <f>+[1]GRUPO!U154</f>
        <v>56.751491836698101</v>
      </c>
      <c r="H122" s="20">
        <f t="shared" si="24"/>
        <v>-7.598414413665493</v>
      </c>
      <c r="J122" s="18">
        <f>+[1]GRUPO!X154</f>
        <v>22.156451024890142</v>
      </c>
      <c r="K122" s="19">
        <f>+[1]GRUPO!Y154</f>
        <v>24.22312463062034</v>
      </c>
      <c r="L122" s="20">
        <f t="shared" si="25"/>
        <v>-8.5318208829166728</v>
      </c>
      <c r="O122" s="17" t="str">
        <f>+IF($B$3="esp","Provisiones","Provisions")</f>
        <v>Provisions</v>
      </c>
      <c r="Q122" s="18">
        <f>+[1]SANTILLANA!T160</f>
        <v>18.9220350580771</v>
      </c>
      <c r="R122" s="19">
        <f>+[1]SANTILLANA!U160</f>
        <v>25.878172934093897</v>
      </c>
      <c r="S122" s="20">
        <f t="shared" si="26"/>
        <v>-26.880328428643608</v>
      </c>
      <c r="U122" s="18">
        <f>+[1]SANTILLANA!X160</f>
        <v>18.147400550759404</v>
      </c>
      <c r="V122" s="19">
        <f>+[1]SANTILLANA!Y160</f>
        <v>23.721639929496355</v>
      </c>
      <c r="W122" s="20">
        <f t="shared" si="27"/>
        <v>-23.498541396397044</v>
      </c>
      <c r="Z122" s="17" t="str">
        <f>+IF($B$3="esp","Amortizaciones","Amortizations")</f>
        <v>Amortizations</v>
      </c>
      <c r="AB122" s="18">
        <f>+[1]RADIO!T111</f>
        <v>6.4111867629104387</v>
      </c>
      <c r="AC122" s="19">
        <f>+[1]RADIO!U111</f>
        <v>6.0635838905535131</v>
      </c>
      <c r="AD122" s="20">
        <f t="shared" si="28"/>
        <v>5.7326307119863182</v>
      </c>
      <c r="AF122" s="18">
        <f>+[1]RADIO!X111</f>
        <v>2.1502861152448443</v>
      </c>
      <c r="AG122" s="19">
        <f>+[1]RADIO!Y111</f>
        <v>2.1305110846417858</v>
      </c>
      <c r="AH122" s="20">
        <f t="shared" si="29"/>
        <v>0.92818247910610097</v>
      </c>
      <c r="AK122" s="17" t="str">
        <f>+IF($B$3="esp","Provisiones","Provisions")</f>
        <v>Provisions</v>
      </c>
      <c r="AM122" s="18">
        <f>+[1]NOTICIAS!T69</f>
        <v>0.90893530041822101</v>
      </c>
      <c r="AN122" s="19">
        <f>+[1]NOTICIAS!U69</f>
        <v>0.24762428918342</v>
      </c>
      <c r="AO122" s="20" t="str">
        <f t="shared" si="30"/>
        <v>---</v>
      </c>
      <c r="AQ122" s="18">
        <f>+[1]NOTICIAS!X69</f>
        <v>6.8546811550025066E-2</v>
      </c>
      <c r="AR122" s="19">
        <f>+[1]NOTICIAS!Y69</f>
        <v>2.390545593215801E-2</v>
      </c>
      <c r="AS122" s="20">
        <f t="shared" si="31"/>
        <v>186.741285104773</v>
      </c>
      <c r="AV122" s="17" t="str">
        <f>+IF($B$3="esp","Provisiones","Provisions")</f>
        <v>Provisions</v>
      </c>
      <c r="AX122" s="18">
        <f>+'[1]MEDIA CAPITAL'!T67</f>
        <v>0.11612761999999999</v>
      </c>
      <c r="AY122" s="19">
        <f>+'[1]MEDIA CAPITAL'!U67</f>
        <v>-2.4265540000000002E-2</v>
      </c>
      <c r="AZ122" s="20" t="str">
        <f t="shared" si="32"/>
        <v>---</v>
      </c>
      <c r="BB122" s="18">
        <f>+'[1]MEDIA CAPITAL'!X67</f>
        <v>2.0639679999999994E-2</v>
      </c>
      <c r="BC122" s="19">
        <f>+'[1]MEDIA CAPITAL'!Y67</f>
        <v>-0.10321039</v>
      </c>
      <c r="BD122" s="20" t="str">
        <f t="shared" si="33"/>
        <v>---</v>
      </c>
    </row>
    <row r="123" spans="4:56" ht="15" customHeight="1">
      <c r="D123" s="17" t="str">
        <f>+IF($B$3="esp","Provisiones","Provisions")</f>
        <v>Provisions</v>
      </c>
      <c r="F123" s="18">
        <f>+[1]GRUPO!T155</f>
        <v>21.677073814181885</v>
      </c>
      <c r="G123" s="19">
        <f>+[1]GRUPO!U155</f>
        <v>29.272572562942077</v>
      </c>
      <c r="H123" s="20">
        <f t="shared" si="24"/>
        <v>-25.947493109559471</v>
      </c>
      <c r="J123" s="18">
        <f>+[1]GRUPO!X155</f>
        <v>18.81271602263714</v>
      </c>
      <c r="K123" s="19">
        <f>+[1]GRUPO!Y155</f>
        <v>24.860179711868867</v>
      </c>
      <c r="L123" s="20">
        <f t="shared" si="25"/>
        <v>-24.325904958541056</v>
      </c>
      <c r="O123" s="17" t="str">
        <f>+IF($B$3="esp","Pérdidas de inmovilizado","Impairment from fixed assets")</f>
        <v>Impairment from fixed assets</v>
      </c>
      <c r="Q123" s="18">
        <f>+[1]SANTILLANA!T161</f>
        <v>1.0823202013211741</v>
      </c>
      <c r="R123" s="19">
        <f>+[1]SANTILLANA!U161</f>
        <v>0.86387422948421744</v>
      </c>
      <c r="S123" s="20">
        <f t="shared" si="26"/>
        <v>25.28677953124976</v>
      </c>
      <c r="U123" s="18">
        <f>+[1]SANTILLANA!X161</f>
        <v>0.15485813430037687</v>
      </c>
      <c r="V123" s="19">
        <f>+[1]SANTILLANA!Y161</f>
        <v>-8.0594221049144377E-2</v>
      </c>
      <c r="W123" s="20" t="str">
        <f t="shared" si="27"/>
        <v>---</v>
      </c>
      <c r="Z123" s="17" t="str">
        <f>+IF($B$3="esp","Provisiones","Provisions")</f>
        <v>Provisions</v>
      </c>
      <c r="AB123" s="18">
        <f>+[1]RADIO!T112</f>
        <v>1.5935168995923141</v>
      </c>
      <c r="AC123" s="19">
        <f>+[1]RADIO!U112</f>
        <v>3.0496556347800001</v>
      </c>
      <c r="AD123" s="20">
        <f t="shared" si="28"/>
        <v>-47.747644638334087</v>
      </c>
      <c r="AF123" s="18">
        <f>+[1]RADIO!X112</f>
        <v>0.41005345896710166</v>
      </c>
      <c r="AG123" s="19">
        <f>+[1]RADIO!Y112</f>
        <v>1.0826351510288386</v>
      </c>
      <c r="AH123" s="20">
        <f t="shared" si="29"/>
        <v>-62.124501631281426</v>
      </c>
      <c r="AK123" s="17" t="str">
        <f>+IF($B$3="esp","Pérdidas de inmovilizado","Impairment from fixed assets")</f>
        <v>Impairment from fixed assets</v>
      </c>
      <c r="AM123" s="18">
        <f>+[1]NOTICIAS!T70</f>
        <v>1.6248216452789954E-3</v>
      </c>
      <c r="AN123" s="19">
        <f>+[1]NOTICIAS!U70</f>
        <v>3.3280770000009452E-2</v>
      </c>
      <c r="AO123" s="20">
        <f t="shared" si="30"/>
        <v>-95.117836380352571</v>
      </c>
      <c r="AQ123" s="18">
        <f>+[1]NOTICIAS!X70</f>
        <v>4.9600644456704313E-4</v>
      </c>
      <c r="AR123" s="19">
        <f>+[1]NOTICIAS!Y70</f>
        <v>3.3280770000011589E-2</v>
      </c>
      <c r="AS123" s="20">
        <f t="shared" si="31"/>
        <v>-98.509630502638998</v>
      </c>
      <c r="AV123" s="17" t="str">
        <f>+IF($B$3="esp","Pérdidas de inmovilizado","Impairment from fixed assets")</f>
        <v>Impairment from fixed assets</v>
      </c>
      <c r="AX123" s="18">
        <f>+'[1]MEDIA CAPITAL'!T68</f>
        <v>-5.5511151231257827E-16</v>
      </c>
      <c r="AY123" s="19">
        <f>+'[1]MEDIA CAPITAL'!U68</f>
        <v>8.0402999999759639E-4</v>
      </c>
      <c r="AZ123" s="20" t="str">
        <f t="shared" si="32"/>
        <v>---</v>
      </c>
      <c r="BB123" s="18">
        <f>+'[1]MEDIA CAPITAL'!X68</f>
        <v>-1.3877787807814457E-15</v>
      </c>
      <c r="BC123" s="19">
        <f>+'[1]MEDIA CAPITAL'!Y68</f>
        <v>9.9999971775455165E-9</v>
      </c>
      <c r="BD123" s="20" t="str">
        <f t="shared" si="33"/>
        <v>---</v>
      </c>
    </row>
    <row r="124" spans="4:56" ht="15" customHeight="1">
      <c r="D124" s="17" t="str">
        <f>+IF($B$3="esp","Pérdidas de inmovilizado","Impairment from fixed assets")</f>
        <v>Impairment from fixed assets</v>
      </c>
      <c r="F124" s="18">
        <f>+[1]GRUPO!T156</f>
        <v>-3.7175516470319501</v>
      </c>
      <c r="G124" s="19">
        <f>+[1]GRUPO!U156</f>
        <v>0.72916432948338539</v>
      </c>
      <c r="H124" s="20" t="str">
        <f t="shared" si="24"/>
        <v>---</v>
      </c>
      <c r="J124" s="18">
        <f>+[1]GRUPO!X156</f>
        <v>-4.5341487492528838</v>
      </c>
      <c r="K124" s="19">
        <f>+[1]GRUPO!Y156</f>
        <v>-0.11747234104968207</v>
      </c>
      <c r="L124" s="20" t="str">
        <f t="shared" si="25"/>
        <v>---</v>
      </c>
      <c r="O124" s="13" t="str">
        <f>+IF($B$3="esp","Resultado de Explotación","Operating Result")</f>
        <v>Operating Result</v>
      </c>
      <c r="P124" s="13"/>
      <c r="Q124" s="14">
        <f>+[1]SANTILLANA!T162</f>
        <v>107.97389434189624</v>
      </c>
      <c r="R124" s="15">
        <f>+[1]SANTILLANA!U162</f>
        <v>98.967072252100877</v>
      </c>
      <c r="S124" s="16">
        <f t="shared" si="26"/>
        <v>9.100827057763313</v>
      </c>
      <c r="U124" s="14">
        <f>+[1]SANTILLANA!X162</f>
        <v>37.184434714569718</v>
      </c>
      <c r="V124" s="15">
        <f>+[1]SANTILLANA!Y162</f>
        <v>61.552172691971045</v>
      </c>
      <c r="W124" s="16">
        <f t="shared" si="27"/>
        <v>-39.588753591763769</v>
      </c>
      <c r="Z124" s="17" t="str">
        <f>+IF($B$3="esp","Pérdidas de inmovilizado","Impairment from fixed assets")</f>
        <v>Impairment from fixed assets</v>
      </c>
      <c r="AB124" s="18">
        <f>+[1]RADIO!T113</f>
        <v>-0.16799067000038237</v>
      </c>
      <c r="AC124" s="19">
        <f>+[1]RADIO!U113</f>
        <v>-0.16799066999993917</v>
      </c>
      <c r="AD124" s="20">
        <f t="shared" si="28"/>
        <v>-2.638247894543923E-10</v>
      </c>
      <c r="AF124" s="18">
        <f>+[1]RADIO!X113</f>
        <v>-5.5996890000345356E-2</v>
      </c>
      <c r="AG124" s="19">
        <f>+[1]RADIO!Y113</f>
        <v>-7.0158890000000085E-2</v>
      </c>
      <c r="AH124" s="20">
        <f t="shared" si="29"/>
        <v>20.18561011962235</v>
      </c>
      <c r="AK124" s="13" t="str">
        <f>+IF($B$3="esp","Resultado de Explotación","Operating Result")</f>
        <v>Operating Result</v>
      </c>
      <c r="AL124" s="13"/>
      <c r="AM124" s="14">
        <f>+[1]NOTICIAS!T71</f>
        <v>-2.0758564053690307</v>
      </c>
      <c r="AN124" s="15">
        <f>+[1]NOTICIAS!U71</f>
        <v>1.7446528432257251</v>
      </c>
      <c r="AO124" s="16" t="str">
        <f t="shared" si="30"/>
        <v>---</v>
      </c>
      <c r="AQ124" s="14">
        <f>+[1]NOTICIAS!X71</f>
        <v>-3.4278298778325831</v>
      </c>
      <c r="AR124" s="15">
        <f>+[1]NOTICIAS!Y71</f>
        <v>-1.7907409446811799</v>
      </c>
      <c r="AS124" s="16">
        <f t="shared" si="31"/>
        <v>-91.419640457423469</v>
      </c>
      <c r="AV124" s="13" t="str">
        <f>+IF($B$3="esp","Resultado de Explotación","Operating Result")</f>
        <v>Operating Result</v>
      </c>
      <c r="AW124" s="13"/>
      <c r="AX124" s="14">
        <f>+'[1]MEDIA CAPITAL'!T69</f>
        <v>17.8775594329284</v>
      </c>
      <c r="AY124" s="15">
        <f>+'[1]MEDIA CAPITAL'!U69</f>
        <v>17.2719880379538</v>
      </c>
      <c r="AZ124" s="16">
        <f t="shared" si="32"/>
        <v>3.50608970805159</v>
      </c>
      <c r="BB124" s="14">
        <f>+'[1]MEDIA CAPITAL'!X69</f>
        <v>3.5513505023706013</v>
      </c>
      <c r="BC124" s="15">
        <f>+'[1]MEDIA CAPITAL'!Y69</f>
        <v>3.8227514986411997</v>
      </c>
      <c r="BD124" s="16">
        <f t="shared" si="33"/>
        <v>-7.0996243508652874</v>
      </c>
    </row>
    <row r="125" spans="4:56" ht="15" customHeight="1">
      <c r="D125" s="13" t="str">
        <f>+IF($B$3="esp","Resultado de Explotación","Operating Result")</f>
        <v>Operating Result</v>
      </c>
      <c r="E125" s="13"/>
      <c r="F125" s="14">
        <f>+[1]GRUPO!T157</f>
        <v>124.48945423654463</v>
      </c>
      <c r="G125" s="15">
        <f>+[1]GRUPO!U157</f>
        <v>103.66008562212035</v>
      </c>
      <c r="H125" s="16">
        <f t="shared" si="24"/>
        <v>20.093914151638938</v>
      </c>
      <c r="J125" s="14">
        <f>+[1]GRUPO!X157</f>
        <v>41.356106692448378</v>
      </c>
      <c r="K125" s="15">
        <f>+[1]GRUPO!Y157</f>
        <v>62.532000932009026</v>
      </c>
      <c r="L125" s="16">
        <f t="shared" si="25"/>
        <v>-33.864091863276812</v>
      </c>
      <c r="Z125" s="13" t="str">
        <f>+IF($B$3="esp","Resultado de Explotación","Operating Result")</f>
        <v>Operating Result</v>
      </c>
      <c r="AA125" s="13"/>
      <c r="AB125" s="14">
        <f>+[1]RADIO!T114</f>
        <v>26.276374452611961</v>
      </c>
      <c r="AC125" s="15">
        <f>+[1]RADIO!U114</f>
        <v>20.509531555114826</v>
      </c>
      <c r="AD125" s="16">
        <f t="shared" si="28"/>
        <v>28.117867451043537</v>
      </c>
      <c r="AF125" s="14">
        <f>+[1]RADIO!X114</f>
        <v>5.6999480814970411</v>
      </c>
      <c r="AG125" s="15">
        <f>+[1]RADIO!Y114</f>
        <v>5.7782407248319512</v>
      </c>
      <c r="AH125" s="16">
        <f t="shared" si="29"/>
        <v>-1.354956414301812</v>
      </c>
    </row>
    <row r="128" spans="4:56" ht="14.25" customHeight="1">
      <c r="D128" s="9"/>
      <c r="F128" s="7" t="str">
        <f>+F114</f>
        <v>ENERO - SEPTIEMBRE</v>
      </c>
      <c r="G128" s="8"/>
      <c r="H128" s="8"/>
      <c r="J128" s="7" t="str">
        <f>+J114</f>
        <v>JULIO - SEPTIEMBRE</v>
      </c>
      <c r="K128" s="8"/>
      <c r="L128" s="8"/>
    </row>
    <row r="130" spans="4:56" ht="15.75" customHeight="1">
      <c r="D130" s="37" t="str">
        <f>+IF($B$3="esp","OTROS","OTHERS")</f>
        <v>OTHERS</v>
      </c>
      <c r="F130" s="10">
        <v>2017</v>
      </c>
      <c r="G130" s="10">
        <v>2016</v>
      </c>
      <c r="H130" s="10" t="str">
        <f>+IF($B$3="esp","Var.%","% Chg.")</f>
        <v>% Chg.</v>
      </c>
      <c r="J130" s="10">
        <v>2017</v>
      </c>
      <c r="K130" s="10">
        <v>2016</v>
      </c>
      <c r="L130" s="10" t="str">
        <f>+IF($B$3="esp","Var.%","% Chg.")</f>
        <v>% Chg.</v>
      </c>
    </row>
    <row r="131" spans="4:56" s="13" customFormat="1" ht="15" customHeight="1">
      <c r="D131" s="11"/>
      <c r="E131" s="1"/>
      <c r="F131" s="12"/>
      <c r="G131" s="12"/>
      <c r="H131" s="12"/>
      <c r="J131" s="12"/>
      <c r="K131" s="12"/>
      <c r="L131" s="12"/>
    </row>
    <row r="132" spans="4:56" ht="15" customHeight="1">
      <c r="D132" s="13" t="str">
        <f>+IF($B$3="esp","EBITDA","EBITDA")</f>
        <v>EBITDA</v>
      </c>
      <c r="E132" s="13"/>
      <c r="F132" s="14">
        <f>+[1]GRUPO!T164</f>
        <v>-34.766445704291144</v>
      </c>
      <c r="G132" s="15">
        <f>+[1]GRUPO!U164</f>
        <v>-38.152232676355972</v>
      </c>
      <c r="H132" s="16">
        <f>IF(G132=0,"---",IF(OR(ABS((F132-G132)/ABS(G132))&gt;2,(F132*G132)&lt;0),"---",IF(G132="0","---",((F132-G132)/ABS(G132))*100)))</f>
        <v>8.8744137224847055</v>
      </c>
      <c r="J132" s="14">
        <f>+[1]GRUPO!X164</f>
        <v>-4.2481317975557999</v>
      </c>
      <c r="K132" s="15">
        <f>+[1]GRUPO!Y164</f>
        <v>-8.4602436087344266</v>
      </c>
      <c r="L132" s="16">
        <f>IF(K132=0,"---",IF(OR(ABS((J132-K132)/ABS(K132))&gt;2,(J132*K132)&lt;0),"---",IF(K132="0","---",((J132-K132)/ABS(K132))*100)))</f>
        <v>49.78712204965359</v>
      </c>
    </row>
    <row r="133" spans="4:56" ht="15" customHeight="1">
      <c r="D133" s="17" t="str">
        <f>+IF($B$3="esp","Efectos extraordinarios","Extraordinary effects")</f>
        <v>Extraordinary effects</v>
      </c>
      <c r="F133" s="18">
        <f>+[1]GRUPO!T165</f>
        <v>-0.33961092997243014</v>
      </c>
      <c r="G133" s="19">
        <f>+[1]GRUPO!U165</f>
        <v>0.85126330656539295</v>
      </c>
      <c r="H133" s="20" t="str">
        <f t="shared" ref="H133:H138" si="34">IF(G133=0,"---",IF(OR(ABS((F133-G133)/ABS(G133))&gt;2,(F133*G133)&lt;0),"---",IF(G133="0","---",((F133-G133)/ABS(G133))*100)))</f>
        <v>---</v>
      </c>
      <c r="J133" s="18">
        <f>+[1]GRUPO!X165</f>
        <v>-3.6235987799724647</v>
      </c>
      <c r="K133" s="19">
        <f>+[1]GRUPO!Y165</f>
        <v>0.63526588542372053</v>
      </c>
      <c r="L133" s="20" t="str">
        <f t="shared" ref="L133:L138" si="35">IF(K133=0,"---",IF(OR(ABS((J133-K133)/ABS(K133))&gt;2,(J133*K133)&lt;0),"---",IF(K133="0","---",((J133-K133)/ABS(K133))*100)))</f>
        <v>---</v>
      </c>
    </row>
    <row r="134" spans="4:56" ht="15" customHeight="1">
      <c r="D134" s="13" t="str">
        <f>+IF($B$3="esp","EBITDA Ajustado","Adjusted EBITDA")</f>
        <v>Adjusted EBITDA</v>
      </c>
      <c r="E134" s="13"/>
      <c r="F134" s="14">
        <f>+[1]GRUPO!T166</f>
        <v>-35.106056634263574</v>
      </c>
      <c r="G134" s="15">
        <f>+[1]GRUPO!U166</f>
        <v>-37.300969369790579</v>
      </c>
      <c r="H134" s="16">
        <f t="shared" si="34"/>
        <v>5.8843316208951597</v>
      </c>
      <c r="J134" s="14">
        <f>+[1]GRUPO!X166</f>
        <v>-7.8717305775282647</v>
      </c>
      <c r="K134" s="15">
        <f>+[1]GRUPO!Y166</f>
        <v>-7.8249777233107061</v>
      </c>
      <c r="L134" s="16">
        <f t="shared" si="35"/>
        <v>-0.59748226602973264</v>
      </c>
    </row>
    <row r="135" spans="4:56" ht="15" customHeight="1">
      <c r="D135" s="17" t="str">
        <f>+IF($B$3="esp","Amortizaciones","Amortizations")</f>
        <v>Amortizations</v>
      </c>
      <c r="F135" s="18">
        <f>+[1]GRUPO!T167</f>
        <v>-5.0464919848368606</v>
      </c>
      <c r="G135" s="19">
        <f>+[1]GRUPO!U167</f>
        <v>-2.5883915183995629</v>
      </c>
      <c r="H135" s="20">
        <f t="shared" si="34"/>
        <v>-94.966331366947685</v>
      </c>
      <c r="J135" s="18">
        <f>+[1]GRUPO!X167</f>
        <v>-1.7525033707349951</v>
      </c>
      <c r="K135" s="19">
        <f>+[1]GRUPO!Y167</f>
        <v>-1.1297642399676864</v>
      </c>
      <c r="L135" s="20">
        <f t="shared" si="35"/>
        <v>-55.121157913895416</v>
      </c>
    </row>
    <row r="136" spans="4:56" ht="15" customHeight="1">
      <c r="D136" s="17" t="str">
        <f>+IF($B$3="esp","Provisiones","Provisions")</f>
        <v>Provisions</v>
      </c>
      <c r="F136" s="18">
        <f>+[1]GRUPO!T168</f>
        <v>0.13645893609424864</v>
      </c>
      <c r="G136" s="19">
        <f>+[1]GRUPO!U168</f>
        <v>0.12138524488476268</v>
      </c>
      <c r="H136" s="20">
        <f t="shared" si="34"/>
        <v>12.418058903119727</v>
      </c>
      <c r="J136" s="18">
        <f>+[1]GRUPO!X168</f>
        <v>0.1660755213606116</v>
      </c>
      <c r="K136" s="19">
        <f>+[1]GRUPO!Y168</f>
        <v>0.13520956541151441</v>
      </c>
      <c r="L136" s="20">
        <f t="shared" si="35"/>
        <v>22.828233975278096</v>
      </c>
    </row>
    <row r="137" spans="4:56" ht="15" customHeight="1">
      <c r="D137" s="17" t="str">
        <f>+IF($B$3="esp","Pérdidas de inmovilizado","Impairment from fixed assets")</f>
        <v>Impairment from fixed assets</v>
      </c>
      <c r="F137" s="18">
        <f>+[1]GRUPO!T169</f>
        <v>-4.6335059999980217</v>
      </c>
      <c r="G137" s="19">
        <f>+[1]GRUPO!U169</f>
        <v>-8.0403000088349885E-4</v>
      </c>
      <c r="H137" s="20" t="str">
        <f t="shared" si="34"/>
        <v>---</v>
      </c>
      <c r="J137" s="18">
        <f>+[1]GRUPO!X169</f>
        <v>-4.6335059999974755</v>
      </c>
      <c r="K137" s="19">
        <f>+[1]GRUPO!Y169</f>
        <v>-1.0000528169462619E-8</v>
      </c>
      <c r="L137" s="20" t="str">
        <f t="shared" si="35"/>
        <v>---</v>
      </c>
    </row>
    <row r="138" spans="4:56" ht="15" customHeight="1">
      <c r="D138" s="13" t="str">
        <f>+IF($B$3="esp","Resultado de Explotación","Operating Result")</f>
        <v>Operating Result</v>
      </c>
      <c r="E138" s="13"/>
      <c r="F138" s="14">
        <f>+[1]GRUPO!T170</f>
        <v>-25.56251758552294</v>
      </c>
      <c r="G138" s="15">
        <f>+[1]GRUPO!U170</f>
        <v>-34.833159066274895</v>
      </c>
      <c r="H138" s="16">
        <f t="shared" si="34"/>
        <v>26.614414911703182</v>
      </c>
      <c r="J138" s="14">
        <f>+[1]GRUPO!X170</f>
        <v>-1.6517967281564054</v>
      </c>
      <c r="K138" s="15">
        <f>+[1]GRUPO!Y170</f>
        <v>-6.8304230387540059</v>
      </c>
      <c r="L138" s="16">
        <f t="shared" si="35"/>
        <v>75.817065520180094</v>
      </c>
    </row>
    <row r="139" spans="4:56" ht="15" customHeight="1"/>
    <row r="140" spans="4:56" ht="15" customHeight="1"/>
    <row r="141" spans="4:56" ht="15" customHeight="1"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B141" s="35"/>
      <c r="BC141" s="35"/>
      <c r="BD141" s="35"/>
    </row>
    <row r="142" spans="4:56" ht="15" customHeight="1"/>
    <row r="143" spans="4:56" ht="15" customHeight="1">
      <c r="F143" s="7" t="str">
        <f>+F128</f>
        <v>ENERO - SEPTIEMBRE</v>
      </c>
      <c r="G143" s="8"/>
      <c r="H143" s="8"/>
      <c r="J143" s="7" t="str">
        <f>+J128</f>
        <v>JULIO - SEPTIEMBRE</v>
      </c>
      <c r="K143" s="8"/>
      <c r="L143" s="8"/>
      <c r="Q143" s="7" t="str">
        <f>+Q6</f>
        <v>ENERO - SEPTIEMBRE</v>
      </c>
      <c r="R143" s="8"/>
      <c r="S143" s="8"/>
      <c r="U143" s="7" t="str">
        <f>+U6</f>
        <v>JULIO - SEPTIEMBRE</v>
      </c>
      <c r="V143" s="8"/>
      <c r="W143" s="8"/>
    </row>
    <row r="144" spans="4:56" ht="4.5" customHeight="1"/>
    <row r="145" spans="4:23" ht="15" customHeight="1">
      <c r="D145" s="9" t="str">
        <f>+IF($B$3="esp","Millones de €","€ Millions")</f>
        <v>€ Millions</v>
      </c>
      <c r="F145" s="10">
        <v>2017</v>
      </c>
      <c r="G145" s="10">
        <v>2016</v>
      </c>
      <c r="H145" s="10" t="str">
        <f>+IF($B$3="esp","Var.%","% Chg.")</f>
        <v>% Chg.</v>
      </c>
      <c r="J145" s="10">
        <v>2017</v>
      </c>
      <c r="K145" s="10">
        <v>2016</v>
      </c>
      <c r="L145" s="10" t="str">
        <f>+IF($B$3="esp","Var.%","% Chg.")</f>
        <v>% Chg.</v>
      </c>
      <c r="O145" s="9" t="str">
        <f>+IF($B$3="esp","Millones de €","€ Millions")</f>
        <v>€ Millions</v>
      </c>
      <c r="Q145" s="10">
        <v>2017</v>
      </c>
      <c r="R145" s="10">
        <v>2016</v>
      </c>
      <c r="S145" s="10" t="str">
        <f>+IF($B$3="esp","Var.%","% Chg.")</f>
        <v>% Chg.</v>
      </c>
      <c r="U145" s="10">
        <v>2017</v>
      </c>
      <c r="V145" s="10">
        <v>2016</v>
      </c>
      <c r="W145" s="10" t="str">
        <f>+IF($B$3="esp","Var.%","% Chg.")</f>
        <v>% Chg.</v>
      </c>
    </row>
    <row r="146" spans="4:23" ht="15" customHeight="1">
      <c r="D146" s="11" t="str">
        <f>+IF($B$3="esp","Ingresos de Explotación Ajustados","Operating Adjusted Revenues")</f>
        <v>Operating Adjusted Revenues</v>
      </c>
      <c r="F146" s="12"/>
      <c r="G146" s="12"/>
      <c r="H146" s="12"/>
      <c r="J146" s="12"/>
      <c r="K146" s="12"/>
      <c r="L146" s="12"/>
      <c r="O146" s="11" t="str">
        <f>+IF($B$3="esp","Ingresos de Explotación","Operating Revenues")</f>
        <v>Operating Revenues</v>
      </c>
      <c r="Q146" s="12"/>
      <c r="R146" s="12"/>
      <c r="S146" s="12"/>
      <c r="U146" s="12"/>
      <c r="V146" s="12"/>
      <c r="W146" s="12"/>
    </row>
    <row r="147" spans="4:23" ht="15" customHeight="1">
      <c r="D147" s="13" t="str">
        <f>+IF($B$3="esp","GRUPO","GROUP")</f>
        <v>GROUP</v>
      </c>
      <c r="E147" s="13"/>
      <c r="F147" s="14">
        <f>+[1]GRUPO!T120</f>
        <v>903.77504486671103</v>
      </c>
      <c r="G147" s="15">
        <f>+[1]GRUPO!U120</f>
        <v>911.9246319475684</v>
      </c>
      <c r="H147" s="16">
        <f t="shared" ref="H147:H152" si="36">IF(G147=0,"---",IF(OR(ABS((F147-G147)/ABS(G147))&gt;2,(F147*G147)&lt;0),"---",IF(G147="0","---",((F147-G147)/ABS(G147))*100)))</f>
        <v>-0.89366892782055452</v>
      </c>
      <c r="J147" s="14">
        <f>+[1]GRUPO!X120</f>
        <v>317.57274610738182</v>
      </c>
      <c r="K147" s="15">
        <f>+[1]GRUPO!Y120</f>
        <v>362.84414685337322</v>
      </c>
      <c r="L147" s="16">
        <f t="shared" ref="L147:L152" si="37">IF(K147=0,"---",IF(OR(ABS((J147-K147)/ABS(K147))&gt;2,(J147*K147)&lt;0),"---",IF(K147="0","---",((J147-K147)/ABS(K147))*100)))</f>
        <v>-12.476817150997272</v>
      </c>
      <c r="O147" s="13" t="str">
        <f>+IF($B$3="esp","Total Santillana","Total Santillana")</f>
        <v>Total Santillana</v>
      </c>
      <c r="P147" s="13"/>
      <c r="Q147" s="14">
        <f>+[1]SANTILLANA!T106</f>
        <v>522.60915839456095</v>
      </c>
      <c r="R147" s="15">
        <f>+[1]SANTILLANA!U106</f>
        <v>513.53481840634299</v>
      </c>
      <c r="S147" s="16">
        <f>IF(R147=0,"---",IF(OR(ABS((Q147-R147)/ABS(R147))&gt;2,(Q147*R147)&lt;0),"---",IF(R147="0","---",((Q147-R147)/ABS(R147))*100)))</f>
        <v>1.7670350019066738</v>
      </c>
      <c r="U147" s="14">
        <f>+[1]SANTILLANA!X106</f>
        <v>194.58767496488196</v>
      </c>
      <c r="V147" s="15">
        <f>+[1]SANTILLANA!Y106</f>
        <v>233.97414129848801</v>
      </c>
      <c r="W147" s="16">
        <f>IF(V147=0,"---",IF(OR(ABS((U147-V147)/ABS(V147))&gt;2,(U147*V147)&lt;0),"---",IF(V147="0","---",((U147-V147)/ABS(V147))*100)))</f>
        <v>-16.833683463917289</v>
      </c>
    </row>
    <row r="148" spans="4:23" s="13" customFormat="1" ht="15" customHeight="1">
      <c r="D148" s="17" t="str">
        <f>+IF($B$3="esp","Educación","Education")</f>
        <v>Education</v>
      </c>
      <c r="E148" s="1"/>
      <c r="F148" s="18">
        <f>+[1]GRUPO!T121</f>
        <v>522.60915839456095</v>
      </c>
      <c r="G148" s="19">
        <f>+[1]GRUPO!U121</f>
        <v>513.53481840634299</v>
      </c>
      <c r="H148" s="20">
        <f t="shared" si="36"/>
        <v>1.7670350019066738</v>
      </c>
      <c r="J148" s="18">
        <f>+[1]GRUPO!X121</f>
        <v>194.58767496488196</v>
      </c>
      <c r="K148" s="19">
        <f>+[1]GRUPO!Y121</f>
        <v>233.97414129848801</v>
      </c>
      <c r="L148" s="20">
        <f t="shared" si="37"/>
        <v>-16.833683463917289</v>
      </c>
      <c r="O148" s="17" t="str">
        <f>+IF($B$3="esp","Educación Tradicional y Compartir","Traditional Education and Compartir")</f>
        <v>Traditional Education and Compartir</v>
      </c>
      <c r="P148" s="1"/>
      <c r="Q148" s="18">
        <f>+[1]SANTILLANA!T107</f>
        <v>481.47687509835976</v>
      </c>
      <c r="R148" s="19">
        <f>+[1]SANTILLANA!U107</f>
        <v>470.52796108359905</v>
      </c>
      <c r="S148" s="20">
        <f>IF(R148=0,"---",IF(OR(ABS((Q148-R148)/ABS(R148))&gt;2,(Q148*R148)&lt;0),"---",IF(R148="0","---",((Q148-R148)/ABS(R148))*100)))</f>
        <v>2.3269422691790682</v>
      </c>
      <c r="U148" s="18">
        <f>+[1]SANTILLANA!X107</f>
        <v>182.39300196104017</v>
      </c>
      <c r="V148" s="19">
        <f>+[1]SANTILLANA!Y107</f>
        <v>221.07973338614224</v>
      </c>
      <c r="W148" s="20">
        <f>IF(V148=0,"---",IF(OR(ABS((U148-V148)/ABS(V148))&gt;2,(U148*V148)&lt;0),"---",IF(V148="0","---",((U148-V148)/ABS(V148))*100)))</f>
        <v>-17.498994970077632</v>
      </c>
    </row>
    <row r="149" spans="4:23" ht="15" customHeight="1">
      <c r="D149" s="17" t="str">
        <f>+IF($B$3="esp","Radio","Radio")</f>
        <v>Radio</v>
      </c>
      <c r="F149" s="18">
        <f>+[1]GRUPO!T122</f>
        <v>217.62852707372812</v>
      </c>
      <c r="G149" s="19">
        <f>+[1]GRUPO!U122</f>
        <v>222.26512538231933</v>
      </c>
      <c r="H149" s="20">
        <f t="shared" si="36"/>
        <v>-2.0860664940645854</v>
      </c>
      <c r="J149" s="18">
        <f>+[1]GRUPO!X122</f>
        <v>70.846315585678809</v>
      </c>
      <c r="K149" s="19">
        <f>+[1]GRUPO!Y122</f>
        <v>74.707651448068106</v>
      </c>
      <c r="L149" s="20">
        <f t="shared" si="37"/>
        <v>-5.1685948996448454</v>
      </c>
      <c r="O149" s="26" t="str">
        <f>+IF($B$3="esp","Campaña Sur","South Campaign")</f>
        <v>South Campaign</v>
      </c>
      <c r="Q149" s="18">
        <f>+[1]SANTILLANA!T108</f>
        <v>221.69457985281298</v>
      </c>
      <c r="R149" s="19">
        <f>+[1]SANTILLANA!U108</f>
        <v>198.57361907203457</v>
      </c>
      <c r="S149" s="20">
        <f>IF(R149=0,"---",IF(OR(ABS((Q149-R149)/ABS(R149))&gt;2,(Q149*R149)&lt;0),"---",IF(R149="0","---",((Q149-R149)/ABS(R149))*100)))</f>
        <v>11.643520870912386</v>
      </c>
      <c r="U149" s="18">
        <f>+[1]SANTILLANA!X108</f>
        <v>24.902894053697963</v>
      </c>
      <c r="V149" s="19">
        <f>+[1]SANTILLANA!Y108</f>
        <v>37.089654931742558</v>
      </c>
      <c r="W149" s="20">
        <f>IF(V149=0,"---",IF(OR(ABS((U149-V149)/ABS(V149))&gt;2,(U149*V149)&lt;0),"---",IF(V149="0","---",((U149-V149)/ABS(V149))*100)))</f>
        <v>-32.857574168517701</v>
      </c>
    </row>
    <row r="150" spans="4:23" ht="15" customHeight="1">
      <c r="D150" s="17" t="str">
        <f>+IF($B$3="esp","Prensa","Press")</f>
        <v>Press</v>
      </c>
      <c r="F150" s="18">
        <f>+[1]GRUPO!T123</f>
        <v>157.42095472154497</v>
      </c>
      <c r="G150" s="19">
        <f>+[1]GRUPO!U123</f>
        <v>174.07240816515699</v>
      </c>
      <c r="H150" s="20">
        <f t="shared" si="36"/>
        <v>-9.5658201199890289</v>
      </c>
      <c r="J150" s="18">
        <f>+[1]GRUPO!X123</f>
        <v>48.367039217277977</v>
      </c>
      <c r="K150" s="19">
        <f>+[1]GRUPO!Y123</f>
        <v>52.040493211859982</v>
      </c>
      <c r="L150" s="20">
        <f t="shared" si="37"/>
        <v>-7.0588377777803757</v>
      </c>
      <c r="O150" s="26" t="str">
        <f>+IF($B$3="esp","Campaña Norte","North Campaign")</f>
        <v>North Campaign</v>
      </c>
      <c r="Q150" s="18">
        <f>+[1]SANTILLANA!T109</f>
        <v>259.77841615291061</v>
      </c>
      <c r="R150" s="19">
        <f>+[1]SANTILLANA!U109</f>
        <v>271.98302889138444</v>
      </c>
      <c r="S150" s="20">
        <f>IF(R150=0,"---",IF(OR(ABS((Q150-R150)/ABS(R150))&gt;2,(Q150*R150)&lt;0),"---",IF(R150="0","---",((Q150-R150)/ABS(R150))*100)))</f>
        <v>-4.4872699551219792</v>
      </c>
      <c r="U150" s="18">
        <f>+[1]SANTILLANA!X109</f>
        <v>157.48666410037424</v>
      </c>
      <c r="V150" s="19">
        <f>+[1]SANTILLANA!Y109</f>
        <v>184.02561255340035</v>
      </c>
      <c r="W150" s="20">
        <f>IF(V150=0,"---",IF(OR(ABS((U150-V150)/ABS(V150))&gt;2,(U150*V150)&lt;0),"---",IF(V150="0","---",((U150-V150)/ABS(V150))*100)))</f>
        <v>-14.421334120175835</v>
      </c>
    </row>
    <row r="151" spans="4:23" s="13" customFormat="1" ht="15" customHeight="1">
      <c r="D151" s="17" t="str">
        <f>+IF($B$3="esp","Media Capital","Media Capital")</f>
        <v>Media Capital</v>
      </c>
      <c r="E151" s="1"/>
      <c r="F151" s="18">
        <f>+[1]GRUPO!T126</f>
        <v>115.30804198999999</v>
      </c>
      <c r="G151" s="19">
        <f>+[1]GRUPO!U126</f>
        <v>124.30154506000001</v>
      </c>
      <c r="H151" s="20">
        <f t="shared" si="36"/>
        <v>-7.2352303148435357</v>
      </c>
      <c r="J151" s="18">
        <f>+[1]GRUPO!X126</f>
        <v>36.27468180999999</v>
      </c>
      <c r="K151" s="19">
        <f>+[1]GRUPO!Y126</f>
        <v>39.035282020000011</v>
      </c>
      <c r="L151" s="20">
        <f t="shared" si="37"/>
        <v>-7.0720642125388187</v>
      </c>
      <c r="O151" s="17" t="str">
        <f>+IF($B$3="esp","Sistema UNO","UNO System")</f>
        <v>UNO System</v>
      </c>
      <c r="P151" s="1"/>
      <c r="Q151" s="18">
        <f>+[1]SANTILLANA!T110</f>
        <v>41.132283296201194</v>
      </c>
      <c r="R151" s="19">
        <f>+[1]SANTILLANA!U110</f>
        <v>43.006857322743954</v>
      </c>
      <c r="S151" s="20">
        <f>IF(R151=0,"---",IF(OR(ABS((Q151-R151)/ABS(R151))&gt;2,(Q151*R151)&lt;0),"---",IF(R151="0","---",((Q151-R151)/ABS(R151))*100)))</f>
        <v>-4.3587793743566587</v>
      </c>
      <c r="U151" s="18">
        <f>+[1]SANTILLANA!X110</f>
        <v>12.194673003841785</v>
      </c>
      <c r="V151" s="19">
        <f>+[1]SANTILLANA!Y110</f>
        <v>12.89440791234578</v>
      </c>
      <c r="W151" s="20">
        <f>IF(V151=0,"---",IF(OR(ABS((U151-V151)/ABS(V151))&gt;2,(U151*V151)&lt;0),"---",IF(V151="0","---",((U151-V151)/ABS(V151))*100)))</f>
        <v>-5.4266540446113254</v>
      </c>
    </row>
    <row r="152" spans="4:23" ht="15" customHeight="1">
      <c r="D152" s="17" t="str">
        <f>+IF($B$3="esp","Otros","Others")</f>
        <v>Others</v>
      </c>
      <c r="F152" s="18">
        <f>+[1]GRUPO!T127</f>
        <v>-109.19163731312301</v>
      </c>
      <c r="G152" s="19">
        <f>+[1]GRUPO!U127</f>
        <v>-122.24926506625091</v>
      </c>
      <c r="H152" s="20">
        <f t="shared" si="36"/>
        <v>10.681150308798621</v>
      </c>
      <c r="J152" s="18">
        <f>+[1]GRUPO!X127</f>
        <v>-32.502965470456914</v>
      </c>
      <c r="K152" s="19">
        <f>+[1]GRUPO!Y127</f>
        <v>-36.913421125042888</v>
      </c>
      <c r="L152" s="20">
        <f t="shared" si="37"/>
        <v>11.948108628690129</v>
      </c>
      <c r="O152" s="17"/>
      <c r="Q152" s="19"/>
      <c r="R152" s="19"/>
      <c r="S152" s="20"/>
      <c r="U152" s="19"/>
      <c r="V152" s="19"/>
      <c r="W152" s="20"/>
    </row>
    <row r="153" spans="4:23" ht="15" customHeight="1"/>
    <row r="154" spans="4:23" ht="15" customHeight="1">
      <c r="F154" s="7" t="str">
        <f>+F143</f>
        <v>ENERO - SEPTIEMBRE</v>
      </c>
      <c r="G154" s="8"/>
      <c r="H154" s="8"/>
      <c r="J154" s="7" t="str">
        <f>+J143</f>
        <v>JULIO - SEPTIEMBRE</v>
      </c>
      <c r="K154" s="8"/>
      <c r="L154" s="8"/>
      <c r="Q154" s="7" t="str">
        <f>+Q143</f>
        <v>ENERO - SEPTIEMBRE</v>
      </c>
      <c r="R154" s="8"/>
      <c r="S154" s="8"/>
      <c r="U154" s="7" t="str">
        <f>+U143</f>
        <v>JULIO - SEPTIEMBRE</v>
      </c>
      <c r="V154" s="8"/>
      <c r="W154" s="8"/>
    </row>
    <row r="155" spans="4:23" s="13" customFormat="1" ht="4.5" customHeight="1">
      <c r="D155" s="1"/>
      <c r="E155" s="1"/>
      <c r="F155" s="1"/>
      <c r="G155" s="1"/>
      <c r="H155" s="1"/>
      <c r="J155" s="1"/>
      <c r="K155" s="1"/>
      <c r="L155" s="1"/>
      <c r="O155" s="1"/>
      <c r="P155" s="1"/>
      <c r="Q155" s="1"/>
      <c r="R155" s="1"/>
      <c r="S155" s="1"/>
      <c r="U155" s="1"/>
      <c r="V155" s="1"/>
      <c r="W155" s="1"/>
    </row>
    <row r="156" spans="4:23" ht="15" customHeight="1">
      <c r="D156" s="9" t="str">
        <f>+IF($B$3="esp","Millones de €","€ Millions")</f>
        <v>€ Millions</v>
      </c>
      <c r="F156" s="10">
        <v>2017</v>
      </c>
      <c r="G156" s="10">
        <v>2016</v>
      </c>
      <c r="H156" s="10" t="str">
        <f>+IF($B$3="esp","Var.%","% Chg.")</f>
        <v>% Chg.</v>
      </c>
      <c r="J156" s="10">
        <v>2017</v>
      </c>
      <c r="K156" s="10">
        <v>2016</v>
      </c>
      <c r="L156" s="10" t="str">
        <f>+IF($B$3="esp","Var.%","% Chg.")</f>
        <v>% Chg.</v>
      </c>
      <c r="O156" s="9" t="str">
        <f>+IF($B$3="esp","Millones de €","€ Millions")</f>
        <v>€ Millions</v>
      </c>
      <c r="Q156" s="10">
        <v>2017</v>
      </c>
      <c r="R156" s="10">
        <v>2016</v>
      </c>
      <c r="S156" s="10" t="str">
        <f>+IF($B$3="esp","Var.%","% Chg.")</f>
        <v>% Chg.</v>
      </c>
      <c r="U156" s="10">
        <v>2017</v>
      </c>
      <c r="V156" s="10">
        <v>2016</v>
      </c>
      <c r="W156" s="10" t="str">
        <f>+IF($B$3="esp","Var.%","% Chg.")</f>
        <v>% Chg.</v>
      </c>
    </row>
    <row r="157" spans="4:23" ht="15" customHeight="1">
      <c r="D157" s="11" t="str">
        <f>+IF($B$3="esp","EBITDA Ajustado","Adjusted EBITDA")</f>
        <v>Adjusted EBITDA</v>
      </c>
      <c r="F157" s="12"/>
      <c r="G157" s="12"/>
      <c r="H157" s="12"/>
      <c r="J157" s="12"/>
      <c r="K157" s="12"/>
      <c r="L157" s="12"/>
      <c r="O157" s="11" t="str">
        <f>+IF($B$3="esp","Ingresos de Explotación ajustados a tipo constante","Operating Revenues at constant currency")</f>
        <v>Operating Revenues at constant currency</v>
      </c>
      <c r="Q157" s="12"/>
      <c r="R157" s="12"/>
      <c r="S157" s="12"/>
      <c r="U157" s="12"/>
      <c r="V157" s="12"/>
      <c r="W157" s="12"/>
    </row>
    <row r="158" spans="4:23" ht="15" customHeight="1">
      <c r="D158" s="13" t="str">
        <f>+IF($B$3="esp","GRUPO","GROUP")</f>
        <v>GROUP</v>
      </c>
      <c r="E158" s="13"/>
      <c r="F158" s="14">
        <f>+[1]GRUPO!T133</f>
        <v>194.8882547047028</v>
      </c>
      <c r="G158" s="15">
        <f>+[1]GRUPO!U133</f>
        <v>190.41331435124391</v>
      </c>
      <c r="H158" s="16">
        <f t="shared" ref="H158:H163" si="38">IF(G158=0,"---",IF(OR(ABS((F158-G158)/ABS(G158))&gt;2,(F158*G158)&lt;0),"---",IF(G158="0","---",((F158-G158)/ABS(G158))*100)))</f>
        <v>2.3501194591908838</v>
      </c>
      <c r="J158" s="14">
        <f>+[1]GRUPO!X133</f>
        <v>77.791124990722778</v>
      </c>
      <c r="K158" s="15">
        <f>+[1]GRUPO!Y133</f>
        <v>111.49783293344855</v>
      </c>
      <c r="L158" s="16">
        <f t="shared" ref="L158:L163" si="39">IF(K158=0,"---",IF(OR(ABS((J158-K158)/ABS(K158))&gt;2,(J158*K158)&lt;0),"---",IF(K158="0","---",((J158-K158)/ABS(K158))*100)))</f>
        <v>-30.230818892098842</v>
      </c>
      <c r="O158" s="13" t="str">
        <f>+IF($B$3="esp","Total Santillana","Total Santillana")</f>
        <v>Total Santillana</v>
      </c>
      <c r="P158" s="13"/>
      <c r="Q158" s="14">
        <f>+[1]SANTILLANA!T117</f>
        <v>504.52664885385559</v>
      </c>
      <c r="R158" s="15">
        <f>+[1]SANTILLANA!U117</f>
        <v>513.53481840634299</v>
      </c>
      <c r="S158" s="16">
        <f>IF(R158=0,"---",IF(OR(ABS((Q158-R158)/ABS(R158))&gt;2,(Q158*R158)&lt;0),"---",IF(R158="0","---",((Q158-R158)/ABS(R158))*100)))</f>
        <v>-1.7541497148026948</v>
      </c>
      <c r="U158" s="14">
        <f>+[1]SANTILLANA!X117</f>
        <v>199.35302390356958</v>
      </c>
      <c r="V158" s="15">
        <f>+[1]SANTILLANA!Y117</f>
        <v>233.97414129848801</v>
      </c>
      <c r="W158" s="16">
        <f>IF(V158=0,"---",IF(OR(ABS((U158-V158)/ABS(V158))&gt;2,(U158*V158)&lt;0),"---",IF(V158="0","---",((U158-V158)/ABS(V158))*100)))</f>
        <v>-14.79698448844875</v>
      </c>
    </row>
    <row r="159" spans="4:23" ht="15" customHeight="1">
      <c r="D159" s="17" t="str">
        <f>+IF($B$3="esp","Educación","Education")</f>
        <v>Education</v>
      </c>
      <c r="F159" s="18">
        <f>+[1]GRUPO!T134</f>
        <v>167.59012521145021</v>
      </c>
      <c r="G159" s="19">
        <f>+[1]GRUPO!U134</f>
        <v>167.23670850311339</v>
      </c>
      <c r="H159" s="20">
        <f t="shared" si="38"/>
        <v>0.21132723281877061</v>
      </c>
      <c r="J159" s="18">
        <f>+[1]GRUPO!X134</f>
        <v>73.3866497375205</v>
      </c>
      <c r="K159" s="19">
        <f>+[1]GRUPO!Y134</f>
        <v>104.42627102194066</v>
      </c>
      <c r="L159" s="20">
        <f t="shared" si="39"/>
        <v>-29.723958330273547</v>
      </c>
      <c r="O159" s="17" t="str">
        <f>+IF($B$3="esp","Educación Tradicional y Compartir","Traditional Education and Compartir")</f>
        <v>Traditional Education and Compartir</v>
      </c>
      <c r="Q159" s="18">
        <f>+[1]SANTILLANA!T118</f>
        <v>465.67654770826175</v>
      </c>
      <c r="R159" s="19">
        <f>+[1]SANTILLANA!U118</f>
        <v>470.52796108359905</v>
      </c>
      <c r="S159" s="20">
        <f>IF(R159=0,"---",IF(OR(ABS((Q159-R159)/ABS(R159))&gt;2,(Q159*R159)&lt;0),"---",IF(R159="0","---",((Q159-R159)/ABS(R159))*100)))</f>
        <v>-1.0310574028724613</v>
      </c>
      <c r="U159" s="18">
        <f>+[1]SANTILLANA!X118</f>
        <v>186.86922845351711</v>
      </c>
      <c r="V159" s="19">
        <f>+[1]SANTILLANA!Y118</f>
        <v>221.07973338614224</v>
      </c>
      <c r="W159" s="20">
        <f>IF(V159=0,"---",IF(OR(ABS((U159-V159)/ABS(V159))&gt;2,(U159*V159)&lt;0),"---",IF(V159="0","---",((U159-V159)/ABS(V159))*100)))</f>
        <v>-15.474283602863038</v>
      </c>
    </row>
    <row r="160" spans="4:23" ht="15" customHeight="1">
      <c r="D160" s="17" t="str">
        <f>+IF($B$3="esp","Radio","Radio")</f>
        <v>Radio</v>
      </c>
      <c r="F160" s="18">
        <f>+[1]GRUPO!T135</f>
        <v>34.113087445114331</v>
      </c>
      <c r="G160" s="19">
        <f>+[1]GRUPO!U135</f>
        <v>29.4547804104484</v>
      </c>
      <c r="H160" s="20">
        <f t="shared" si="38"/>
        <v>15.815113776959292</v>
      </c>
      <c r="J160" s="18">
        <f>+[1]GRUPO!X135</f>
        <v>8.2042907657086417</v>
      </c>
      <c r="K160" s="19">
        <f>+[1]GRUPO!Y135</f>
        <v>8.9212280705025755</v>
      </c>
      <c r="L160" s="20">
        <f t="shared" si="39"/>
        <v>-8.0363073237017382</v>
      </c>
      <c r="O160" s="26" t="str">
        <f>+IF($B$3="esp","Campaña Sur","South Campaign")</f>
        <v>South Campaign</v>
      </c>
      <c r="Q160" s="18">
        <f>+[1]SANTILLANA!T119</f>
        <v>205.20891501314804</v>
      </c>
      <c r="R160" s="19">
        <f>+[1]SANTILLANA!U119</f>
        <v>198.57361907203457</v>
      </c>
      <c r="S160" s="20">
        <f>IF(R160=0,"---",IF(OR(ABS((Q160-R160)/ABS(R160))&gt;2,(Q160*R160)&lt;0),"---",IF(R160="0","---",((Q160-R160)/ABS(R160))*100)))</f>
        <v>3.3414790807163808</v>
      </c>
      <c r="U160" s="18">
        <f>+[1]SANTILLANA!X119</f>
        <v>27.855393692174772</v>
      </c>
      <c r="V160" s="19">
        <f>+[1]SANTILLANA!Y119</f>
        <v>37.089654931742558</v>
      </c>
      <c r="W160" s="20">
        <f>IF(V160=0,"---",IF(OR(ABS((U160-V160)/ABS(V160))&gt;2,(U160*V160)&lt;0),"---",IF(V160="0","---",((U160-V160)/ABS(V160))*100)))</f>
        <v>-24.897134407321751</v>
      </c>
    </row>
    <row r="161" spans="4:23" ht="15" customHeight="1">
      <c r="D161" s="17" t="str">
        <f>+IF($B$3="esp","Prensa","Press")</f>
        <v>Press</v>
      </c>
      <c r="F161" s="18">
        <f>+[1]GRUPO!T136</f>
        <v>4.5127304994734292</v>
      </c>
      <c r="G161" s="19">
        <f>+[1]GRUPO!U136</f>
        <v>7.4870677195189046</v>
      </c>
      <c r="H161" s="20">
        <f t="shared" si="38"/>
        <v>-39.72632987265937</v>
      </c>
      <c r="J161" s="18">
        <f>+[1]GRUPO!X136</f>
        <v>-1.4468070873487004</v>
      </c>
      <c r="K161" s="19">
        <f>+[1]GRUPO!Y136</f>
        <v>0.10958030567482968</v>
      </c>
      <c r="L161" s="20" t="str">
        <f t="shared" si="39"/>
        <v>---</v>
      </c>
      <c r="O161" s="26" t="str">
        <f>+IF($B$3="esp","Campaña Norte","North Campaign")</f>
        <v>North Campaign</v>
      </c>
      <c r="Q161" s="18">
        <f>+[1]SANTILLANA!T120</f>
        <v>260.4637536024776</v>
      </c>
      <c r="R161" s="19">
        <f>+[1]SANTILLANA!U120</f>
        <v>271.98302889138444</v>
      </c>
      <c r="S161" s="20">
        <f>IF(R161=0,"---",IF(OR(ABS((Q161-R161)/ABS(R161))&gt;2,(Q161*R161)&lt;0),"---",IF(R161="0","---",((Q161-R161)/ABS(R161))*100)))</f>
        <v>-4.2352919356255221</v>
      </c>
      <c r="U161" s="18">
        <f>+[1]SANTILLANA!X120</f>
        <v>159.01039095437446</v>
      </c>
      <c r="V161" s="19">
        <f>+[1]SANTILLANA!Y120</f>
        <v>184.02561255340035</v>
      </c>
      <c r="W161" s="20">
        <f>IF(V161=0,"---",IF(OR(ABS((U161-V161)/ABS(V161))&gt;2,(U161*V161)&lt;0),"---",IF(V161="0","---",((U161-V161)/ABS(V161))*100)))</f>
        <v>-13.593336955619154</v>
      </c>
    </row>
    <row r="162" spans="4:23" s="13" customFormat="1" ht="15" customHeight="1">
      <c r="D162" s="17" t="str">
        <f>+IF($B$3="esp","Media Capital","Media Capital")</f>
        <v>Media Capital</v>
      </c>
      <c r="E162" s="1"/>
      <c r="F162" s="18">
        <f>+[1]GRUPO!T139</f>
        <v>23.7783681829284</v>
      </c>
      <c r="G162" s="19">
        <f>+[1]GRUPO!U139</f>
        <v>23.535727087953799</v>
      </c>
      <c r="H162" s="20">
        <f t="shared" si="38"/>
        <v>1.0309479459370152</v>
      </c>
      <c r="J162" s="18">
        <f>+[1]GRUPO!X139</f>
        <v>5.5187221523706</v>
      </c>
      <c r="K162" s="19">
        <f>+[1]GRUPO!Y139</f>
        <v>5.8657312586411976</v>
      </c>
      <c r="L162" s="20">
        <f t="shared" si="39"/>
        <v>-5.9158712012146042</v>
      </c>
      <c r="O162" s="17" t="str">
        <f>+IF($B$3="esp","Sistema UNO","UNO System")</f>
        <v>UNO System</v>
      </c>
      <c r="P162" s="1"/>
      <c r="Q162" s="18">
        <f>+[1]SANTILLANA!T121</f>
        <v>38.850101145593825</v>
      </c>
      <c r="R162" s="19">
        <f>+[1]SANTILLANA!U121</f>
        <v>43.006857322743954</v>
      </c>
      <c r="S162" s="20">
        <f>IF(R162=0,"---",IF(OR(ABS((Q162-R162)/ABS(R162))&gt;2,(Q162*R162)&lt;0),"---",IF(R162="0","---",((Q162-R162)/ABS(R162))*100)))</f>
        <v>-9.6653334745104704</v>
      </c>
      <c r="U162" s="18">
        <f>+[1]SANTILLANA!X121</f>
        <v>12.483795450052451</v>
      </c>
      <c r="V162" s="19">
        <f>+[1]SANTILLANA!Y121</f>
        <v>12.89440791234578</v>
      </c>
      <c r="W162" s="20">
        <f>IF(V162=0,"---",IF(OR(ABS((U162-V162)/ABS(V162))&gt;2,(U162*V162)&lt;0),"---",IF(V162="0","---",((U162-V162)/ABS(V162))*100)))</f>
        <v>-3.1844227752418748</v>
      </c>
    </row>
    <row r="163" spans="4:23" ht="15" customHeight="1">
      <c r="D163" s="17" t="str">
        <f>+IF($B$3="esp","Otros","Others")</f>
        <v>Others</v>
      </c>
      <c r="F163" s="18">
        <f>+[1]GRUPO!T140</f>
        <v>-35.106056634263574</v>
      </c>
      <c r="G163" s="19">
        <f>+[1]GRUPO!U140</f>
        <v>-37.300969369790579</v>
      </c>
      <c r="H163" s="20">
        <f t="shared" si="38"/>
        <v>5.8843316208951597</v>
      </c>
      <c r="J163" s="18">
        <f>+[1]GRUPO!X140</f>
        <v>-7.8717305775282647</v>
      </c>
      <c r="K163" s="19">
        <f>+[1]GRUPO!Y140</f>
        <v>-7.8249777233107061</v>
      </c>
      <c r="L163" s="20">
        <f t="shared" si="39"/>
        <v>-0.59748226602973264</v>
      </c>
      <c r="O163" s="17"/>
      <c r="Q163" s="19"/>
      <c r="R163" s="19"/>
      <c r="S163" s="20"/>
      <c r="U163" s="19"/>
      <c r="V163" s="19"/>
      <c r="W163" s="20"/>
    </row>
    <row r="164" spans="4:23" s="13" customFormat="1" ht="15" customHeight="1">
      <c r="O164" s="1"/>
      <c r="P164" s="1"/>
      <c r="Q164" s="1"/>
      <c r="R164" s="1"/>
      <c r="S164" s="1"/>
      <c r="U164" s="1"/>
      <c r="V164" s="1"/>
      <c r="W164" s="1"/>
    </row>
    <row r="165" spans="4:23" ht="15" customHeight="1"/>
    <row r="166" spans="4:23" ht="15" customHeight="1"/>
    <row r="167" spans="4:23" ht="15" customHeight="1">
      <c r="Q167" s="7" t="str">
        <f>+Q154</f>
        <v>ENERO - SEPTIEMBRE</v>
      </c>
      <c r="R167" s="8"/>
      <c r="S167" s="8"/>
      <c r="U167" s="7" t="str">
        <f>+U154</f>
        <v>JULIO - SEPTIEMBRE</v>
      </c>
      <c r="V167" s="8"/>
      <c r="W167" s="8"/>
    </row>
    <row r="168" spans="4:23" s="13" customFormat="1" ht="15" customHeight="1">
      <c r="O168" s="1"/>
      <c r="P168" s="1"/>
      <c r="Q168" s="1"/>
      <c r="R168" s="1"/>
      <c r="S168" s="1"/>
      <c r="U168" s="1"/>
      <c r="V168" s="1"/>
      <c r="W168" s="1"/>
    </row>
    <row r="169" spans="4:23" ht="15" customHeight="1">
      <c r="O169" s="9" t="str">
        <f>+IF($B$3="esp","Millones de €","€ Millions")</f>
        <v>€ Millions</v>
      </c>
      <c r="Q169" s="10">
        <v>2017</v>
      </c>
      <c r="R169" s="10">
        <v>2016</v>
      </c>
      <c r="S169" s="10" t="str">
        <f>+IF($B$3="esp","Var.%","% Chg.")</f>
        <v>% Chg.</v>
      </c>
      <c r="U169" s="10">
        <v>2017</v>
      </c>
      <c r="V169" s="10">
        <v>2016</v>
      </c>
      <c r="W169" s="10" t="str">
        <f>+IF($B$3="esp","Var.%","% Chg.")</f>
        <v>% Chg.</v>
      </c>
    </row>
    <row r="170" spans="4:23" ht="15" customHeight="1">
      <c r="O170" s="11" t="str">
        <f>+IF($B$3="esp","EBITDA Ajustado","Adjusted EBITDA")</f>
        <v>Adjusted EBITDA</v>
      </c>
      <c r="Q170" s="12"/>
      <c r="R170" s="12"/>
      <c r="S170" s="12"/>
      <c r="U170" s="12"/>
      <c r="V170" s="12"/>
      <c r="W170" s="12"/>
    </row>
    <row r="171" spans="4:23" ht="15" customHeight="1">
      <c r="O171" s="13" t="str">
        <f>+IF($B$3="esp","Total Santillana","Total Santillana")</f>
        <v>Total Santillana</v>
      </c>
      <c r="P171" s="13"/>
      <c r="Q171" s="14">
        <f>+[1]SANTILLANA!T130</f>
        <v>167.59012521145021</v>
      </c>
      <c r="R171" s="15">
        <f>+[1]SANTILLANA!U130</f>
        <v>167.23670850311339</v>
      </c>
      <c r="S171" s="16">
        <f>IF(R171=0,"---",IF(OR(ABS((Q171-R171)/ABS(R171))&gt;2,(Q171*R171)&lt;0),"---",IF(R171="0","---",((Q171-R171)/ABS(R171))*100)))</f>
        <v>0.21132723281877061</v>
      </c>
      <c r="U171" s="14">
        <f>+[1]SANTILLANA!X130</f>
        <v>73.3866497375205</v>
      </c>
      <c r="V171" s="15">
        <f>+[1]SANTILLANA!Y130</f>
        <v>104.42627102194066</v>
      </c>
      <c r="W171" s="16">
        <f>IF(V171=0,"---",IF(OR(ABS((U171-V171)/ABS(V171))&gt;2,(U171*V171)&lt;0),"---",IF(V171="0","---",((U171-V171)/ABS(V171))*100)))</f>
        <v>-29.723958330273547</v>
      </c>
    </row>
    <row r="172" spans="4:23" ht="15" customHeight="1">
      <c r="O172" s="17" t="str">
        <f>+IF($B$3="esp","Educación Tradicional y Compartir","Traditional Education and Compartir")</f>
        <v>Traditional Education and Compartir</v>
      </c>
      <c r="Q172" s="18">
        <f>+[1]SANTILLANA!T131</f>
        <v>158.17378507148905</v>
      </c>
      <c r="R172" s="19">
        <f>+[1]SANTILLANA!U131</f>
        <v>154.79215694013078</v>
      </c>
      <c r="S172" s="20">
        <f>IF(R172=0,"---",IF(OR(ABS((Q172-R172)/ABS(R172))&gt;2,(Q172*R172)&lt;0),"---",IF(R172="0","---",((Q172-R172)/ABS(R172))*100)))</f>
        <v>2.1846249824312398</v>
      </c>
      <c r="U172" s="18">
        <f>+[1]SANTILLANA!X131</f>
        <v>72.901565386101822</v>
      </c>
      <c r="V172" s="19">
        <f>+[1]SANTILLANA!Y131</f>
        <v>101.78088496974968</v>
      </c>
      <c r="W172" s="20">
        <f>IF(V172=0,"---",IF(OR(ABS((U172-V172)/ABS(V172))&gt;2,(U172*V172)&lt;0),"---",IF(V172="0","---",((U172-V172)/ABS(V172))*100)))</f>
        <v>-28.374011084921385</v>
      </c>
    </row>
    <row r="173" spans="4:23" ht="15" customHeight="1">
      <c r="O173" s="26" t="str">
        <f>+IF($B$3="esp","Campaña Sur","South Campaign")</f>
        <v>South Campaign</v>
      </c>
      <c r="Q173" s="18">
        <f>+[1]SANTILLANA!T132</f>
        <v>59.570796309963917</v>
      </c>
      <c r="R173" s="19">
        <f>+[1]SANTILLANA!U132</f>
        <v>47.112718489217691</v>
      </c>
      <c r="S173" s="20">
        <f>IF(R173=0,"---",IF(OR(ABS((Q173-R173)/ABS(R173))&gt;2,(Q173*R173)&lt;0),"---",IF(R173="0","---",((Q173-R173)/ABS(R173))*100)))</f>
        <v>26.443130900199286</v>
      </c>
      <c r="U173" s="18">
        <f>+[1]SANTILLANA!X132</f>
        <v>-16.591521724415266</v>
      </c>
      <c r="V173" s="19">
        <f>+[1]SANTILLANA!Y132</f>
        <v>-8.6491997534362852</v>
      </c>
      <c r="W173" s="20">
        <f>IF(V173=0,"---",IF(OR(ABS((U173-V173)/ABS(V173))&gt;2,(U173*V173)&lt;0),"---",IF(V173="0","---",((U173-V173)/ABS(V173))*100)))</f>
        <v>-91.827246420381655</v>
      </c>
    </row>
    <row r="174" spans="4:23" ht="15" customHeight="1">
      <c r="O174" s="26" t="str">
        <f>+IF($B$3="esp","Campaña Norte","North Campaign")</f>
        <v>North Campaign</v>
      </c>
      <c r="Q174" s="18">
        <f>+[1]SANTILLANA!T133</f>
        <v>98.591111214000989</v>
      </c>
      <c r="R174" s="19">
        <f>+[1]SANTILLANA!U133</f>
        <v>107.74698134730805</v>
      </c>
      <c r="S174" s="20">
        <f>IF(R174=0,"---",IF(OR(ABS((Q174-R174)/ABS(R174))&gt;2,(Q174*R174)&lt;0),"---",IF(R174="0","---",((Q174-R174)/ABS(R174))*100)))</f>
        <v>-8.4975653320572686</v>
      </c>
      <c r="U174" s="18">
        <f>+[1]SANTILLANA!X133</f>
        <v>89.439153185686052</v>
      </c>
      <c r="V174" s="19">
        <f>+[1]SANTILLANA!Y133</f>
        <v>110.48031184844041</v>
      </c>
      <c r="W174" s="20">
        <f>IF(V174=0,"---",IF(OR(ABS((U174-V174)/ABS(V174))&gt;2,(U174*V174)&lt;0),"---",IF(V174="0","---",((U174-V174)/ABS(V174))*100)))</f>
        <v>-19.045165885863113</v>
      </c>
    </row>
    <row r="175" spans="4:23" ht="15" customHeight="1">
      <c r="O175" s="17" t="str">
        <f>+IF($B$3="esp","Sistema UNO","UNO System")</f>
        <v>UNO System</v>
      </c>
      <c r="Q175" s="18">
        <f>+[1]SANTILLANA!T134</f>
        <v>9.4163401399611768</v>
      </c>
      <c r="R175" s="19">
        <f>+[1]SANTILLANA!U134</f>
        <v>12.444551562982619</v>
      </c>
      <c r="S175" s="20">
        <f>IF(R175=0,"---",IF(OR(ABS((Q175-R175)/ABS(R175))&gt;2,(Q175*R175)&lt;0),"---",IF(R175="0","---",((Q175-R175)/ABS(R175))*100)))</f>
        <v>-24.333632334564115</v>
      </c>
      <c r="U175" s="18">
        <f>+[1]SANTILLANA!X134</f>
        <v>0.48508435141869199</v>
      </c>
      <c r="V175" s="19">
        <f>+[1]SANTILLANA!Y134</f>
        <v>2.6453860521909824</v>
      </c>
      <c r="W175" s="20">
        <f>IF(V175=0,"---",IF(OR(ABS((U175-V175)/ABS(V175))&gt;2,(U175*V175)&lt;0),"---",IF(V175="0","---",((U175-V175)/ABS(V175))*100)))</f>
        <v>-81.663003363273518</v>
      </c>
    </row>
    <row r="176" spans="4:23" ht="15" customHeight="1">
      <c r="O176" s="17"/>
      <c r="Q176" s="19"/>
      <c r="R176" s="19"/>
      <c r="S176" s="20"/>
      <c r="U176" s="19"/>
      <c r="V176" s="19"/>
      <c r="W176" s="20"/>
    </row>
    <row r="177" spans="15:23" ht="15" customHeight="1"/>
    <row r="178" spans="15:23" ht="15" customHeight="1">
      <c r="Q178" s="7" t="str">
        <f>+Q167</f>
        <v>ENERO - SEPTIEMBRE</v>
      </c>
      <c r="R178" s="8"/>
      <c r="S178" s="8"/>
      <c r="U178" s="7" t="str">
        <f>+U167</f>
        <v>JULIO - SEPTIEMBRE</v>
      </c>
      <c r="V178" s="8"/>
      <c r="W178" s="8"/>
    </row>
    <row r="179" spans="15:23" ht="15" customHeight="1"/>
    <row r="180" spans="15:23" ht="15" customHeight="1">
      <c r="O180" s="9" t="str">
        <f>+IF($B$3="esp","Millones de €","€ Millions")</f>
        <v>€ Millions</v>
      </c>
      <c r="Q180" s="10">
        <v>2017</v>
      </c>
      <c r="R180" s="10">
        <v>2016</v>
      </c>
      <c r="S180" s="10" t="str">
        <f>+IF($B$3="esp","Var.%","% Chg.")</f>
        <v>% Chg.</v>
      </c>
      <c r="U180" s="10">
        <v>2017</v>
      </c>
      <c r="V180" s="10">
        <v>2016</v>
      </c>
      <c r="W180" s="10" t="str">
        <f>+IF($B$3="esp","Var.%","% Chg.")</f>
        <v>% Chg.</v>
      </c>
    </row>
    <row r="181" spans="15:23" ht="15" customHeight="1">
      <c r="O181" s="11" t="str">
        <f>+IF($B$3="esp","EBITDA Ajustado a tipo constante","Adjusted EBITDA at constant currency")</f>
        <v>Adjusted EBITDA at constant currency</v>
      </c>
      <c r="Q181" s="12"/>
      <c r="R181" s="12"/>
      <c r="S181" s="12"/>
      <c r="U181" s="12"/>
      <c r="V181" s="12"/>
      <c r="W181" s="12"/>
    </row>
    <row r="182" spans="15:23" ht="15" customHeight="1">
      <c r="O182" s="13" t="str">
        <f>+IF($B$3="esp","Total Santillana","Total Santillana")</f>
        <v>Total Santillana</v>
      </c>
      <c r="P182" s="13"/>
      <c r="Q182" s="14">
        <f>+[1]SANTILLANA!T141</f>
        <v>158.60319005046463</v>
      </c>
      <c r="R182" s="15">
        <f>+[1]SANTILLANA!U141</f>
        <v>167.23670850311339</v>
      </c>
      <c r="S182" s="16">
        <f>IF(R182=0,"---",IF(OR(ABS((Q182-R182)/ABS(R182))&gt;2,(Q182*R182)&lt;0),"---",IF(R182="0","---",((Q182-R182)/ABS(R182))*100)))</f>
        <v>-5.1624541824129659</v>
      </c>
      <c r="U182" s="14">
        <f>+[1]SANTILLANA!X141</f>
        <v>75.130630965654575</v>
      </c>
      <c r="V182" s="15">
        <f>+[1]SANTILLANA!Y141</f>
        <v>104.42627102194066</v>
      </c>
      <c r="W182" s="16">
        <f>IF(V182=0,"---",IF(OR(ABS((U182-V182)/ABS(V182))&gt;2,(U182*V182)&lt;0),"---",IF(V182="0","---",((U182-V182)/ABS(V182))*100)))</f>
        <v>-28.053898477453892</v>
      </c>
    </row>
    <row r="183" spans="15:23" ht="15" customHeight="1">
      <c r="O183" s="17" t="str">
        <f>+IF($B$3="esp","Educación Tradicional y Compartir","Traditional Education and Compartir")</f>
        <v>Traditional Education and Compartir</v>
      </c>
      <c r="Q183" s="18">
        <f>+[1]SANTILLANA!T142</f>
        <v>150.06845061715359</v>
      </c>
      <c r="R183" s="19">
        <f>+[1]SANTILLANA!U142</f>
        <v>154.79215694013078</v>
      </c>
      <c r="S183" s="20">
        <f>IF(R183=0,"---",IF(OR(ABS((Q183-R183)/ABS(R183))&gt;2,(Q183*R183)&lt;0),"---",IF(R183="0","---",((Q183-R183)/ABS(R183))*100)))</f>
        <v>-3.0516444866158103</v>
      </c>
      <c r="U183" s="18">
        <f>+[1]SANTILLANA!X142</f>
        <v>74.53211290899408</v>
      </c>
      <c r="V183" s="19">
        <f>+[1]SANTILLANA!Y142</f>
        <v>101.78088496974968</v>
      </c>
      <c r="W183" s="20">
        <f>IF(V183=0,"---",IF(OR(ABS((U183-V183)/ABS(V183))&gt;2,(U183*V183)&lt;0),"---",IF(V183="0","---",((U183-V183)/ABS(V183))*100)))</f>
        <v>-26.771993649744953</v>
      </c>
    </row>
    <row r="184" spans="15:23" ht="15" customHeight="1">
      <c r="O184" s="26" t="str">
        <f>+IF($B$3="esp","Campaña Sur","South Campaign")</f>
        <v>South Campaign</v>
      </c>
      <c r="Q184" s="18">
        <f>+[1]SANTILLANA!T143</f>
        <v>51.488962777734834</v>
      </c>
      <c r="R184" s="19">
        <f>+[1]SANTILLANA!U143</f>
        <v>47.112718489217691</v>
      </c>
      <c r="S184" s="20">
        <f>IF(R184=0,"---",IF(OR(ABS((Q184-R184)/ABS(R184))&gt;2,(Q184*R184)&lt;0),"---",IF(R184="0","---",((Q184-R184)/ABS(R184))*100)))</f>
        <v>9.2888808560658589</v>
      </c>
      <c r="U184" s="18">
        <f>+[1]SANTILLANA!X143</f>
        <v>-15.742193205944965</v>
      </c>
      <c r="V184" s="19">
        <f>+[1]SANTILLANA!Y143</f>
        <v>-8.6491997534362852</v>
      </c>
      <c r="W184" s="20">
        <f>IF(V184=0,"---",IF(OR(ABS((U184-V184)/ABS(V184))&gt;2,(U184*V184)&lt;0),"---",IF(V184="0","---",((U184-V184)/ABS(V184))*100)))</f>
        <v>-82.007511153741902</v>
      </c>
    </row>
    <row r="185" spans="15:23" ht="15" customHeight="1">
      <c r="O185" s="26" t="str">
        <f>+IF($B$3="esp","Campaña Norte","North Campaign")</f>
        <v>North Campaign</v>
      </c>
      <c r="Q185" s="18">
        <f>+[1]SANTILLANA!T144</f>
        <v>98.567610291894596</v>
      </c>
      <c r="R185" s="19">
        <f>+[1]SANTILLANA!U144</f>
        <v>107.74698134730805</v>
      </c>
      <c r="S185" s="20">
        <f>IF(R185=0,"---",IF(OR(ABS((Q185-R185)/ABS(R185))&gt;2,(Q185*R185)&lt;0),"---",IF(R185="0","---",((Q185-R185)/ABS(R185))*100)))</f>
        <v>-8.5193765436685176</v>
      </c>
      <c r="U185" s="18">
        <f>+[1]SANTILLANA!X144</f>
        <v>90.262428567414887</v>
      </c>
      <c r="V185" s="19">
        <f>+[1]SANTILLANA!Y144</f>
        <v>110.48031184844041</v>
      </c>
      <c r="W185" s="20">
        <f>IF(V185=0,"---",IF(OR(ABS((U185-V185)/ABS(V185))&gt;2,(U185*V185)&lt;0),"---",IF(V185="0","---",((U185-V185)/ABS(V185))*100)))</f>
        <v>-18.299987520637078</v>
      </c>
    </row>
    <row r="186" spans="15:23" ht="15" customHeight="1">
      <c r="O186" s="17" t="str">
        <f>+IF($B$3="esp","Sistema UNO","UNO System")</f>
        <v>UNO System</v>
      </c>
      <c r="Q186" s="18">
        <f>+[1]SANTILLANA!T145</f>
        <v>8.5347394333110529</v>
      </c>
      <c r="R186" s="19">
        <f>+[1]SANTILLANA!U145</f>
        <v>12.444551562982619</v>
      </c>
      <c r="S186" s="20">
        <f>IF(R186=0,"---",IF(OR(ABS((Q186-R186)/ABS(R186))&gt;2,(Q186*R186)&lt;0),"---",IF(R186="0","---",((Q186-R186)/ABS(R186))*100)))</f>
        <v>-31.41786274807713</v>
      </c>
      <c r="U186" s="18">
        <f>+[1]SANTILLANA!X145</f>
        <v>0.59851805666050417</v>
      </c>
      <c r="V186" s="19">
        <f>+[1]SANTILLANA!Y145</f>
        <v>2.6453860521909824</v>
      </c>
      <c r="W186" s="20">
        <f>IF(V186=0,"---",IF(OR(ABS((U186-V186)/ABS(V186))&gt;2,(U186*V186)&lt;0),"---",IF(V186="0","---",((U186-V186)/ABS(V186))*100)))</f>
        <v>-77.375020323978987</v>
      </c>
    </row>
    <row r="187" spans="15:23" ht="15" customHeight="1">
      <c r="O187" s="17"/>
      <c r="Q187" s="19"/>
      <c r="R187" s="19"/>
      <c r="S187" s="20"/>
      <c r="U187" s="19"/>
      <c r="V187" s="19"/>
      <c r="W187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Guelbenzu Robles, Belen</dc:creator>
  <cp:lastModifiedBy>Guelbenzu Robles, Belen</cp:lastModifiedBy>
  <dcterms:created xsi:type="dcterms:W3CDTF">2017-11-14T11:37:33Z</dcterms:created>
  <dcterms:modified xsi:type="dcterms:W3CDTF">2017-11-14T11:39:18Z</dcterms:modified>
</cp:coreProperties>
</file>