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LACIÓN CON INVERSORES\NEW\RESULTS\2017\4T\Doc DEF\"/>
    </mc:Choice>
  </mc:AlternateContent>
  <bookViews>
    <workbookView xWindow="0" yWindow="0" windowWidth="28800" windowHeight="12210" xr2:uid="{7AF4F7D6-6267-4280-8D34-6D776857CB95}"/>
  </bookViews>
  <sheets>
    <sheet name="Hoja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6" i="1" l="1"/>
  <c r="U186" i="1"/>
  <c r="R186" i="1"/>
  <c r="Q186" i="1"/>
  <c r="S186" i="1" s="1"/>
  <c r="O186" i="1"/>
  <c r="W185" i="1"/>
  <c r="V185" i="1"/>
  <c r="U185" i="1"/>
  <c r="S185" i="1"/>
  <c r="R185" i="1"/>
  <c r="Q185" i="1"/>
  <c r="O185" i="1"/>
  <c r="V184" i="1"/>
  <c r="W184" i="1" s="1"/>
  <c r="U184" i="1"/>
  <c r="S184" i="1"/>
  <c r="R184" i="1"/>
  <c r="Q184" i="1"/>
  <c r="O184" i="1"/>
  <c r="V183" i="1"/>
  <c r="W183" i="1" s="1"/>
  <c r="U183" i="1"/>
  <c r="R183" i="1"/>
  <c r="S183" i="1" s="1"/>
  <c r="Q183" i="1"/>
  <c r="O183" i="1"/>
  <c r="V182" i="1"/>
  <c r="U182" i="1"/>
  <c r="R182" i="1"/>
  <c r="Q182" i="1"/>
  <c r="S182" i="1" s="1"/>
  <c r="O182" i="1"/>
  <c r="O181" i="1"/>
  <c r="W180" i="1"/>
  <c r="S180" i="1"/>
  <c r="O180" i="1"/>
  <c r="V175" i="1"/>
  <c r="W175" i="1" s="1"/>
  <c r="U175" i="1"/>
  <c r="R175" i="1"/>
  <c r="S175" i="1" s="1"/>
  <c r="Q175" i="1"/>
  <c r="O175" i="1"/>
  <c r="V174" i="1"/>
  <c r="W174" i="1" s="1"/>
  <c r="U174" i="1"/>
  <c r="R174" i="1"/>
  <c r="Q174" i="1"/>
  <c r="S174" i="1" s="1"/>
  <c r="O174" i="1"/>
  <c r="V173" i="1"/>
  <c r="U173" i="1"/>
  <c r="W173" i="1" s="1"/>
  <c r="S173" i="1"/>
  <c r="R173" i="1"/>
  <c r="Q173" i="1"/>
  <c r="O173" i="1"/>
  <c r="W172" i="1"/>
  <c r="V172" i="1"/>
  <c r="U172" i="1"/>
  <c r="R172" i="1"/>
  <c r="S172" i="1" s="1"/>
  <c r="Q172" i="1"/>
  <c r="O172" i="1"/>
  <c r="V171" i="1"/>
  <c r="W171" i="1" s="1"/>
  <c r="U171" i="1"/>
  <c r="R171" i="1"/>
  <c r="Q171" i="1"/>
  <c r="O171" i="1"/>
  <c r="O170" i="1"/>
  <c r="W169" i="1"/>
  <c r="S169" i="1"/>
  <c r="O169" i="1"/>
  <c r="L166" i="1"/>
  <c r="K166" i="1"/>
  <c r="J166" i="1"/>
  <c r="G166" i="1"/>
  <c r="F166" i="1"/>
  <c r="D166" i="1"/>
  <c r="L165" i="1"/>
  <c r="K165" i="1"/>
  <c r="J165" i="1"/>
  <c r="G165" i="1"/>
  <c r="H165" i="1" s="1"/>
  <c r="F165" i="1"/>
  <c r="D165" i="1"/>
  <c r="K164" i="1"/>
  <c r="J164" i="1"/>
  <c r="G164" i="1"/>
  <c r="F164" i="1"/>
  <c r="H164" i="1" s="1"/>
  <c r="D164" i="1"/>
  <c r="L163" i="1"/>
  <c r="K163" i="1"/>
  <c r="J163" i="1"/>
  <c r="H163" i="1"/>
  <c r="G163" i="1"/>
  <c r="F163" i="1"/>
  <c r="D163" i="1"/>
  <c r="V162" i="1"/>
  <c r="W162" i="1" s="1"/>
  <c r="U162" i="1"/>
  <c r="R162" i="1"/>
  <c r="S162" i="1" s="1"/>
  <c r="Q162" i="1"/>
  <c r="O162" i="1"/>
  <c r="K162" i="1"/>
  <c r="J162" i="1"/>
  <c r="G162" i="1"/>
  <c r="F162" i="1"/>
  <c r="D162" i="1"/>
  <c r="V161" i="1"/>
  <c r="W161" i="1" s="1"/>
  <c r="U161" i="1"/>
  <c r="R161" i="1"/>
  <c r="Q161" i="1"/>
  <c r="S161" i="1" s="1"/>
  <c r="O161" i="1"/>
  <c r="K161" i="1"/>
  <c r="J161" i="1"/>
  <c r="L161" i="1" s="1"/>
  <c r="H161" i="1"/>
  <c r="G161" i="1"/>
  <c r="F161" i="1"/>
  <c r="D161" i="1"/>
  <c r="W160" i="1"/>
  <c r="V160" i="1"/>
  <c r="U160" i="1"/>
  <c r="R160" i="1"/>
  <c r="S160" i="1" s="1"/>
  <c r="Q160" i="1"/>
  <c r="O160" i="1"/>
  <c r="D160" i="1"/>
  <c r="W159" i="1"/>
  <c r="V159" i="1"/>
  <c r="U159" i="1"/>
  <c r="R159" i="1"/>
  <c r="S159" i="1" s="1"/>
  <c r="Q159" i="1"/>
  <c r="O159" i="1"/>
  <c r="L159" i="1"/>
  <c r="H159" i="1"/>
  <c r="D159" i="1"/>
  <c r="V158" i="1"/>
  <c r="U158" i="1"/>
  <c r="S158" i="1"/>
  <c r="R158" i="1"/>
  <c r="Q158" i="1"/>
  <c r="O158" i="1"/>
  <c r="O157" i="1"/>
  <c r="W156" i="1"/>
  <c r="S156" i="1"/>
  <c r="O156" i="1"/>
  <c r="K152" i="1"/>
  <c r="J152" i="1"/>
  <c r="L152" i="1" s="1"/>
  <c r="G152" i="1"/>
  <c r="H152" i="1" s="1"/>
  <c r="F152" i="1"/>
  <c r="D152" i="1"/>
  <c r="W151" i="1"/>
  <c r="V151" i="1"/>
  <c r="U151" i="1"/>
  <c r="S151" i="1"/>
  <c r="R151" i="1"/>
  <c r="Q151" i="1"/>
  <c r="O151" i="1"/>
  <c r="L151" i="1"/>
  <c r="K151" i="1"/>
  <c r="J151" i="1"/>
  <c r="G151" i="1"/>
  <c r="F151" i="1"/>
  <c r="D151" i="1"/>
  <c r="V150" i="1"/>
  <c r="U150" i="1"/>
  <c r="R150" i="1"/>
  <c r="Q150" i="1"/>
  <c r="S150" i="1" s="1"/>
  <c r="O150" i="1"/>
  <c r="L150" i="1"/>
  <c r="K150" i="1"/>
  <c r="J150" i="1"/>
  <c r="H150" i="1"/>
  <c r="G150" i="1"/>
  <c r="F150" i="1"/>
  <c r="D150" i="1"/>
  <c r="V149" i="1"/>
  <c r="W149" i="1" s="1"/>
  <c r="U149" i="1"/>
  <c r="R149" i="1"/>
  <c r="S149" i="1" s="1"/>
  <c r="Q149" i="1"/>
  <c r="O149" i="1"/>
  <c r="K149" i="1"/>
  <c r="J149" i="1"/>
  <c r="L149" i="1" s="1"/>
  <c r="G149" i="1"/>
  <c r="H149" i="1" s="1"/>
  <c r="F149" i="1"/>
  <c r="D149" i="1"/>
  <c r="V148" i="1"/>
  <c r="U148" i="1"/>
  <c r="R148" i="1"/>
  <c r="Q148" i="1"/>
  <c r="S148" i="1" s="1"/>
  <c r="O148" i="1"/>
  <c r="K148" i="1"/>
  <c r="J148" i="1"/>
  <c r="L148" i="1" s="1"/>
  <c r="G148" i="1"/>
  <c r="H148" i="1" s="1"/>
  <c r="F148" i="1"/>
  <c r="D148" i="1"/>
  <c r="W147" i="1"/>
  <c r="V147" i="1"/>
  <c r="U147" i="1"/>
  <c r="R147" i="1"/>
  <c r="S147" i="1" s="1"/>
  <c r="Q147" i="1"/>
  <c r="O147" i="1"/>
  <c r="K147" i="1"/>
  <c r="L147" i="1" s="1"/>
  <c r="J147" i="1"/>
  <c r="G147" i="1"/>
  <c r="F147" i="1"/>
  <c r="D147" i="1"/>
  <c r="O146" i="1"/>
  <c r="D146" i="1"/>
  <c r="W145" i="1"/>
  <c r="S145" i="1"/>
  <c r="O145" i="1"/>
  <c r="L145" i="1"/>
  <c r="H145" i="1"/>
  <c r="D145" i="1"/>
  <c r="Q143" i="1"/>
  <c r="Q154" i="1" s="1"/>
  <c r="Q167" i="1" s="1"/>
  <c r="Q178" i="1" s="1"/>
  <c r="K138" i="1"/>
  <c r="J138" i="1"/>
  <c r="H138" i="1"/>
  <c r="G138" i="1"/>
  <c r="F138" i="1"/>
  <c r="D138" i="1"/>
  <c r="K137" i="1"/>
  <c r="J137" i="1"/>
  <c r="L137" i="1" s="1"/>
  <c r="G137" i="1"/>
  <c r="H137" i="1" s="1"/>
  <c r="F137" i="1"/>
  <c r="D137" i="1"/>
  <c r="L136" i="1"/>
  <c r="K136" i="1"/>
  <c r="J136" i="1"/>
  <c r="G136" i="1"/>
  <c r="F136" i="1"/>
  <c r="H136" i="1" s="1"/>
  <c r="D136" i="1"/>
  <c r="K135" i="1"/>
  <c r="L135" i="1" s="1"/>
  <c r="J135" i="1"/>
  <c r="G135" i="1"/>
  <c r="H135" i="1" s="1"/>
  <c r="F135" i="1"/>
  <c r="D135" i="1"/>
  <c r="K134" i="1"/>
  <c r="J134" i="1"/>
  <c r="G134" i="1"/>
  <c r="F134" i="1"/>
  <c r="H134" i="1" s="1"/>
  <c r="D134" i="1"/>
  <c r="L133" i="1"/>
  <c r="K133" i="1"/>
  <c r="J133" i="1"/>
  <c r="H133" i="1"/>
  <c r="G133" i="1"/>
  <c r="F133" i="1"/>
  <c r="D133" i="1"/>
  <c r="L132" i="1"/>
  <c r="K132" i="1"/>
  <c r="J132" i="1"/>
  <c r="G132" i="1"/>
  <c r="H132" i="1" s="1"/>
  <c r="F132" i="1"/>
  <c r="D132" i="1"/>
  <c r="L130" i="1"/>
  <c r="H130" i="1"/>
  <c r="D130" i="1"/>
  <c r="L125" i="1"/>
  <c r="K125" i="1"/>
  <c r="J125" i="1"/>
  <c r="G125" i="1"/>
  <c r="F125" i="1"/>
  <c r="D125" i="1"/>
  <c r="AS124" i="1"/>
  <c r="AR124" i="1"/>
  <c r="AQ124" i="1"/>
  <c r="AN124" i="1"/>
  <c r="AO124" i="1" s="1"/>
  <c r="AM124" i="1"/>
  <c r="AK124" i="1"/>
  <c r="AG124" i="1"/>
  <c r="AH124" i="1" s="1"/>
  <c r="AF124" i="1"/>
  <c r="AC124" i="1"/>
  <c r="AB124" i="1"/>
  <c r="AD124" i="1" s="1"/>
  <c r="Z124" i="1"/>
  <c r="W124" i="1"/>
  <c r="V124" i="1"/>
  <c r="U124" i="1"/>
  <c r="S124" i="1"/>
  <c r="R124" i="1"/>
  <c r="Q124" i="1"/>
  <c r="O124" i="1"/>
  <c r="K124" i="1"/>
  <c r="L124" i="1" s="1"/>
  <c r="J124" i="1"/>
  <c r="G124" i="1"/>
  <c r="H124" i="1" s="1"/>
  <c r="F124" i="1"/>
  <c r="D124" i="1"/>
  <c r="AR123" i="1"/>
  <c r="AQ123" i="1"/>
  <c r="AN123" i="1"/>
  <c r="AM123" i="1"/>
  <c r="AK123" i="1"/>
  <c r="AG123" i="1"/>
  <c r="AH123" i="1" s="1"/>
  <c r="AF123" i="1"/>
  <c r="AC123" i="1"/>
  <c r="AB123" i="1"/>
  <c r="AD123" i="1" s="1"/>
  <c r="Z123" i="1"/>
  <c r="V123" i="1"/>
  <c r="U123" i="1"/>
  <c r="W123" i="1" s="1"/>
  <c r="S123" i="1"/>
  <c r="R123" i="1"/>
  <c r="Q123" i="1"/>
  <c r="O123" i="1"/>
  <c r="L123" i="1"/>
  <c r="K123" i="1"/>
  <c r="J123" i="1"/>
  <c r="G123" i="1"/>
  <c r="H123" i="1" s="1"/>
  <c r="F123" i="1"/>
  <c r="D123" i="1"/>
  <c r="AR122" i="1"/>
  <c r="AS122" i="1" s="1"/>
  <c r="AQ122" i="1"/>
  <c r="AN122" i="1"/>
  <c r="AM122" i="1"/>
  <c r="AK122" i="1"/>
  <c r="AG122" i="1"/>
  <c r="AH122" i="1" s="1"/>
  <c r="AF122" i="1"/>
  <c r="AC122" i="1"/>
  <c r="AB122" i="1"/>
  <c r="AD122" i="1" s="1"/>
  <c r="Z122" i="1"/>
  <c r="V122" i="1"/>
  <c r="U122" i="1"/>
  <c r="W122" i="1" s="1"/>
  <c r="S122" i="1"/>
  <c r="R122" i="1"/>
  <c r="Q122" i="1"/>
  <c r="O122" i="1"/>
  <c r="K122" i="1"/>
  <c r="L122" i="1" s="1"/>
  <c r="J122" i="1"/>
  <c r="H122" i="1"/>
  <c r="G122" i="1"/>
  <c r="F122" i="1"/>
  <c r="D122" i="1"/>
  <c r="AS121" i="1"/>
  <c r="AR121" i="1"/>
  <c r="AQ121" i="1"/>
  <c r="AN121" i="1"/>
  <c r="AM121" i="1"/>
  <c r="AK121" i="1"/>
  <c r="AG121" i="1"/>
  <c r="AF121" i="1"/>
  <c r="AD121" i="1"/>
  <c r="AC121" i="1"/>
  <c r="AB121" i="1"/>
  <c r="Z121" i="1"/>
  <c r="V121" i="1"/>
  <c r="U121" i="1"/>
  <c r="W121" i="1" s="1"/>
  <c r="R121" i="1"/>
  <c r="S121" i="1" s="1"/>
  <c r="Q121" i="1"/>
  <c r="O121" i="1"/>
  <c r="L121" i="1"/>
  <c r="K121" i="1"/>
  <c r="J121" i="1"/>
  <c r="G121" i="1"/>
  <c r="F121" i="1"/>
  <c r="H121" i="1" s="1"/>
  <c r="D121" i="1"/>
  <c r="AR120" i="1"/>
  <c r="AS120" i="1" s="1"/>
  <c r="AQ120" i="1"/>
  <c r="AN120" i="1"/>
  <c r="AO120" i="1" s="1"/>
  <c r="AM120" i="1"/>
  <c r="AK120" i="1"/>
  <c r="AG120" i="1"/>
  <c r="AF120" i="1"/>
  <c r="AC120" i="1"/>
  <c r="AB120" i="1"/>
  <c r="AD120" i="1" s="1"/>
  <c r="Z120" i="1"/>
  <c r="W120" i="1"/>
  <c r="V120" i="1"/>
  <c r="U120" i="1"/>
  <c r="S120" i="1"/>
  <c r="R120" i="1"/>
  <c r="Q120" i="1"/>
  <c r="O120" i="1"/>
  <c r="K120" i="1"/>
  <c r="L120" i="1" s="1"/>
  <c r="J120" i="1"/>
  <c r="G120" i="1"/>
  <c r="H120" i="1" s="1"/>
  <c r="F120" i="1"/>
  <c r="D120" i="1"/>
  <c r="AR119" i="1"/>
  <c r="AQ119" i="1"/>
  <c r="AN119" i="1"/>
  <c r="AO119" i="1" s="1"/>
  <c r="AM119" i="1"/>
  <c r="AK119" i="1"/>
  <c r="AG119" i="1"/>
  <c r="AH119" i="1" s="1"/>
  <c r="AF119" i="1"/>
  <c r="AC119" i="1"/>
  <c r="AB119" i="1"/>
  <c r="AD119" i="1" s="1"/>
  <c r="Z119" i="1"/>
  <c r="V119" i="1"/>
  <c r="U119" i="1"/>
  <c r="W119" i="1" s="1"/>
  <c r="S119" i="1"/>
  <c r="R119" i="1"/>
  <c r="Q119" i="1"/>
  <c r="O119" i="1"/>
  <c r="L119" i="1"/>
  <c r="K119" i="1"/>
  <c r="J119" i="1"/>
  <c r="G119" i="1"/>
  <c r="H119" i="1" s="1"/>
  <c r="F119" i="1"/>
  <c r="D119" i="1"/>
  <c r="AR118" i="1"/>
  <c r="AS118" i="1" s="1"/>
  <c r="AQ118" i="1"/>
  <c r="AN118" i="1"/>
  <c r="AM118" i="1"/>
  <c r="AK118" i="1"/>
  <c r="AG118" i="1"/>
  <c r="AF118" i="1"/>
  <c r="AC118" i="1"/>
  <c r="AB118" i="1"/>
  <c r="AD118" i="1" s="1"/>
  <c r="Z118" i="1"/>
  <c r="V118" i="1"/>
  <c r="U118" i="1"/>
  <c r="W118" i="1" s="1"/>
  <c r="S118" i="1"/>
  <c r="R118" i="1"/>
  <c r="Q118" i="1"/>
  <c r="O118" i="1"/>
  <c r="L118" i="1"/>
  <c r="K118" i="1"/>
  <c r="J118" i="1"/>
  <c r="H118" i="1"/>
  <c r="G118" i="1"/>
  <c r="F118" i="1"/>
  <c r="D118" i="1"/>
  <c r="AS116" i="1"/>
  <c r="AO116" i="1"/>
  <c r="AK116" i="1"/>
  <c r="AH116" i="1"/>
  <c r="AD116" i="1"/>
  <c r="Z116" i="1"/>
  <c r="W116" i="1"/>
  <c r="S116" i="1"/>
  <c r="O116" i="1"/>
  <c r="L116" i="1"/>
  <c r="H116" i="1"/>
  <c r="D116" i="1"/>
  <c r="AQ114" i="1"/>
  <c r="AM114" i="1"/>
  <c r="AK114" i="1"/>
  <c r="AB114" i="1"/>
  <c r="Z114" i="1"/>
  <c r="O114" i="1"/>
  <c r="D114" i="1"/>
  <c r="AG102" i="1"/>
  <c r="AH102" i="1" s="1"/>
  <c r="AF102" i="1"/>
  <c r="AC102" i="1"/>
  <c r="AD102" i="1" s="1"/>
  <c r="AB102" i="1"/>
  <c r="Z102" i="1"/>
  <c r="V102" i="1"/>
  <c r="W102" i="1" s="1"/>
  <c r="U102" i="1"/>
  <c r="S102" i="1"/>
  <c r="R102" i="1"/>
  <c r="Q102" i="1"/>
  <c r="O102" i="1"/>
  <c r="K102" i="1"/>
  <c r="J102" i="1"/>
  <c r="L102" i="1" s="1"/>
  <c r="G102" i="1"/>
  <c r="H102" i="1" s="1"/>
  <c r="F102" i="1"/>
  <c r="D102" i="1"/>
  <c r="AS101" i="1"/>
  <c r="AR101" i="1"/>
  <c r="AQ101" i="1"/>
  <c r="AN101" i="1"/>
  <c r="AO101" i="1" s="1"/>
  <c r="AM101" i="1"/>
  <c r="AK101" i="1"/>
  <c r="AG101" i="1"/>
  <c r="AH101" i="1" s="1"/>
  <c r="AF101" i="1"/>
  <c r="AC101" i="1"/>
  <c r="AD101" i="1" s="1"/>
  <c r="AB101" i="1"/>
  <c r="Z101" i="1"/>
  <c r="V101" i="1"/>
  <c r="W101" i="1" s="1"/>
  <c r="U101" i="1"/>
  <c r="R101" i="1"/>
  <c r="Q101" i="1"/>
  <c r="S101" i="1" s="1"/>
  <c r="O101" i="1"/>
  <c r="K101" i="1"/>
  <c r="J101" i="1"/>
  <c r="L101" i="1" s="1"/>
  <c r="H101" i="1"/>
  <c r="G101" i="1"/>
  <c r="F101" i="1"/>
  <c r="D101" i="1"/>
  <c r="AS100" i="1"/>
  <c r="AR100" i="1"/>
  <c r="AQ100" i="1"/>
  <c r="AN100" i="1"/>
  <c r="AO100" i="1" s="1"/>
  <c r="AM100" i="1"/>
  <c r="AK100" i="1"/>
  <c r="AG100" i="1"/>
  <c r="AH100" i="1" s="1"/>
  <c r="AF100" i="1"/>
  <c r="AC100" i="1"/>
  <c r="AB100" i="1"/>
  <c r="Z100" i="1"/>
  <c r="V100" i="1"/>
  <c r="U100" i="1"/>
  <c r="S100" i="1"/>
  <c r="R100" i="1"/>
  <c r="Q100" i="1"/>
  <c r="O100" i="1"/>
  <c r="K100" i="1"/>
  <c r="J100" i="1"/>
  <c r="L100" i="1" s="1"/>
  <c r="G100" i="1"/>
  <c r="H100" i="1" s="1"/>
  <c r="F100" i="1"/>
  <c r="D100" i="1"/>
  <c r="W98" i="1"/>
  <c r="V98" i="1"/>
  <c r="U98" i="1"/>
  <c r="S98" i="1"/>
  <c r="R98" i="1"/>
  <c r="Q98" i="1"/>
  <c r="O98" i="1"/>
  <c r="W97" i="1"/>
  <c r="V97" i="1"/>
  <c r="U97" i="1"/>
  <c r="R97" i="1"/>
  <c r="Q97" i="1"/>
  <c r="O97" i="1"/>
  <c r="K97" i="1"/>
  <c r="J97" i="1"/>
  <c r="G97" i="1"/>
  <c r="F97" i="1"/>
  <c r="H97" i="1" s="1"/>
  <c r="D97" i="1"/>
  <c r="AH96" i="1"/>
  <c r="AG96" i="1"/>
  <c r="AF96" i="1"/>
  <c r="AD96" i="1"/>
  <c r="AC96" i="1"/>
  <c r="AB96" i="1"/>
  <c r="Z96" i="1"/>
  <c r="V96" i="1"/>
  <c r="W96" i="1" s="1"/>
  <c r="U96" i="1"/>
  <c r="R96" i="1"/>
  <c r="S96" i="1" s="1"/>
  <c r="Q96" i="1"/>
  <c r="O96" i="1"/>
  <c r="K96" i="1"/>
  <c r="J96" i="1"/>
  <c r="L96" i="1" s="1"/>
  <c r="G96" i="1"/>
  <c r="H96" i="1" s="1"/>
  <c r="F96" i="1"/>
  <c r="D96" i="1"/>
  <c r="AR95" i="1"/>
  <c r="AQ95" i="1"/>
  <c r="AN95" i="1"/>
  <c r="AM95" i="1"/>
  <c r="AO95" i="1" s="1"/>
  <c r="AK95" i="1"/>
  <c r="AG95" i="1"/>
  <c r="AF95" i="1"/>
  <c r="AH95" i="1" s="1"/>
  <c r="AC95" i="1"/>
  <c r="AD95" i="1" s="1"/>
  <c r="AB95" i="1"/>
  <c r="Z95" i="1"/>
  <c r="W95" i="1"/>
  <c r="V95" i="1"/>
  <c r="U95" i="1"/>
  <c r="R95" i="1"/>
  <c r="S95" i="1" s="1"/>
  <c r="Q95" i="1"/>
  <c r="O95" i="1"/>
  <c r="K95" i="1"/>
  <c r="L95" i="1" s="1"/>
  <c r="J95" i="1"/>
  <c r="G95" i="1"/>
  <c r="F95" i="1"/>
  <c r="D95" i="1"/>
  <c r="AR94" i="1"/>
  <c r="AS94" i="1" s="1"/>
  <c r="AQ94" i="1"/>
  <c r="AN94" i="1"/>
  <c r="AM94" i="1"/>
  <c r="AO94" i="1" s="1"/>
  <c r="AK94" i="1"/>
  <c r="AG94" i="1"/>
  <c r="AF94" i="1"/>
  <c r="AH94" i="1" s="1"/>
  <c r="AD94" i="1"/>
  <c r="AC94" i="1"/>
  <c r="AB94" i="1"/>
  <c r="Z94" i="1"/>
  <c r="W94" i="1"/>
  <c r="V94" i="1"/>
  <c r="U94" i="1"/>
  <c r="S94" i="1"/>
  <c r="R94" i="1"/>
  <c r="Q94" i="1"/>
  <c r="O94" i="1"/>
  <c r="K94" i="1"/>
  <c r="L94" i="1" s="1"/>
  <c r="J94" i="1"/>
  <c r="G94" i="1"/>
  <c r="F94" i="1"/>
  <c r="D94" i="1"/>
  <c r="K91" i="1"/>
  <c r="L91" i="1" s="1"/>
  <c r="J91" i="1"/>
  <c r="H91" i="1"/>
  <c r="G91" i="1"/>
  <c r="F91" i="1"/>
  <c r="D91" i="1"/>
  <c r="K90" i="1"/>
  <c r="J90" i="1"/>
  <c r="L90" i="1" s="1"/>
  <c r="H90" i="1"/>
  <c r="G90" i="1"/>
  <c r="F90" i="1"/>
  <c r="D90" i="1"/>
  <c r="AH89" i="1"/>
  <c r="AG89" i="1"/>
  <c r="AF89" i="1"/>
  <c r="AD89" i="1"/>
  <c r="AC89" i="1"/>
  <c r="AB89" i="1"/>
  <c r="Z89" i="1"/>
  <c r="W89" i="1"/>
  <c r="V89" i="1"/>
  <c r="U89" i="1"/>
  <c r="R89" i="1"/>
  <c r="S89" i="1" s="1"/>
  <c r="Q89" i="1"/>
  <c r="O89" i="1"/>
  <c r="K89" i="1"/>
  <c r="J89" i="1"/>
  <c r="G89" i="1"/>
  <c r="F89" i="1"/>
  <c r="H89" i="1" s="1"/>
  <c r="D89" i="1"/>
  <c r="AS88" i="1"/>
  <c r="AR88" i="1"/>
  <c r="AQ88" i="1"/>
  <c r="AO88" i="1"/>
  <c r="AN88" i="1"/>
  <c r="AM88" i="1"/>
  <c r="AK88" i="1"/>
  <c r="AG88" i="1"/>
  <c r="AH88" i="1" s="1"/>
  <c r="AF88" i="1"/>
  <c r="AD88" i="1"/>
  <c r="AC88" i="1"/>
  <c r="AB88" i="1"/>
  <c r="Z88" i="1"/>
  <c r="V88" i="1"/>
  <c r="U88" i="1"/>
  <c r="R88" i="1"/>
  <c r="S88" i="1" s="1"/>
  <c r="Q88" i="1"/>
  <c r="O88" i="1"/>
  <c r="K88" i="1"/>
  <c r="J88" i="1"/>
  <c r="G88" i="1"/>
  <c r="F88" i="1"/>
  <c r="H88" i="1" s="1"/>
  <c r="D88" i="1"/>
  <c r="AK87" i="1"/>
  <c r="Z87" i="1"/>
  <c r="O87" i="1"/>
  <c r="D87" i="1"/>
  <c r="AS86" i="1"/>
  <c r="AO86" i="1"/>
  <c r="AK86" i="1"/>
  <c r="AH86" i="1"/>
  <c r="AD86" i="1"/>
  <c r="Z86" i="1"/>
  <c r="W86" i="1"/>
  <c r="S86" i="1"/>
  <c r="O86" i="1"/>
  <c r="L86" i="1"/>
  <c r="H86" i="1"/>
  <c r="D86" i="1"/>
  <c r="K80" i="1"/>
  <c r="J80" i="1"/>
  <c r="L80" i="1" s="1"/>
  <c r="G80" i="1"/>
  <c r="H80" i="1" s="1"/>
  <c r="F80" i="1"/>
  <c r="D80" i="1"/>
  <c r="L79" i="1"/>
  <c r="K79" i="1"/>
  <c r="J79" i="1"/>
  <c r="G79" i="1"/>
  <c r="F79" i="1"/>
  <c r="D79" i="1"/>
  <c r="AG78" i="1"/>
  <c r="Z78" i="1"/>
  <c r="L78" i="1"/>
  <c r="K78" i="1"/>
  <c r="J78" i="1"/>
  <c r="H78" i="1"/>
  <c r="G78" i="1"/>
  <c r="F78" i="1"/>
  <c r="D78" i="1"/>
  <c r="AH77" i="1"/>
  <c r="AG77" i="1"/>
  <c r="AF77" i="1"/>
  <c r="AC77" i="1"/>
  <c r="AB77" i="1"/>
  <c r="Z77" i="1"/>
  <c r="K77" i="1"/>
  <c r="J77" i="1"/>
  <c r="H77" i="1"/>
  <c r="G77" i="1"/>
  <c r="F77" i="1"/>
  <c r="D77" i="1"/>
  <c r="AG76" i="1"/>
  <c r="AH76" i="1" s="1"/>
  <c r="AF76" i="1"/>
  <c r="AC76" i="1"/>
  <c r="AD76" i="1" s="1"/>
  <c r="AB76" i="1"/>
  <c r="Z76" i="1"/>
  <c r="L76" i="1"/>
  <c r="K76" i="1"/>
  <c r="J76" i="1"/>
  <c r="G76" i="1"/>
  <c r="H76" i="1" s="1"/>
  <c r="F76" i="1"/>
  <c r="D76" i="1"/>
  <c r="AH75" i="1"/>
  <c r="AG75" i="1"/>
  <c r="AF75" i="1"/>
  <c r="AC75" i="1"/>
  <c r="AD75" i="1" s="1"/>
  <c r="AB75" i="1"/>
  <c r="Z75" i="1"/>
  <c r="K75" i="1"/>
  <c r="L75" i="1" s="1"/>
  <c r="J75" i="1"/>
  <c r="G75" i="1"/>
  <c r="F75" i="1"/>
  <c r="H75" i="1" s="1"/>
  <c r="D75" i="1"/>
  <c r="AH74" i="1"/>
  <c r="AG74" i="1"/>
  <c r="AF74" i="1"/>
  <c r="AD74" i="1"/>
  <c r="AC74" i="1"/>
  <c r="AB74" i="1"/>
  <c r="Z74" i="1"/>
  <c r="K74" i="1"/>
  <c r="L74" i="1" s="1"/>
  <c r="J74" i="1"/>
  <c r="G74" i="1"/>
  <c r="H74" i="1" s="1"/>
  <c r="F74" i="1"/>
  <c r="D74" i="1"/>
  <c r="AG73" i="1"/>
  <c r="AF73" i="1"/>
  <c r="AF78" i="1" s="1"/>
  <c r="AC73" i="1"/>
  <c r="AB73" i="1"/>
  <c r="AB78" i="1" s="1"/>
  <c r="Z73" i="1"/>
  <c r="K73" i="1"/>
  <c r="L73" i="1" s="1"/>
  <c r="J73" i="1"/>
  <c r="G73" i="1"/>
  <c r="F73" i="1"/>
  <c r="H73" i="1" s="1"/>
  <c r="D73" i="1"/>
  <c r="AC72" i="1"/>
  <c r="AB72" i="1"/>
  <c r="Z72" i="1"/>
  <c r="K72" i="1"/>
  <c r="L72" i="1" s="1"/>
  <c r="J72" i="1"/>
  <c r="G72" i="1"/>
  <c r="F72" i="1"/>
  <c r="D72" i="1"/>
  <c r="AG71" i="1"/>
  <c r="AF71" i="1"/>
  <c r="AH71" i="1" s="1"/>
  <c r="AD71" i="1"/>
  <c r="AC71" i="1"/>
  <c r="AB71" i="1"/>
  <c r="Z71" i="1"/>
  <c r="Q71" i="1"/>
  <c r="O71" i="1"/>
  <c r="D71" i="1"/>
  <c r="AG70" i="1"/>
  <c r="AH70" i="1" s="1"/>
  <c r="AF70" i="1"/>
  <c r="AC70" i="1"/>
  <c r="AB70" i="1"/>
  <c r="Z70" i="1"/>
  <c r="V70" i="1"/>
  <c r="U70" i="1"/>
  <c r="W70" i="1" s="1"/>
  <c r="S70" i="1"/>
  <c r="R70" i="1"/>
  <c r="Q70" i="1"/>
  <c r="O70" i="1"/>
  <c r="L70" i="1"/>
  <c r="K70" i="1"/>
  <c r="J70" i="1"/>
  <c r="G70" i="1"/>
  <c r="H70" i="1" s="1"/>
  <c r="F70" i="1"/>
  <c r="D70" i="1"/>
  <c r="AG69" i="1"/>
  <c r="AH69" i="1" s="1"/>
  <c r="AF69" i="1"/>
  <c r="AC69" i="1"/>
  <c r="AB69" i="1"/>
  <c r="Z69" i="1"/>
  <c r="V69" i="1"/>
  <c r="U69" i="1"/>
  <c r="S69" i="1"/>
  <c r="R69" i="1"/>
  <c r="Q69" i="1"/>
  <c r="O69" i="1"/>
  <c r="K69" i="1"/>
  <c r="J69" i="1"/>
  <c r="G69" i="1"/>
  <c r="H69" i="1" s="1"/>
  <c r="F69" i="1"/>
  <c r="D69" i="1"/>
  <c r="AH68" i="1"/>
  <c r="AG68" i="1"/>
  <c r="AF68" i="1"/>
  <c r="AD68" i="1"/>
  <c r="AC68" i="1"/>
  <c r="AB68" i="1"/>
  <c r="Z68" i="1"/>
  <c r="W68" i="1"/>
  <c r="V68" i="1"/>
  <c r="U68" i="1"/>
  <c r="R68" i="1"/>
  <c r="Q68" i="1"/>
  <c r="O68" i="1"/>
  <c r="K68" i="1"/>
  <c r="J68" i="1"/>
  <c r="G68" i="1"/>
  <c r="F68" i="1"/>
  <c r="H68" i="1" s="1"/>
  <c r="D68" i="1"/>
  <c r="AH67" i="1"/>
  <c r="AG67" i="1"/>
  <c r="AG72" i="1" s="1"/>
  <c r="AF67" i="1"/>
  <c r="AD67" i="1"/>
  <c r="AC67" i="1"/>
  <c r="AB67" i="1"/>
  <c r="Z67" i="1"/>
  <c r="V67" i="1"/>
  <c r="W67" i="1" s="1"/>
  <c r="U67" i="1"/>
  <c r="R67" i="1"/>
  <c r="S67" i="1" s="1"/>
  <c r="Q67" i="1"/>
  <c r="O67" i="1"/>
  <c r="K67" i="1"/>
  <c r="J67" i="1"/>
  <c r="L67" i="1" s="1"/>
  <c r="G67" i="1"/>
  <c r="H67" i="1" s="1"/>
  <c r="F67" i="1"/>
  <c r="D67" i="1"/>
  <c r="AG66" i="1"/>
  <c r="AF66" i="1"/>
  <c r="AC66" i="1"/>
  <c r="AB66" i="1"/>
  <c r="AD66" i="1" s="1"/>
  <c r="Z66" i="1"/>
  <c r="V66" i="1"/>
  <c r="U66" i="1"/>
  <c r="S66" i="1"/>
  <c r="R66" i="1"/>
  <c r="R71" i="1" s="1"/>
  <c r="Q66" i="1"/>
  <c r="O66" i="1"/>
  <c r="L66" i="1"/>
  <c r="K66" i="1"/>
  <c r="K71" i="1" s="1"/>
  <c r="J66" i="1"/>
  <c r="H66" i="1"/>
  <c r="G66" i="1"/>
  <c r="F66" i="1"/>
  <c r="D66" i="1"/>
  <c r="AG65" i="1"/>
  <c r="AH65" i="1" s="1"/>
  <c r="AF65" i="1"/>
  <c r="AC65" i="1"/>
  <c r="AB65" i="1"/>
  <c r="Z65" i="1"/>
  <c r="U65" i="1"/>
  <c r="O65" i="1"/>
  <c r="D65" i="1"/>
  <c r="AH64" i="1"/>
  <c r="AG64" i="1"/>
  <c r="AF64" i="1"/>
  <c r="AC64" i="1"/>
  <c r="AD64" i="1" s="1"/>
  <c r="AB64" i="1"/>
  <c r="Z64" i="1"/>
  <c r="W64" i="1"/>
  <c r="V64" i="1"/>
  <c r="U64" i="1"/>
  <c r="R64" i="1"/>
  <c r="S64" i="1" s="1"/>
  <c r="Q64" i="1"/>
  <c r="O64" i="1"/>
  <c r="K64" i="1"/>
  <c r="L64" i="1" s="1"/>
  <c r="J64" i="1"/>
  <c r="G64" i="1"/>
  <c r="H64" i="1" s="1"/>
  <c r="F64" i="1"/>
  <c r="D64" i="1"/>
  <c r="AG63" i="1"/>
  <c r="AF63" i="1"/>
  <c r="AH63" i="1" s="1"/>
  <c r="AD63" i="1"/>
  <c r="AC63" i="1"/>
  <c r="AB63" i="1"/>
  <c r="Z63" i="1"/>
  <c r="W63" i="1"/>
  <c r="V63" i="1"/>
  <c r="U63" i="1"/>
  <c r="R63" i="1"/>
  <c r="S63" i="1" s="1"/>
  <c r="Q63" i="1"/>
  <c r="O63" i="1"/>
  <c r="K63" i="1"/>
  <c r="L63" i="1" s="1"/>
  <c r="J63" i="1"/>
  <c r="G63" i="1"/>
  <c r="F63" i="1"/>
  <c r="D63" i="1"/>
  <c r="AG62" i="1"/>
  <c r="AF62" i="1"/>
  <c r="AD62" i="1"/>
  <c r="AC62" i="1"/>
  <c r="AB62" i="1"/>
  <c r="Z62" i="1"/>
  <c r="V62" i="1"/>
  <c r="U62" i="1"/>
  <c r="R62" i="1"/>
  <c r="S62" i="1" s="1"/>
  <c r="Q62" i="1"/>
  <c r="O62" i="1"/>
  <c r="L62" i="1"/>
  <c r="K62" i="1"/>
  <c r="J62" i="1"/>
  <c r="G62" i="1"/>
  <c r="F62" i="1"/>
  <c r="H62" i="1" s="1"/>
  <c r="D62" i="1"/>
  <c r="AH61" i="1"/>
  <c r="AG61" i="1"/>
  <c r="AF61" i="1"/>
  <c r="AC61" i="1"/>
  <c r="AB61" i="1"/>
  <c r="Z61" i="1"/>
  <c r="V61" i="1"/>
  <c r="W61" i="1" s="1"/>
  <c r="U61" i="1"/>
  <c r="R61" i="1"/>
  <c r="S61" i="1" s="1"/>
  <c r="Q61" i="1"/>
  <c r="O61" i="1"/>
  <c r="L61" i="1"/>
  <c r="K61" i="1"/>
  <c r="J61" i="1"/>
  <c r="H61" i="1"/>
  <c r="G61" i="1"/>
  <c r="F61" i="1"/>
  <c r="D61" i="1"/>
  <c r="AG60" i="1"/>
  <c r="AH60" i="1" s="1"/>
  <c r="AF60" i="1"/>
  <c r="AC60" i="1"/>
  <c r="AD60" i="1" s="1"/>
  <c r="AB60" i="1"/>
  <c r="Z60" i="1"/>
  <c r="V60" i="1"/>
  <c r="U60" i="1"/>
  <c r="W60" i="1" s="1"/>
  <c r="R60" i="1"/>
  <c r="Q60" i="1"/>
  <c r="Q65" i="1" s="1"/>
  <c r="O60" i="1"/>
  <c r="K60" i="1"/>
  <c r="J60" i="1"/>
  <c r="J65" i="1" s="1"/>
  <c r="G60" i="1"/>
  <c r="F60" i="1"/>
  <c r="D60" i="1"/>
  <c r="AG59" i="1"/>
  <c r="AF59" i="1"/>
  <c r="AH59" i="1" s="1"/>
  <c r="AC59" i="1"/>
  <c r="AD59" i="1" s="1"/>
  <c r="AB59" i="1"/>
  <c r="Z59" i="1"/>
  <c r="W59" i="1"/>
  <c r="V59" i="1"/>
  <c r="U59" i="1"/>
  <c r="R59" i="1"/>
  <c r="S59" i="1" s="1"/>
  <c r="Q59" i="1"/>
  <c r="O59" i="1"/>
  <c r="K59" i="1"/>
  <c r="L59" i="1" s="1"/>
  <c r="J59" i="1"/>
  <c r="G59" i="1"/>
  <c r="F59" i="1"/>
  <c r="D59" i="1"/>
  <c r="AQ58" i="1"/>
  <c r="AK58" i="1"/>
  <c r="AG58" i="1"/>
  <c r="AH58" i="1" s="1"/>
  <c r="AF58" i="1"/>
  <c r="AC58" i="1"/>
  <c r="AB58" i="1"/>
  <c r="Z58" i="1"/>
  <c r="V58" i="1"/>
  <c r="W58" i="1" s="1"/>
  <c r="U58" i="1"/>
  <c r="S58" i="1"/>
  <c r="R58" i="1"/>
  <c r="Q58" i="1"/>
  <c r="O58" i="1"/>
  <c r="K58" i="1"/>
  <c r="J58" i="1"/>
  <c r="L58" i="1" s="1"/>
  <c r="H58" i="1"/>
  <c r="G58" i="1"/>
  <c r="F58" i="1"/>
  <c r="D58" i="1"/>
  <c r="AS57" i="1"/>
  <c r="AR57" i="1"/>
  <c r="AR58" i="1" s="1"/>
  <c r="AQ57" i="1"/>
  <c r="AO57" i="1"/>
  <c r="AN57" i="1"/>
  <c r="AN58" i="1" s="1"/>
  <c r="AM57" i="1"/>
  <c r="AK57" i="1"/>
  <c r="AH57" i="1"/>
  <c r="AG57" i="1"/>
  <c r="AF57" i="1"/>
  <c r="AC57" i="1"/>
  <c r="AB57" i="1"/>
  <c r="Z57" i="1"/>
  <c r="V57" i="1"/>
  <c r="U57" i="1"/>
  <c r="R57" i="1"/>
  <c r="Q57" i="1"/>
  <c r="S57" i="1" s="1"/>
  <c r="O57" i="1"/>
  <c r="L57" i="1"/>
  <c r="K57" i="1"/>
  <c r="J57" i="1"/>
  <c r="H57" i="1"/>
  <c r="G57" i="1"/>
  <c r="F57" i="1"/>
  <c r="D57" i="1"/>
  <c r="AR56" i="1"/>
  <c r="AK56" i="1"/>
  <c r="AG56" i="1"/>
  <c r="AF56" i="1"/>
  <c r="AH56" i="1" s="1"/>
  <c r="AD56" i="1"/>
  <c r="AC56" i="1"/>
  <c r="AB56" i="1"/>
  <c r="Z56" i="1"/>
  <c r="W56" i="1"/>
  <c r="V56" i="1"/>
  <c r="U56" i="1"/>
  <c r="R56" i="1"/>
  <c r="S56" i="1" s="1"/>
  <c r="Q56" i="1"/>
  <c r="O56" i="1"/>
  <c r="K56" i="1"/>
  <c r="L56" i="1" s="1"/>
  <c r="J56" i="1"/>
  <c r="G56" i="1"/>
  <c r="F56" i="1"/>
  <c r="D56" i="1"/>
  <c r="AR55" i="1"/>
  <c r="AQ55" i="1"/>
  <c r="AQ56" i="1" s="1"/>
  <c r="AN55" i="1"/>
  <c r="AN56" i="1" s="1"/>
  <c r="AM55" i="1"/>
  <c r="AO55" i="1" s="1"/>
  <c r="AK55" i="1"/>
  <c r="Z55" i="1"/>
  <c r="V55" i="1"/>
  <c r="U55" i="1"/>
  <c r="R55" i="1"/>
  <c r="Q55" i="1"/>
  <c r="O55" i="1"/>
  <c r="L55" i="1"/>
  <c r="K55" i="1"/>
  <c r="J55" i="1"/>
  <c r="H55" i="1"/>
  <c r="G55" i="1"/>
  <c r="F55" i="1"/>
  <c r="D55" i="1"/>
  <c r="AR54" i="1"/>
  <c r="AS54" i="1" s="1"/>
  <c r="AQ54" i="1"/>
  <c r="AN54" i="1"/>
  <c r="AO54" i="1" s="1"/>
  <c r="AM54" i="1"/>
  <c r="AK54" i="1"/>
  <c r="AH54" i="1"/>
  <c r="AD54" i="1"/>
  <c r="W54" i="1"/>
  <c r="V54" i="1"/>
  <c r="U54" i="1"/>
  <c r="S54" i="1"/>
  <c r="R54" i="1"/>
  <c r="Q54" i="1"/>
  <c r="O54" i="1"/>
  <c r="L54" i="1"/>
  <c r="K54" i="1"/>
  <c r="J54" i="1"/>
  <c r="G54" i="1"/>
  <c r="H54" i="1" s="1"/>
  <c r="F54" i="1"/>
  <c r="D54" i="1"/>
  <c r="AR53" i="1"/>
  <c r="AS53" i="1" s="1"/>
  <c r="AQ53" i="1"/>
  <c r="AN53" i="1"/>
  <c r="AO53" i="1" s="1"/>
  <c r="AM53" i="1"/>
  <c r="AK53" i="1"/>
  <c r="V53" i="1"/>
  <c r="W53" i="1" s="1"/>
  <c r="U53" i="1"/>
  <c r="R53" i="1"/>
  <c r="Q53" i="1"/>
  <c r="S53" i="1" s="1"/>
  <c r="O53" i="1"/>
  <c r="K53" i="1"/>
  <c r="J53" i="1"/>
  <c r="H53" i="1"/>
  <c r="G53" i="1"/>
  <c r="F53" i="1"/>
  <c r="D53" i="1"/>
  <c r="AS52" i="1"/>
  <c r="AR52" i="1"/>
  <c r="AQ52" i="1"/>
  <c r="AN52" i="1"/>
  <c r="AO52" i="1" s="1"/>
  <c r="AM52" i="1"/>
  <c r="AK52" i="1"/>
  <c r="AG52" i="1"/>
  <c r="AH52" i="1" s="1"/>
  <c r="AF52" i="1"/>
  <c r="AC52" i="1"/>
  <c r="AB52" i="1"/>
  <c r="Z52" i="1"/>
  <c r="V52" i="1"/>
  <c r="U52" i="1"/>
  <c r="R52" i="1"/>
  <c r="Q52" i="1"/>
  <c r="O52" i="1"/>
  <c r="K52" i="1"/>
  <c r="J52" i="1"/>
  <c r="L52" i="1" s="1"/>
  <c r="H52" i="1"/>
  <c r="G52" i="1"/>
  <c r="F52" i="1"/>
  <c r="D52" i="1"/>
  <c r="AS51" i="1"/>
  <c r="AR51" i="1"/>
  <c r="AQ51" i="1"/>
  <c r="AO51" i="1"/>
  <c r="AN51" i="1"/>
  <c r="AM51" i="1"/>
  <c r="AK51" i="1"/>
  <c r="AF51" i="1"/>
  <c r="Z51" i="1"/>
  <c r="W51" i="1"/>
  <c r="V51" i="1"/>
  <c r="U51" i="1"/>
  <c r="R51" i="1"/>
  <c r="S51" i="1" s="1"/>
  <c r="Q51" i="1"/>
  <c r="O51" i="1"/>
  <c r="K51" i="1"/>
  <c r="L51" i="1" s="1"/>
  <c r="J51" i="1"/>
  <c r="G51" i="1"/>
  <c r="F51" i="1"/>
  <c r="D51" i="1"/>
  <c r="AR50" i="1"/>
  <c r="AS50" i="1" s="1"/>
  <c r="AQ50" i="1"/>
  <c r="AN50" i="1"/>
  <c r="AM50" i="1"/>
  <c r="AM56" i="1" s="1"/>
  <c r="AK50" i="1"/>
  <c r="AH50" i="1"/>
  <c r="AG50" i="1"/>
  <c r="AF50" i="1"/>
  <c r="AD50" i="1"/>
  <c r="AC50" i="1"/>
  <c r="AB50" i="1"/>
  <c r="Z50" i="1"/>
  <c r="V50" i="1"/>
  <c r="U50" i="1"/>
  <c r="S50" i="1"/>
  <c r="R50" i="1"/>
  <c r="Q50" i="1"/>
  <c r="O50" i="1"/>
  <c r="L50" i="1"/>
  <c r="K50" i="1"/>
  <c r="J50" i="1"/>
  <c r="G50" i="1"/>
  <c r="F50" i="1"/>
  <c r="D50" i="1"/>
  <c r="AK49" i="1"/>
  <c r="AG49" i="1"/>
  <c r="AH49" i="1" s="1"/>
  <c r="AF49" i="1"/>
  <c r="AC49" i="1"/>
  <c r="AD49" i="1" s="1"/>
  <c r="AB49" i="1"/>
  <c r="Z49" i="1"/>
  <c r="O49" i="1"/>
  <c r="D49" i="1"/>
  <c r="AS48" i="1"/>
  <c r="AO48" i="1"/>
  <c r="AG48" i="1"/>
  <c r="AF48" i="1"/>
  <c r="AC48" i="1"/>
  <c r="AB48" i="1"/>
  <c r="Z48" i="1"/>
  <c r="W48" i="1"/>
  <c r="S48" i="1"/>
  <c r="L48" i="1"/>
  <c r="H48" i="1"/>
  <c r="AG47" i="1"/>
  <c r="AH47" i="1" s="1"/>
  <c r="AF47" i="1"/>
  <c r="AD47" i="1"/>
  <c r="AC47" i="1"/>
  <c r="AB47" i="1"/>
  <c r="Z47" i="1"/>
  <c r="AH46" i="1"/>
  <c r="AG46" i="1"/>
  <c r="AF46" i="1"/>
  <c r="AC46" i="1"/>
  <c r="AB46" i="1"/>
  <c r="Z46" i="1"/>
  <c r="O46" i="1"/>
  <c r="K46" i="1"/>
  <c r="D46" i="1"/>
  <c r="AG45" i="1"/>
  <c r="AF45" i="1"/>
  <c r="AD45" i="1"/>
  <c r="AC45" i="1"/>
  <c r="AB45" i="1"/>
  <c r="Z45" i="1"/>
  <c r="W45" i="1"/>
  <c r="V45" i="1"/>
  <c r="U45" i="1"/>
  <c r="R45" i="1"/>
  <c r="S45" i="1" s="1"/>
  <c r="Q45" i="1"/>
  <c r="O45" i="1"/>
  <c r="K45" i="1"/>
  <c r="L45" i="1" s="1"/>
  <c r="J45" i="1"/>
  <c r="G45" i="1"/>
  <c r="F45" i="1"/>
  <c r="D45" i="1"/>
  <c r="Z44" i="1"/>
  <c r="W44" i="1"/>
  <c r="V44" i="1"/>
  <c r="U44" i="1"/>
  <c r="R44" i="1"/>
  <c r="Q44" i="1"/>
  <c r="O44" i="1"/>
  <c r="K44" i="1"/>
  <c r="J44" i="1"/>
  <c r="H44" i="1"/>
  <c r="G44" i="1"/>
  <c r="F44" i="1"/>
  <c r="D44" i="1"/>
  <c r="AG43" i="1"/>
  <c r="AH43" i="1" s="1"/>
  <c r="AF43" i="1"/>
  <c r="AC43" i="1"/>
  <c r="AD43" i="1" s="1"/>
  <c r="AB43" i="1"/>
  <c r="Z43" i="1"/>
  <c r="W43" i="1"/>
  <c r="V43" i="1"/>
  <c r="U43" i="1"/>
  <c r="R43" i="1"/>
  <c r="Q43" i="1"/>
  <c r="O43" i="1"/>
  <c r="L43" i="1"/>
  <c r="K43" i="1"/>
  <c r="J43" i="1"/>
  <c r="G43" i="1"/>
  <c r="H43" i="1" s="1"/>
  <c r="F43" i="1"/>
  <c r="D43" i="1"/>
  <c r="AG42" i="1"/>
  <c r="AF42" i="1"/>
  <c r="AC42" i="1"/>
  <c r="AD42" i="1" s="1"/>
  <c r="AB42" i="1"/>
  <c r="Z42" i="1"/>
  <c r="V42" i="1"/>
  <c r="U42" i="1"/>
  <c r="W42" i="1" s="1"/>
  <c r="S42" i="1"/>
  <c r="R42" i="1"/>
  <c r="Q42" i="1"/>
  <c r="O42" i="1"/>
  <c r="L42" i="1"/>
  <c r="K42" i="1"/>
  <c r="J42" i="1"/>
  <c r="G42" i="1"/>
  <c r="H42" i="1" s="1"/>
  <c r="F42" i="1"/>
  <c r="D42" i="1"/>
  <c r="AG41" i="1"/>
  <c r="AF41" i="1"/>
  <c r="AC41" i="1"/>
  <c r="AB41" i="1"/>
  <c r="Z41" i="1"/>
  <c r="V41" i="1"/>
  <c r="W41" i="1" s="1"/>
  <c r="U41" i="1"/>
  <c r="R41" i="1"/>
  <c r="Q41" i="1"/>
  <c r="O41" i="1"/>
  <c r="K41" i="1"/>
  <c r="J41" i="1"/>
  <c r="L41" i="1" s="1"/>
  <c r="H41" i="1"/>
  <c r="G41" i="1"/>
  <c r="G46" i="1" s="1"/>
  <c r="F41" i="1"/>
  <c r="D41" i="1"/>
  <c r="AH40" i="1"/>
  <c r="AG40" i="1"/>
  <c r="AF40" i="1"/>
  <c r="AC40" i="1"/>
  <c r="AD40" i="1" s="1"/>
  <c r="AB40" i="1"/>
  <c r="Z40" i="1"/>
  <c r="O40" i="1"/>
  <c r="D40" i="1"/>
  <c r="AG39" i="1"/>
  <c r="AF39" i="1"/>
  <c r="AF44" i="1" s="1"/>
  <c r="AD39" i="1"/>
  <c r="AC39" i="1"/>
  <c r="AB39" i="1"/>
  <c r="Z39" i="1"/>
  <c r="W39" i="1"/>
  <c r="V39" i="1"/>
  <c r="U39" i="1"/>
  <c r="R39" i="1"/>
  <c r="S39" i="1" s="1"/>
  <c r="Q39" i="1"/>
  <c r="O39" i="1"/>
  <c r="K39" i="1"/>
  <c r="L39" i="1" s="1"/>
  <c r="J39" i="1"/>
  <c r="G39" i="1"/>
  <c r="F39" i="1"/>
  <c r="D39" i="1"/>
  <c r="AG38" i="1"/>
  <c r="AF38" i="1"/>
  <c r="AC38" i="1"/>
  <c r="AB38" i="1"/>
  <c r="Z38" i="1"/>
  <c r="V38" i="1"/>
  <c r="U38" i="1"/>
  <c r="W38" i="1" s="1"/>
  <c r="S38" i="1"/>
  <c r="R38" i="1"/>
  <c r="Q38" i="1"/>
  <c r="O38" i="1"/>
  <c r="L38" i="1"/>
  <c r="K38" i="1"/>
  <c r="J38" i="1"/>
  <c r="H38" i="1"/>
  <c r="G38" i="1"/>
  <c r="F38" i="1"/>
  <c r="D38" i="1"/>
  <c r="AH37" i="1"/>
  <c r="AG37" i="1"/>
  <c r="AF37" i="1"/>
  <c r="AC37" i="1"/>
  <c r="AD37" i="1" s="1"/>
  <c r="AB37" i="1"/>
  <c r="Z37" i="1"/>
  <c r="V37" i="1"/>
  <c r="W37" i="1" s="1"/>
  <c r="U37" i="1"/>
  <c r="S37" i="1"/>
  <c r="R37" i="1"/>
  <c r="Q37" i="1"/>
  <c r="O37" i="1"/>
  <c r="K37" i="1"/>
  <c r="L37" i="1" s="1"/>
  <c r="J37" i="1"/>
  <c r="H37" i="1"/>
  <c r="G37" i="1"/>
  <c r="F37" i="1"/>
  <c r="D37" i="1"/>
  <c r="AH36" i="1"/>
  <c r="AG36" i="1"/>
  <c r="AF36" i="1"/>
  <c r="AC36" i="1"/>
  <c r="AB36" i="1"/>
  <c r="Z36" i="1"/>
  <c r="W36" i="1"/>
  <c r="V36" i="1"/>
  <c r="U36" i="1"/>
  <c r="R36" i="1"/>
  <c r="S36" i="1" s="1"/>
  <c r="Q36" i="1"/>
  <c r="O36" i="1"/>
  <c r="K36" i="1"/>
  <c r="L36" i="1" s="1"/>
  <c r="J36" i="1"/>
  <c r="G36" i="1"/>
  <c r="H36" i="1" s="1"/>
  <c r="F36" i="1"/>
  <c r="D36" i="1"/>
  <c r="AH35" i="1"/>
  <c r="AG35" i="1"/>
  <c r="AF35" i="1"/>
  <c r="AD35" i="1"/>
  <c r="AC35" i="1"/>
  <c r="AB35" i="1"/>
  <c r="Z35" i="1"/>
  <c r="V35" i="1"/>
  <c r="V40" i="1" s="1"/>
  <c r="U35" i="1"/>
  <c r="R35" i="1"/>
  <c r="Q35" i="1"/>
  <c r="O35" i="1"/>
  <c r="K35" i="1"/>
  <c r="K40" i="1" s="1"/>
  <c r="J35" i="1"/>
  <c r="J40" i="1" s="1"/>
  <c r="G35" i="1"/>
  <c r="F35" i="1"/>
  <c r="D35" i="1"/>
  <c r="AG34" i="1"/>
  <c r="AH34" i="1" s="1"/>
  <c r="AF34" i="1"/>
  <c r="AC34" i="1"/>
  <c r="AB34" i="1"/>
  <c r="AD34" i="1" s="1"/>
  <c r="Z34" i="1"/>
  <c r="V34" i="1"/>
  <c r="W34" i="1" s="1"/>
  <c r="U34" i="1"/>
  <c r="S34" i="1"/>
  <c r="R34" i="1"/>
  <c r="Q34" i="1"/>
  <c r="O34" i="1"/>
  <c r="L34" i="1"/>
  <c r="K34" i="1"/>
  <c r="J34" i="1"/>
  <c r="G34" i="1"/>
  <c r="H34" i="1" s="1"/>
  <c r="F34" i="1"/>
  <c r="D34" i="1"/>
  <c r="AG33" i="1"/>
  <c r="AG51" i="1" s="1"/>
  <c r="AF33" i="1"/>
  <c r="AC33" i="1"/>
  <c r="AD33" i="1" s="1"/>
  <c r="AB33" i="1"/>
  <c r="Z33" i="1"/>
  <c r="V33" i="1"/>
  <c r="W33" i="1" s="1"/>
  <c r="U33" i="1"/>
  <c r="R33" i="1"/>
  <c r="Q33" i="1"/>
  <c r="S33" i="1" s="1"/>
  <c r="O33" i="1"/>
  <c r="L33" i="1"/>
  <c r="K33" i="1"/>
  <c r="J33" i="1"/>
  <c r="H33" i="1"/>
  <c r="G33" i="1"/>
  <c r="F33" i="1"/>
  <c r="D33" i="1"/>
  <c r="Z32" i="1"/>
  <c r="W32" i="1"/>
  <c r="V32" i="1"/>
  <c r="U32" i="1"/>
  <c r="S32" i="1"/>
  <c r="R32" i="1"/>
  <c r="Q32" i="1"/>
  <c r="O32" i="1"/>
  <c r="K32" i="1"/>
  <c r="L32" i="1" s="1"/>
  <c r="J32" i="1"/>
  <c r="H32" i="1"/>
  <c r="G32" i="1"/>
  <c r="F32" i="1"/>
  <c r="D32" i="1"/>
  <c r="AH31" i="1"/>
  <c r="AD31" i="1"/>
  <c r="W31" i="1"/>
  <c r="V31" i="1"/>
  <c r="U31" i="1"/>
  <c r="S31" i="1"/>
  <c r="R31" i="1"/>
  <c r="Q31" i="1"/>
  <c r="O31" i="1"/>
  <c r="K31" i="1"/>
  <c r="L31" i="1" s="1"/>
  <c r="J31" i="1"/>
  <c r="H31" i="1"/>
  <c r="G31" i="1"/>
  <c r="F31" i="1"/>
  <c r="D31" i="1"/>
  <c r="V30" i="1"/>
  <c r="U30" i="1"/>
  <c r="U46" i="1" s="1"/>
  <c r="R30" i="1"/>
  <c r="Q30" i="1"/>
  <c r="O30" i="1"/>
  <c r="K30" i="1"/>
  <c r="J30" i="1"/>
  <c r="J46" i="1" s="1"/>
  <c r="G30" i="1"/>
  <c r="F30" i="1"/>
  <c r="F40" i="1" s="1"/>
  <c r="D30" i="1"/>
  <c r="AG29" i="1"/>
  <c r="AF29" i="1"/>
  <c r="AH29" i="1" s="1"/>
  <c r="AC29" i="1"/>
  <c r="AD29" i="1" s="1"/>
  <c r="AB29" i="1"/>
  <c r="Z29" i="1"/>
  <c r="O29" i="1"/>
  <c r="D29" i="1"/>
  <c r="AF28" i="1"/>
  <c r="Z28" i="1"/>
  <c r="W28" i="1"/>
  <c r="S28" i="1"/>
  <c r="L28" i="1"/>
  <c r="H28" i="1"/>
  <c r="AH27" i="1"/>
  <c r="AG27" i="1"/>
  <c r="AF27" i="1"/>
  <c r="AC27" i="1"/>
  <c r="AD27" i="1" s="1"/>
  <c r="AB27" i="1"/>
  <c r="Z27" i="1"/>
  <c r="AG26" i="1"/>
  <c r="AH26" i="1" s="1"/>
  <c r="AF26" i="1"/>
  <c r="AD26" i="1"/>
  <c r="AC26" i="1"/>
  <c r="AB26" i="1"/>
  <c r="Z26" i="1"/>
  <c r="O26" i="1"/>
  <c r="J26" i="1"/>
  <c r="D26" i="1"/>
  <c r="AG25" i="1"/>
  <c r="AF25" i="1"/>
  <c r="AC25" i="1"/>
  <c r="AB25" i="1"/>
  <c r="Z25" i="1"/>
  <c r="V25" i="1"/>
  <c r="W25" i="1" s="1"/>
  <c r="U25" i="1"/>
  <c r="R25" i="1"/>
  <c r="Q25" i="1"/>
  <c r="S25" i="1" s="1"/>
  <c r="O25" i="1"/>
  <c r="K25" i="1"/>
  <c r="J25" i="1"/>
  <c r="L25" i="1" s="1"/>
  <c r="H25" i="1"/>
  <c r="G25" i="1"/>
  <c r="F25" i="1"/>
  <c r="D25" i="1"/>
  <c r="AH24" i="1"/>
  <c r="AG24" i="1"/>
  <c r="AF24" i="1"/>
  <c r="AC24" i="1"/>
  <c r="AD24" i="1" s="1"/>
  <c r="AB24" i="1"/>
  <c r="Z24" i="1"/>
  <c r="V24" i="1"/>
  <c r="W24" i="1" s="1"/>
  <c r="U24" i="1"/>
  <c r="R24" i="1"/>
  <c r="S24" i="1" s="1"/>
  <c r="Q24" i="1"/>
  <c r="O24" i="1"/>
  <c r="K24" i="1"/>
  <c r="L24" i="1" s="1"/>
  <c r="J24" i="1"/>
  <c r="G24" i="1"/>
  <c r="F24" i="1"/>
  <c r="H24" i="1" s="1"/>
  <c r="D24" i="1"/>
  <c r="AH23" i="1"/>
  <c r="AG23" i="1"/>
  <c r="AF23" i="1"/>
  <c r="AD23" i="1"/>
  <c r="AC23" i="1"/>
  <c r="AB23" i="1"/>
  <c r="Z23" i="1"/>
  <c r="V23" i="1"/>
  <c r="W23" i="1" s="1"/>
  <c r="U23" i="1"/>
  <c r="S23" i="1"/>
  <c r="R23" i="1"/>
  <c r="Q23" i="1"/>
  <c r="O23" i="1"/>
  <c r="K23" i="1"/>
  <c r="J23" i="1"/>
  <c r="L23" i="1" s="1"/>
  <c r="G23" i="1"/>
  <c r="H23" i="1" s="1"/>
  <c r="F23" i="1"/>
  <c r="D23" i="1"/>
  <c r="AG22" i="1"/>
  <c r="AF22" i="1"/>
  <c r="AC22" i="1"/>
  <c r="AB22" i="1"/>
  <c r="AD22" i="1" s="1"/>
  <c r="Z22" i="1"/>
  <c r="V22" i="1"/>
  <c r="U22" i="1"/>
  <c r="W22" i="1" s="1"/>
  <c r="R22" i="1"/>
  <c r="S22" i="1" s="1"/>
  <c r="Q22" i="1"/>
  <c r="O22" i="1"/>
  <c r="L22" i="1"/>
  <c r="K22" i="1"/>
  <c r="J22" i="1"/>
  <c r="G22" i="1"/>
  <c r="F22" i="1"/>
  <c r="H22" i="1" s="1"/>
  <c r="D22" i="1"/>
  <c r="Z21" i="1"/>
  <c r="W21" i="1"/>
  <c r="V21" i="1"/>
  <c r="V26" i="1" s="1"/>
  <c r="U21" i="1"/>
  <c r="R21" i="1"/>
  <c r="R26" i="1" s="1"/>
  <c r="Q21" i="1"/>
  <c r="O21" i="1"/>
  <c r="K21" i="1"/>
  <c r="J21" i="1"/>
  <c r="G21" i="1"/>
  <c r="F21" i="1"/>
  <c r="D21" i="1"/>
  <c r="AG20" i="1"/>
  <c r="AF20" i="1"/>
  <c r="AD20" i="1"/>
  <c r="AC20" i="1"/>
  <c r="AB20" i="1"/>
  <c r="Z20" i="1"/>
  <c r="Q20" i="1"/>
  <c r="O20" i="1"/>
  <c r="D20" i="1"/>
  <c r="AG19" i="1"/>
  <c r="AF19" i="1"/>
  <c r="AH19" i="1" s="1"/>
  <c r="AC19" i="1"/>
  <c r="AD19" i="1" s="1"/>
  <c r="AB19" i="1"/>
  <c r="Z19" i="1"/>
  <c r="V19" i="1"/>
  <c r="U19" i="1"/>
  <c r="R19" i="1"/>
  <c r="Q19" i="1"/>
  <c r="S19" i="1" s="1"/>
  <c r="O19" i="1"/>
  <c r="K19" i="1"/>
  <c r="J19" i="1"/>
  <c r="L19" i="1" s="1"/>
  <c r="H19" i="1"/>
  <c r="G19" i="1"/>
  <c r="F19" i="1"/>
  <c r="D19" i="1"/>
  <c r="AH18" i="1"/>
  <c r="AG18" i="1"/>
  <c r="AF18" i="1"/>
  <c r="AC18" i="1"/>
  <c r="AD18" i="1" s="1"/>
  <c r="AB18" i="1"/>
  <c r="Z18" i="1"/>
  <c r="V18" i="1"/>
  <c r="W18" i="1" s="1"/>
  <c r="U18" i="1"/>
  <c r="R18" i="1"/>
  <c r="Q18" i="1"/>
  <c r="O18" i="1"/>
  <c r="K18" i="1"/>
  <c r="L18" i="1" s="1"/>
  <c r="J18" i="1"/>
  <c r="G18" i="1"/>
  <c r="F18" i="1"/>
  <c r="H18" i="1" s="1"/>
  <c r="D18" i="1"/>
  <c r="AN17" i="1"/>
  <c r="AK17" i="1"/>
  <c r="AG17" i="1"/>
  <c r="AH17" i="1" s="1"/>
  <c r="AF17" i="1"/>
  <c r="AD17" i="1"/>
  <c r="AC17" i="1"/>
  <c r="AB17" i="1"/>
  <c r="Z17" i="1"/>
  <c r="V17" i="1"/>
  <c r="U17" i="1"/>
  <c r="W17" i="1" s="1"/>
  <c r="S17" i="1"/>
  <c r="R17" i="1"/>
  <c r="Q17" i="1"/>
  <c r="O17" i="1"/>
  <c r="L17" i="1"/>
  <c r="K17" i="1"/>
  <c r="J17" i="1"/>
  <c r="H17" i="1"/>
  <c r="G17" i="1"/>
  <c r="F17" i="1"/>
  <c r="D17" i="1"/>
  <c r="AS16" i="1"/>
  <c r="AR16" i="1"/>
  <c r="AR17" i="1" s="1"/>
  <c r="AQ16" i="1"/>
  <c r="AQ17" i="1" s="1"/>
  <c r="AN16" i="1"/>
  <c r="AM16" i="1"/>
  <c r="AM17" i="1" s="1"/>
  <c r="AK16" i="1"/>
  <c r="AG16" i="1"/>
  <c r="AF16" i="1"/>
  <c r="AF21" i="1" s="1"/>
  <c r="AC16" i="1"/>
  <c r="AC21" i="1" s="1"/>
  <c r="AB16" i="1"/>
  <c r="Z16" i="1"/>
  <c r="W16" i="1"/>
  <c r="V16" i="1"/>
  <c r="U16" i="1"/>
  <c r="S16" i="1"/>
  <c r="R16" i="1"/>
  <c r="Q16" i="1"/>
  <c r="O16" i="1"/>
  <c r="L16" i="1"/>
  <c r="K16" i="1"/>
  <c r="J16" i="1"/>
  <c r="H16" i="1"/>
  <c r="G16" i="1"/>
  <c r="F16" i="1"/>
  <c r="D16" i="1"/>
  <c r="AQ15" i="1"/>
  <c r="AN15" i="1"/>
  <c r="AK15" i="1"/>
  <c r="AH15" i="1"/>
  <c r="AG15" i="1"/>
  <c r="AF15" i="1"/>
  <c r="AC15" i="1"/>
  <c r="AB15" i="1"/>
  <c r="AD15" i="1" s="1"/>
  <c r="Z15" i="1"/>
  <c r="W15" i="1"/>
  <c r="V15" i="1"/>
  <c r="V20" i="1" s="1"/>
  <c r="U15" i="1"/>
  <c r="R15" i="1"/>
  <c r="Q15" i="1"/>
  <c r="O15" i="1"/>
  <c r="K15" i="1"/>
  <c r="J15" i="1"/>
  <c r="J20" i="1" s="1"/>
  <c r="G15" i="1"/>
  <c r="F15" i="1"/>
  <c r="D15" i="1"/>
  <c r="AS14" i="1"/>
  <c r="AR14" i="1"/>
  <c r="AQ14" i="1"/>
  <c r="AO14" i="1"/>
  <c r="AN14" i="1"/>
  <c r="AM14" i="1"/>
  <c r="AK14" i="1"/>
  <c r="AG14" i="1"/>
  <c r="AH14" i="1" s="1"/>
  <c r="AF14" i="1"/>
  <c r="AC14" i="1"/>
  <c r="AD14" i="1" s="1"/>
  <c r="AB14" i="1"/>
  <c r="Z14" i="1"/>
  <c r="V14" i="1"/>
  <c r="U14" i="1"/>
  <c r="W14" i="1" s="1"/>
  <c r="R14" i="1"/>
  <c r="S14" i="1" s="1"/>
  <c r="Q14" i="1"/>
  <c r="O14" i="1"/>
  <c r="K14" i="1"/>
  <c r="J14" i="1"/>
  <c r="G14" i="1"/>
  <c r="F14" i="1"/>
  <c r="H14" i="1" s="1"/>
  <c r="D14" i="1"/>
  <c r="AR13" i="1"/>
  <c r="AQ13" i="1"/>
  <c r="AS13" i="1" s="1"/>
  <c r="AN13" i="1"/>
  <c r="AO13" i="1" s="1"/>
  <c r="AM13" i="1"/>
  <c r="AK13" i="1"/>
  <c r="AH13" i="1"/>
  <c r="AG13" i="1"/>
  <c r="AF13" i="1"/>
  <c r="AD13" i="1"/>
  <c r="AC13" i="1"/>
  <c r="AB13" i="1"/>
  <c r="Z13" i="1"/>
  <c r="V13" i="1"/>
  <c r="W13" i="1" s="1"/>
  <c r="U13" i="1"/>
  <c r="R13" i="1"/>
  <c r="Q13" i="1"/>
  <c r="O13" i="1"/>
  <c r="K13" i="1"/>
  <c r="L13" i="1" s="1"/>
  <c r="J13" i="1"/>
  <c r="G13" i="1"/>
  <c r="F13" i="1"/>
  <c r="H13" i="1" s="1"/>
  <c r="D13" i="1"/>
  <c r="AR12" i="1"/>
  <c r="AS12" i="1" s="1"/>
  <c r="AQ12" i="1"/>
  <c r="AN12" i="1"/>
  <c r="AM12" i="1"/>
  <c r="AO12" i="1" s="1"/>
  <c r="AK12" i="1"/>
  <c r="AG12" i="1"/>
  <c r="AF12" i="1"/>
  <c r="AD12" i="1"/>
  <c r="AC12" i="1"/>
  <c r="AB12" i="1"/>
  <c r="Z12" i="1"/>
  <c r="V12" i="1"/>
  <c r="U12" i="1"/>
  <c r="W12" i="1" s="1"/>
  <c r="S12" i="1"/>
  <c r="R12" i="1"/>
  <c r="Q12" i="1"/>
  <c r="O12" i="1"/>
  <c r="K12" i="1"/>
  <c r="L12" i="1" s="1"/>
  <c r="J12" i="1"/>
  <c r="G12" i="1"/>
  <c r="H12" i="1" s="1"/>
  <c r="F12" i="1"/>
  <c r="D12" i="1"/>
  <c r="AR11" i="1"/>
  <c r="AS11" i="1" s="1"/>
  <c r="AQ11" i="1"/>
  <c r="AN11" i="1"/>
  <c r="AM11" i="1"/>
  <c r="AK11" i="1"/>
  <c r="AG11" i="1"/>
  <c r="AF11" i="1"/>
  <c r="AH11" i="1" s="1"/>
  <c r="AD11" i="1"/>
  <c r="AC11" i="1"/>
  <c r="AB11" i="1"/>
  <c r="Z11" i="1"/>
  <c r="W11" i="1"/>
  <c r="V11" i="1"/>
  <c r="U11" i="1"/>
  <c r="S11" i="1"/>
  <c r="R11" i="1"/>
  <c r="Q11" i="1"/>
  <c r="O11" i="1"/>
  <c r="K11" i="1"/>
  <c r="L11" i="1" s="1"/>
  <c r="J11" i="1"/>
  <c r="G11" i="1"/>
  <c r="H11" i="1" s="1"/>
  <c r="F11" i="1"/>
  <c r="D11" i="1"/>
  <c r="AS10" i="1"/>
  <c r="AR10" i="1"/>
  <c r="AR15" i="1" s="1"/>
  <c r="AQ10" i="1"/>
  <c r="AN10" i="1"/>
  <c r="AM10" i="1"/>
  <c r="AO10" i="1" s="1"/>
  <c r="AK10" i="1"/>
  <c r="AG10" i="1"/>
  <c r="AF10" i="1"/>
  <c r="AD10" i="1"/>
  <c r="AC10" i="1"/>
  <c r="AC28" i="1" s="1"/>
  <c r="AB10" i="1"/>
  <c r="AB28" i="1" s="1"/>
  <c r="Z10" i="1"/>
  <c r="W10" i="1"/>
  <c r="V10" i="1"/>
  <c r="U10" i="1"/>
  <c r="R10" i="1"/>
  <c r="R20" i="1" s="1"/>
  <c r="Q10" i="1"/>
  <c r="Q26" i="1" s="1"/>
  <c r="O10" i="1"/>
  <c r="K10" i="1"/>
  <c r="L10" i="1" s="1"/>
  <c r="J10" i="1"/>
  <c r="G10" i="1"/>
  <c r="G26" i="1" s="1"/>
  <c r="F10" i="1"/>
  <c r="H10" i="1" s="1"/>
  <c r="D10" i="1"/>
  <c r="AK9" i="1"/>
  <c r="Z9" i="1"/>
  <c r="O9" i="1"/>
  <c r="D9" i="1"/>
  <c r="AS8" i="1"/>
  <c r="AO8" i="1"/>
  <c r="AK8" i="1"/>
  <c r="AH8" i="1"/>
  <c r="AD8" i="1"/>
  <c r="Z8" i="1"/>
  <c r="W8" i="1"/>
  <c r="S8" i="1"/>
  <c r="O8" i="1"/>
  <c r="L8" i="1"/>
  <c r="K8" i="1"/>
  <c r="J8" i="1"/>
  <c r="H8" i="1"/>
  <c r="G8" i="1"/>
  <c r="F8" i="1"/>
  <c r="D8" i="1"/>
  <c r="AM6" i="1"/>
  <c r="AB6" i="1"/>
  <c r="Q6" i="1"/>
  <c r="Q114" i="1" s="1"/>
  <c r="J6" i="1"/>
  <c r="F6" i="1"/>
  <c r="F114" i="1" s="1"/>
  <c r="F128" i="1" s="1"/>
  <c r="F143" i="1" s="1"/>
  <c r="F157" i="1" s="1"/>
  <c r="AK3" i="1"/>
  <c r="Z3" i="1"/>
  <c r="O3" i="1"/>
  <c r="D3" i="1"/>
  <c r="AH42" i="1" l="1"/>
  <c r="H125" i="1"/>
  <c r="K26" i="1"/>
  <c r="AH25" i="1"/>
  <c r="L162" i="1"/>
  <c r="AO11" i="1"/>
  <c r="L14" i="1"/>
  <c r="G20" i="1"/>
  <c r="L21" i="1"/>
  <c r="AH33" i="1"/>
  <c r="AD38" i="1"/>
  <c r="V46" i="1"/>
  <c r="W88" i="1"/>
  <c r="AS95" i="1"/>
  <c r="L164" i="1"/>
  <c r="S15" i="1"/>
  <c r="W19" i="1"/>
  <c r="H30" i="1"/>
  <c r="W30" i="1"/>
  <c r="Q40" i="1"/>
  <c r="AB44" i="1"/>
  <c r="S44" i="1"/>
  <c r="AS119" i="1"/>
  <c r="H166" i="1"/>
  <c r="W66" i="1"/>
  <c r="U71" i="1"/>
  <c r="AH12" i="1"/>
  <c r="K20" i="1"/>
  <c r="L15" i="1"/>
  <c r="S30" i="1"/>
  <c r="AC44" i="1"/>
  <c r="H79" i="1"/>
  <c r="R40" i="1"/>
  <c r="S60" i="1"/>
  <c r="R65" i="1"/>
  <c r="S10" i="1"/>
  <c r="S35" i="1"/>
  <c r="AD36" i="1"/>
  <c r="U40" i="1"/>
  <c r="Q46" i="1"/>
  <c r="S41" i="1"/>
  <c r="AH41" i="1"/>
  <c r="F46" i="1"/>
  <c r="AC51" i="1"/>
  <c r="H50" i="1"/>
  <c r="G65" i="1"/>
  <c r="H51" i="1"/>
  <c r="AD57" i="1"/>
  <c r="F71" i="1"/>
  <c r="AH66" i="1"/>
  <c r="AH73" i="1"/>
  <c r="W148" i="1"/>
  <c r="W35" i="1"/>
  <c r="L44" i="1"/>
  <c r="U6" i="1"/>
  <c r="J114" i="1"/>
  <c r="J128" i="1" s="1"/>
  <c r="J143" i="1" s="1"/>
  <c r="J157" i="1" s="1"/>
  <c r="L35" i="1"/>
  <c r="S43" i="1"/>
  <c r="S52" i="1"/>
  <c r="L60" i="1"/>
  <c r="K65" i="1"/>
  <c r="AF6" i="1"/>
  <c r="AF114" i="1" s="1"/>
  <c r="AQ6" i="1"/>
  <c r="AG21" i="1"/>
  <c r="AH10" i="1"/>
  <c r="AM15" i="1"/>
  <c r="AO16" i="1"/>
  <c r="F26" i="1"/>
  <c r="S21" i="1"/>
  <c r="AG28" i="1"/>
  <c r="R46" i="1"/>
  <c r="AD46" i="1"/>
  <c r="AD48" i="1"/>
  <c r="V71" i="1"/>
  <c r="W50" i="1"/>
  <c r="AD58" i="1"/>
  <c r="G71" i="1"/>
  <c r="AO121" i="1"/>
  <c r="AS123" i="1"/>
  <c r="F65" i="1"/>
  <c r="S68" i="1"/>
  <c r="F20" i="1"/>
  <c r="H15" i="1"/>
  <c r="AB51" i="1"/>
  <c r="H60" i="1"/>
  <c r="L68" i="1"/>
  <c r="AD70" i="1"/>
  <c r="L77" i="1"/>
  <c r="H94" i="1"/>
  <c r="L97" i="1"/>
  <c r="AO122" i="1"/>
  <c r="W150" i="1"/>
  <c r="W158" i="1"/>
  <c r="S13" i="1"/>
  <c r="AD16" i="1"/>
  <c r="AB21" i="1"/>
  <c r="S18" i="1"/>
  <c r="AH20" i="1"/>
  <c r="AD25" i="1"/>
  <c r="G40" i="1"/>
  <c r="H35" i="1"/>
  <c r="AH38" i="1"/>
  <c r="AD41" i="1"/>
  <c r="AH48" i="1"/>
  <c r="W52" i="1"/>
  <c r="S55" i="1"/>
  <c r="AS55" i="1"/>
  <c r="H59" i="1"/>
  <c r="AH62" i="1"/>
  <c r="AD65" i="1"/>
  <c r="J71" i="1"/>
  <c r="AF72" i="1"/>
  <c r="W69" i="1"/>
  <c r="AD73" i="1"/>
  <c r="AC78" i="1"/>
  <c r="H95" i="1"/>
  <c r="W100" i="1"/>
  <c r="AH118" i="1"/>
  <c r="AO123" i="1"/>
  <c r="H147" i="1"/>
  <c r="H162" i="1"/>
  <c r="AO50" i="1"/>
  <c r="W55" i="1"/>
  <c r="AD61" i="1"/>
  <c r="W62" i="1"/>
  <c r="L69" i="1"/>
  <c r="H72" i="1"/>
  <c r="AD77" i="1"/>
  <c r="L88" i="1"/>
  <c r="S97" i="1"/>
  <c r="AH120" i="1"/>
  <c r="L134" i="1"/>
  <c r="H151" i="1"/>
  <c r="W182" i="1"/>
  <c r="U20" i="1"/>
  <c r="AH16" i="1"/>
  <c r="H21" i="1"/>
  <c r="U26" i="1"/>
  <c r="AH22" i="1"/>
  <c r="L30" i="1"/>
  <c r="H39" i="1"/>
  <c r="AG44" i="1"/>
  <c r="H45" i="1"/>
  <c r="AH45" i="1"/>
  <c r="AD52" i="1"/>
  <c r="L53" i="1"/>
  <c r="H56" i="1"/>
  <c r="W57" i="1"/>
  <c r="AM58" i="1"/>
  <c r="V65" i="1"/>
  <c r="H63" i="1"/>
  <c r="AD69" i="1"/>
  <c r="L89" i="1"/>
  <c r="AD100" i="1"/>
  <c r="AO118" i="1"/>
  <c r="AH121" i="1"/>
  <c r="L138" i="1"/>
  <c r="S171" i="1"/>
  <c r="W186" i="1"/>
  <c r="AH39" i="1"/>
  <c r="U143" i="1" l="1"/>
  <c r="U154" i="1" s="1"/>
  <c r="U167" i="1" s="1"/>
  <c r="U178" i="1" s="1"/>
  <c r="U114" i="1"/>
</calcChain>
</file>

<file path=xl/sharedStrings.xml><?xml version="1.0" encoding="utf-8"?>
<sst xmlns="http://schemas.openxmlformats.org/spreadsheetml/2006/main" count="6" uniqueCount="5">
  <si>
    <t>idioma</t>
  </si>
  <si>
    <t>English</t>
  </si>
  <si>
    <t>ESP</t>
  </si>
  <si>
    <t>Español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</si>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</sst>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;\(#,##0.0\)"/>
    <numFmt numFmtId="166" formatCode="0.0;\ \(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eo Sans Pro"/>
      <family val="2"/>
    </font>
    <font>
      <b/>
      <sz val="12"/>
      <color rgb="FF0070C0"/>
      <name val="Neo Sans Pro"/>
      <family val="2"/>
    </font>
    <font>
      <b/>
      <sz val="10"/>
      <color theme="0"/>
      <name val="Neo Sans Pro"/>
      <family val="2"/>
    </font>
    <font>
      <sz val="8"/>
      <color theme="1"/>
      <name val="Neo Sans Pro"/>
      <family val="2"/>
    </font>
    <font>
      <b/>
      <sz val="10"/>
      <color rgb="FF00B0F0"/>
      <name val="Neo Sans Pro"/>
      <family val="2"/>
    </font>
    <font>
      <b/>
      <sz val="10"/>
      <color theme="1"/>
      <name val="Neo Sans Pro"/>
      <family val="2"/>
    </font>
    <font>
      <i/>
      <sz val="10"/>
      <color theme="1"/>
      <name val="Neo Sans Pro"/>
      <family val="2"/>
    </font>
    <font>
      <i/>
      <sz val="8"/>
      <color rgb="FFFF0000"/>
      <name val="Neo Sans Pro"/>
      <family val="2"/>
    </font>
    <font>
      <b/>
      <sz val="11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007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0" xfId="0" quotePrefix="1" applyFont="1" applyFill="1"/>
    <xf numFmtId="0" fontId="4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2" borderId="0" xfId="0" applyFont="1" applyFill="1"/>
    <xf numFmtId="0" fontId="4" fillId="3" borderId="0" xfId="0" applyFont="1" applyFill="1" applyAlignment="1">
      <alignment horizontal="right" indent="1"/>
    </xf>
    <xf numFmtId="0" fontId="6" fillId="2" borderId="3" xfId="0" applyFont="1" applyFill="1" applyBorder="1"/>
    <xf numFmtId="0" fontId="2" fillId="2" borderId="3" xfId="0" applyFont="1" applyFill="1" applyBorder="1"/>
    <xf numFmtId="0" fontId="7" fillId="2" borderId="0" xfId="0" applyFont="1" applyFill="1"/>
    <xf numFmtId="165" fontId="7" fillId="4" borderId="0" xfId="0" applyNumberFormat="1" applyFont="1" applyFill="1" applyAlignment="1">
      <alignment horizontal="right" indent="1"/>
    </xf>
    <xf numFmtId="165" fontId="7" fillId="2" borderId="0" xfId="0" applyNumberFormat="1" applyFont="1" applyFill="1" applyAlignment="1">
      <alignment horizontal="right" indent="1"/>
    </xf>
    <xf numFmtId="166" fontId="7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2"/>
    </xf>
    <xf numFmtId="165" fontId="2" fillId="4" borderId="0" xfId="0" applyNumberFormat="1" applyFont="1" applyFill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6" fontId="2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left" indent="2"/>
    </xf>
    <xf numFmtId="0" fontId="8" fillId="2" borderId="0" xfId="0" applyFont="1" applyFill="1"/>
    <xf numFmtId="165" fontId="8" fillId="4" borderId="0" xfId="0" applyNumberFormat="1" applyFont="1" applyFill="1" applyAlignment="1">
      <alignment horizontal="right" indent="1"/>
    </xf>
    <xf numFmtId="165" fontId="8" fillId="2" borderId="0" xfId="0" applyNumberFormat="1" applyFont="1" applyFill="1" applyAlignment="1">
      <alignment horizontal="right" indent="1"/>
    </xf>
    <xf numFmtId="166" fontId="8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4"/>
    </xf>
    <xf numFmtId="164" fontId="8" fillId="4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2" borderId="3" xfId="0" applyFont="1" applyFill="1" applyBorder="1" applyAlignment="1">
      <alignment horizontal="left" indent="2"/>
    </xf>
    <xf numFmtId="164" fontId="8" fillId="4" borderId="3" xfId="0" applyNumberFormat="1" applyFont="1" applyFill="1" applyBorder="1" applyAlignment="1">
      <alignment horizontal="right" indent="1"/>
    </xf>
    <xf numFmtId="164" fontId="8" fillId="2" borderId="3" xfId="0" applyNumberFormat="1" applyFont="1" applyFill="1" applyBorder="1" applyAlignment="1">
      <alignment horizontal="right" indent="1"/>
    </xf>
    <xf numFmtId="0" fontId="8" fillId="2" borderId="3" xfId="0" applyFont="1" applyFill="1" applyBorder="1" applyAlignment="1">
      <alignment horizontal="right" indent="1"/>
    </xf>
    <xf numFmtId="0" fontId="7" fillId="2" borderId="3" xfId="0" applyFont="1" applyFill="1" applyBorder="1"/>
    <xf numFmtId="165" fontId="7" fillId="4" borderId="3" xfId="0" applyNumberFormat="1" applyFont="1" applyFill="1" applyBorder="1" applyAlignment="1">
      <alignment horizontal="right" indent="1"/>
    </xf>
    <xf numFmtId="165" fontId="7" fillId="2" borderId="3" xfId="0" applyNumberFormat="1" applyFont="1" applyFill="1" applyBorder="1" applyAlignment="1">
      <alignment horizontal="right" indent="1"/>
    </xf>
    <xf numFmtId="166" fontId="7" fillId="2" borderId="3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left" indent="2"/>
    </xf>
    <xf numFmtId="164" fontId="8" fillId="4" borderId="0" xfId="0" applyNumberFormat="1" applyFont="1" applyFill="1" applyBorder="1" applyAlignment="1">
      <alignment horizontal="right" indent="1"/>
    </xf>
    <xf numFmtId="164" fontId="8" fillId="2" borderId="0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right" indent="1"/>
    </xf>
    <xf numFmtId="0" fontId="8" fillId="2" borderId="0" xfId="0" applyFont="1" applyFill="1" applyAlignment="1">
      <alignment horizontal="left" indent="4"/>
    </xf>
    <xf numFmtId="0" fontId="2" fillId="5" borderId="0" xfId="0" applyFont="1" applyFill="1"/>
    <xf numFmtId="0" fontId="9" fillId="2" borderId="0" xfId="0" applyFont="1" applyFill="1"/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CI&#211;N%20CON%20INVERSORES/NEW/RESULTS/2017/4T/TABLAS%20NOTA%20IR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S"/>
      <sheetName val="GRUPO"/>
      <sheetName val="SANTILLANA"/>
      <sheetName val="RADIO"/>
      <sheetName val="NOTICIAS"/>
      <sheetName val="MEDIA CAPITAL"/>
      <sheetName val="TRANSFORMACIÓN"/>
      <sheetName val="To Publish"/>
      <sheetName val="AUDIOVISUAL"/>
      <sheetName val="Hoja1"/>
    </sheetNames>
    <sheetDataSet>
      <sheetData sheetId="0"/>
      <sheetData sheetId="1">
        <row r="6">
          <cell r="AC6" t="str">
            <v>ENERO - DICIEMBRE</v>
          </cell>
          <cell r="AG6" t="str">
            <v>OCTUBRE - DICIEMBRE</v>
          </cell>
        </row>
        <row r="8">
          <cell r="AC8">
            <v>2017</v>
          </cell>
          <cell r="AD8">
            <v>2016</v>
          </cell>
          <cell r="AG8">
            <v>2017</v>
          </cell>
          <cell r="AH8">
            <v>2016</v>
          </cell>
        </row>
        <row r="10">
          <cell r="AC10">
            <v>1166.0714728490698</v>
          </cell>
          <cell r="AD10">
            <v>1175.8870385656267</v>
          </cell>
          <cell r="AG10">
            <v>277.10391840573789</v>
          </cell>
          <cell r="AH10">
            <v>278.48066630740368</v>
          </cell>
        </row>
        <row r="11">
          <cell r="AC11">
            <v>521.25139129387549</v>
          </cell>
          <cell r="AD11">
            <v>558.48166810131306</v>
          </cell>
          <cell r="AG11">
            <v>95.221099436872748</v>
          </cell>
          <cell r="AH11">
            <v>103.60436128523401</v>
          </cell>
        </row>
        <row r="12">
          <cell r="AC12">
            <v>644.82008155519429</v>
          </cell>
          <cell r="AD12">
            <v>617.40537046431359</v>
          </cell>
          <cell r="AG12">
            <v>181.88281896886508</v>
          </cell>
          <cell r="AH12">
            <v>174.87630502216967</v>
          </cell>
        </row>
        <row r="13">
          <cell r="AC13">
            <v>3.798152</v>
          </cell>
          <cell r="AD13">
            <v>4.826816</v>
          </cell>
          <cell r="AG13">
            <v>4.9659999999999815E-2</v>
          </cell>
          <cell r="AH13">
            <v>0.12030499999999922</v>
          </cell>
        </row>
        <row r="14">
          <cell r="AC14">
            <v>641.02192955519433</v>
          </cell>
          <cell r="AD14">
            <v>612.57855446431358</v>
          </cell>
          <cell r="AG14">
            <v>181.83315896886518</v>
          </cell>
          <cell r="AH14">
            <v>174.75600002216964</v>
          </cell>
        </row>
        <row r="15">
          <cell r="AC15">
            <v>230.26007411471201</v>
          </cell>
          <cell r="AD15">
            <v>229.62580790043469</v>
          </cell>
          <cell r="AG15">
            <v>41.018252588973098</v>
          </cell>
          <cell r="AH15">
            <v>44.533968698237999</v>
          </cell>
        </row>
        <row r="16">
          <cell r="AC16">
            <v>49.884814593137563</v>
          </cell>
          <cell r="AD16">
            <v>61.032990543562221</v>
          </cell>
          <cell r="AG16">
            <v>-20.966095820003574</v>
          </cell>
          <cell r="AH16">
            <v>-14.840719565735455</v>
          </cell>
        </row>
        <row r="17">
          <cell r="AC17">
            <v>180.37525952157446</v>
          </cell>
          <cell r="AD17">
            <v>168.59281735687247</v>
          </cell>
          <cell r="AG17">
            <v>61.984348408976672</v>
          </cell>
          <cell r="AH17">
            <v>59.374688263973468</v>
          </cell>
        </row>
        <row r="18">
          <cell r="AC18">
            <v>6.03499999999988E-2</v>
          </cell>
          <cell r="AD18">
            <v>0.188113</v>
          </cell>
          <cell r="AG18">
            <v>-0.49665300000000212</v>
          </cell>
          <cell r="AH18">
            <v>-0.53787600000000002</v>
          </cell>
        </row>
        <row r="19">
          <cell r="AC19">
            <v>180.31490952157444</v>
          </cell>
          <cell r="AD19">
            <v>168.40470435687246</v>
          </cell>
          <cell r="AG19">
            <v>62.481001408976638</v>
          </cell>
          <cell r="AH19">
            <v>59.912564263973451</v>
          </cell>
        </row>
        <row r="21">
          <cell r="AC21">
            <v>140.8809656223487</v>
          </cell>
          <cell r="AD21">
            <v>132.81609243075769</v>
          </cell>
          <cell r="AG21">
            <v>25.973193765864693</v>
          </cell>
          <cell r="AH21">
            <v>33.815937863003214</v>
          </cell>
        </row>
        <row r="22">
          <cell r="AC22">
            <v>19.182701869761456</v>
          </cell>
          <cell r="AD22">
            <v>17.747856933968286</v>
          </cell>
          <cell r="AG22">
            <v>-12.441981292698649</v>
          </cell>
          <cell r="AH22">
            <v>-7.0848118296018079</v>
          </cell>
        </row>
        <row r="23">
          <cell r="AC23">
            <v>121.69826375258725</v>
          </cell>
          <cell r="AD23">
            <v>115.0682354967894</v>
          </cell>
          <cell r="AG23">
            <v>38.415175058563349</v>
          </cell>
          <cell r="AH23">
            <v>40.900749692605018</v>
          </cell>
        </row>
        <row r="24">
          <cell r="AC24">
            <v>-0.74142800000000098</v>
          </cell>
          <cell r="AD24">
            <v>-0.24863400000000002</v>
          </cell>
          <cell r="AG24">
            <v>-0.8553840000000017</v>
          </cell>
          <cell r="AH24">
            <v>-0.58021900000000004</v>
          </cell>
        </row>
        <row r="25">
          <cell r="AC25">
            <v>122.43969175258725</v>
          </cell>
          <cell r="AD25">
            <v>115.31686949678939</v>
          </cell>
          <cell r="AG25">
            <v>39.27055905856335</v>
          </cell>
          <cell r="AH25">
            <v>41.480968692605018</v>
          </cell>
        </row>
        <row r="30">
          <cell r="AC30">
            <v>1159.6059966920823</v>
          </cell>
          <cell r="AD30">
            <v>1175.8870385656267</v>
          </cell>
          <cell r="AG30">
            <v>289.54450323266713</v>
          </cell>
          <cell r="AH30">
            <v>278.48066630740368</v>
          </cell>
        </row>
        <row r="31">
          <cell r="AC31">
            <v>521.25139129387549</v>
          </cell>
          <cell r="AD31">
            <v>558.48166810131306</v>
          </cell>
          <cell r="AG31">
            <v>95.221099436872748</v>
          </cell>
          <cell r="AH31">
            <v>103.60436128523401</v>
          </cell>
        </row>
        <row r="32">
          <cell r="AC32">
            <v>638.35460539820679</v>
          </cell>
          <cell r="AD32">
            <v>617.40537046431359</v>
          </cell>
          <cell r="AG32">
            <v>194.32340379579432</v>
          </cell>
          <cell r="AH32">
            <v>174.87630502216967</v>
          </cell>
        </row>
        <row r="33">
          <cell r="AC33">
            <v>3.798152</v>
          </cell>
          <cell r="AD33">
            <v>4.826816</v>
          </cell>
          <cell r="AG33">
            <v>4.9659999999999815E-2</v>
          </cell>
          <cell r="AH33">
            <v>0.12030499999999922</v>
          </cell>
        </row>
        <row r="34">
          <cell r="AC34">
            <v>634.55645339820683</v>
          </cell>
          <cell r="AD34">
            <v>612.57855446431358</v>
          </cell>
          <cell r="AG34">
            <v>194.27374379579442</v>
          </cell>
          <cell r="AH34">
            <v>174.75600002216964</v>
          </cell>
        </row>
        <row r="35">
          <cell r="AC35">
            <v>225.15665942767603</v>
          </cell>
          <cell r="AD35">
            <v>229.62580790043469</v>
          </cell>
          <cell r="AG35">
            <v>44.746350840640929</v>
          </cell>
          <cell r="AH35">
            <v>44.533968698237999</v>
          </cell>
        </row>
        <row r="36">
          <cell r="AC36">
            <v>49.884814593137563</v>
          </cell>
          <cell r="AD36">
            <v>61.032990543562221</v>
          </cell>
          <cell r="AG36">
            <v>-20.966095820003574</v>
          </cell>
          <cell r="AH36">
            <v>-14.840719565735455</v>
          </cell>
        </row>
        <row r="37">
          <cell r="AC37">
            <v>175.27184483453848</v>
          </cell>
          <cell r="AD37">
            <v>168.59281735687247</v>
          </cell>
          <cell r="AG37">
            <v>65.712446660644488</v>
          </cell>
          <cell r="AH37">
            <v>59.374688263973468</v>
          </cell>
        </row>
        <row r="38">
          <cell r="AC38">
            <v>6.03499999999988E-2</v>
          </cell>
          <cell r="AD38">
            <v>0.188113</v>
          </cell>
          <cell r="AG38">
            <v>-0.49665300000000212</v>
          </cell>
          <cell r="AH38">
            <v>-0.53787600000000002</v>
          </cell>
        </row>
        <row r="39">
          <cell r="AC39">
            <v>175.21149483453846</v>
          </cell>
          <cell r="AD39">
            <v>168.40470435687246</v>
          </cell>
          <cell r="AG39">
            <v>66.209099660644455</v>
          </cell>
          <cell r="AH39">
            <v>59.912564263973451</v>
          </cell>
        </row>
        <row r="41">
          <cell r="AC41">
            <v>135.45952490585069</v>
          </cell>
          <cell r="AD41">
            <v>132.81609243075769</v>
          </cell>
          <cell r="AG41">
            <v>27.989973894520674</v>
          </cell>
          <cell r="AH41">
            <v>33.815937863003214</v>
          </cell>
        </row>
        <row r="42">
          <cell r="AC42">
            <v>19.182701869761456</v>
          </cell>
          <cell r="AD42">
            <v>17.747856933968286</v>
          </cell>
          <cell r="AG42">
            <v>-12.441981292698649</v>
          </cell>
          <cell r="AH42">
            <v>-7.0848118296018079</v>
          </cell>
        </row>
        <row r="43">
          <cell r="AC43">
            <v>116.27682303608924</v>
          </cell>
          <cell r="AD43">
            <v>115.0682354967894</v>
          </cell>
          <cell r="AG43">
            <v>40.43195518721933</v>
          </cell>
          <cell r="AH43">
            <v>40.900749692605018</v>
          </cell>
        </row>
        <row r="44">
          <cell r="AC44">
            <v>-0.74142800000000098</v>
          </cell>
          <cell r="AD44">
            <v>-0.24863400000000002</v>
          </cell>
          <cell r="AG44">
            <v>-0.8553840000000017</v>
          </cell>
          <cell r="AH44">
            <v>-0.58021900000000004</v>
          </cell>
        </row>
        <row r="45">
          <cell r="AC45">
            <v>117.01825103608924</v>
          </cell>
          <cell r="AD45">
            <v>115.31686949678939</v>
          </cell>
          <cell r="AG45">
            <v>41.287339187219331</v>
          </cell>
          <cell r="AH45">
            <v>41.480968692605018</v>
          </cell>
        </row>
        <row r="50">
          <cell r="AC50">
            <v>1170.7049788490699</v>
          </cell>
          <cell r="AD50">
            <v>1184.4820341678399</v>
          </cell>
          <cell r="AG50">
            <v>277.103918405738</v>
          </cell>
          <cell r="AH50">
            <v>287.07566190961688</v>
          </cell>
        </row>
        <row r="51">
          <cell r="AC51">
            <v>525.88489729387561</v>
          </cell>
          <cell r="AD51">
            <v>562.14966810131307</v>
          </cell>
          <cell r="AG51">
            <v>95.221099436872862</v>
          </cell>
          <cell r="AH51">
            <v>107.27236128523401</v>
          </cell>
        </row>
        <row r="52">
          <cell r="AC52">
            <v>644.82008155519429</v>
          </cell>
          <cell r="AD52">
            <v>622.3323660665269</v>
          </cell>
          <cell r="AG52">
            <v>181.88281896886508</v>
          </cell>
          <cell r="AH52">
            <v>179.80330062438298</v>
          </cell>
        </row>
        <row r="53">
          <cell r="AC53">
            <v>3.798152</v>
          </cell>
          <cell r="AD53">
            <v>4.826816</v>
          </cell>
          <cell r="AG53">
            <v>4.9659999999999815E-2</v>
          </cell>
          <cell r="AH53">
            <v>0.12030499999999922</v>
          </cell>
        </row>
        <row r="54">
          <cell r="AC54">
            <v>641.02192955519433</v>
          </cell>
          <cell r="AD54">
            <v>617.50555006652689</v>
          </cell>
          <cell r="AG54">
            <v>181.83315896886518</v>
          </cell>
          <cell r="AH54">
            <v>179.68299562438295</v>
          </cell>
        </row>
        <row r="55">
          <cell r="AC55">
            <v>963.72692649495889</v>
          </cell>
          <cell r="AD55">
            <v>978.54097229953982</v>
          </cell>
          <cell r="AG55">
            <v>248.17611684729695</v>
          </cell>
          <cell r="AH55">
            <v>256.64236668642684</v>
          </cell>
        </row>
        <row r="56">
          <cell r="AC56">
            <v>492.51222508690114</v>
          </cell>
          <cell r="AD56">
            <v>513.2066210777507</v>
          </cell>
          <cell r="AG56">
            <v>126.14240321687646</v>
          </cell>
          <cell r="AH56">
            <v>130.26013729096934</v>
          </cell>
        </row>
        <row r="57">
          <cell r="AC57">
            <v>471.21470140805775</v>
          </cell>
          <cell r="AD57">
            <v>465.33435122178923</v>
          </cell>
          <cell r="AG57">
            <v>122.03371363042049</v>
          </cell>
          <cell r="AH57">
            <v>126.38222939545761</v>
          </cell>
        </row>
        <row r="58">
          <cell r="AC58">
            <v>3.8853270000000011</v>
          </cell>
          <cell r="AD58">
            <v>4.6429859999999996</v>
          </cell>
          <cell r="AG58">
            <v>0.54631300000000182</v>
          </cell>
          <cell r="AH58">
            <v>0.65907199999999877</v>
          </cell>
        </row>
        <row r="59">
          <cell r="AC59">
            <v>467.32937440805779</v>
          </cell>
          <cell r="AD59">
            <v>460.69136522178928</v>
          </cell>
          <cell r="AG59">
            <v>121.48740063042055</v>
          </cell>
          <cell r="AH59">
            <v>125.72315739545763</v>
          </cell>
        </row>
        <row r="60">
          <cell r="AC60">
            <v>206.97805235411099</v>
          </cell>
          <cell r="AD60">
            <v>205.94106186829998</v>
          </cell>
          <cell r="AG60">
            <v>28.92780155844099</v>
          </cell>
          <cell r="AH60">
            <v>30.433295223189987</v>
          </cell>
        </row>
        <row r="61">
          <cell r="AC61">
            <v>33.372672206974443</v>
          </cell>
          <cell r="AD61">
            <v>48.943047023562364</v>
          </cell>
          <cell r="AG61">
            <v>-30.921303780003612</v>
          </cell>
          <cell r="AH61">
            <v>-22.987776005735334</v>
          </cell>
        </row>
        <row r="62">
          <cell r="AC62">
            <v>173.60538014713654</v>
          </cell>
          <cell r="AD62">
            <v>156.99801484473764</v>
          </cell>
          <cell r="AG62">
            <v>59.849105338444602</v>
          </cell>
          <cell r="AH62">
            <v>53.421071228925328</v>
          </cell>
        </row>
        <row r="63">
          <cell r="AC63">
            <v>-8.717500000000121E-2</v>
          </cell>
          <cell r="AD63">
            <v>0.18383000000000002</v>
          </cell>
          <cell r="AG63">
            <v>-0.49665300000000218</v>
          </cell>
          <cell r="AH63">
            <v>-0.53876699999999988</v>
          </cell>
        </row>
        <row r="64">
          <cell r="AC64">
            <v>173.69255514713655</v>
          </cell>
          <cell r="AD64">
            <v>156.81418484473764</v>
          </cell>
          <cell r="AG64">
            <v>60.345758338444597</v>
          </cell>
          <cell r="AH64">
            <v>53.959838228925321</v>
          </cell>
        </row>
        <row r="66">
          <cell r="AC66">
            <v>105.74491386174766</v>
          </cell>
          <cell r="AD66">
            <v>99.460980981582097</v>
          </cell>
          <cell r="AG66">
            <v>3.2453722580279987</v>
          </cell>
          <cell r="AH66">
            <v>9.6481599709143069</v>
          </cell>
        </row>
        <row r="67">
          <cell r="AC67">
            <v>-9.1834705164017212</v>
          </cell>
          <cell r="AD67">
            <v>-3.1400865860316989</v>
          </cell>
          <cell r="AG67">
            <v>-33.034559730003338</v>
          </cell>
          <cell r="AH67">
            <v>-24.42660726960181</v>
          </cell>
        </row>
        <row r="68">
          <cell r="AC68">
            <v>114.92838437814937</v>
          </cell>
          <cell r="AD68">
            <v>102.6010675676138</v>
          </cell>
          <cell r="AG68">
            <v>36.279931988031322</v>
          </cell>
          <cell r="AH68">
            <v>34.074767240516124</v>
          </cell>
        </row>
        <row r="69">
          <cell r="AC69">
            <v>-0.88895300000000099</v>
          </cell>
          <cell r="AD69">
            <v>-0.252917</v>
          </cell>
          <cell r="AG69">
            <v>-0.8553840000000017</v>
          </cell>
          <cell r="AH69">
            <v>-0.58111000000000002</v>
          </cell>
        </row>
        <row r="70">
          <cell r="AC70">
            <v>115.81733737814938</v>
          </cell>
          <cell r="AD70">
            <v>102.85398456761379</v>
          </cell>
          <cell r="AG70">
            <v>37.135315988031323</v>
          </cell>
          <cell r="AH70">
            <v>34.655877240516119</v>
          </cell>
        </row>
        <row r="72">
          <cell r="AC72">
            <v>-64.669030884683906</v>
          </cell>
          <cell r="AD72">
            <v>-82.422438075180395</v>
          </cell>
          <cell r="AG72">
            <v>-27.68242942277611</v>
          </cell>
          <cell r="AH72">
            <v>-40.715627539774793</v>
          </cell>
        </row>
        <row r="73">
          <cell r="AC73">
            <v>-49.231305283514097</v>
          </cell>
          <cell r="AD73">
            <v>-54.252571685783799</v>
          </cell>
          <cell r="AG73">
            <v>-11.989567934476497</v>
          </cell>
          <cell r="AH73">
            <v>-11.831166098517699</v>
          </cell>
        </row>
        <row r="74">
          <cell r="AC74">
            <v>-15.437725601169809</v>
          </cell>
          <cell r="AD74">
            <v>-28.169866389396596</v>
          </cell>
          <cell r="AG74">
            <v>-15.692861488299613</v>
          </cell>
          <cell r="AH74">
            <v>-28.884461441257095</v>
          </cell>
        </row>
        <row r="75">
          <cell r="AC75">
            <v>3.6567833238288201</v>
          </cell>
          <cell r="AD75">
            <v>3.3113797625564398</v>
          </cell>
          <cell r="AG75">
            <v>2.0364665859383</v>
          </cell>
          <cell r="AH75">
            <v>0.44740504052789998</v>
          </cell>
        </row>
        <row r="76">
          <cell r="AC76">
            <v>44.732666300892575</v>
          </cell>
          <cell r="AD76">
            <v>20.349922668958143</v>
          </cell>
          <cell r="AG76">
            <v>-22.400590578809812</v>
          </cell>
          <cell r="AH76">
            <v>-30.620062528332582</v>
          </cell>
        </row>
        <row r="77">
          <cell r="AC77">
            <v>51.976747263595918</v>
          </cell>
          <cell r="AD77">
            <v>78.092116053652461</v>
          </cell>
          <cell r="AG77">
            <v>15.34149131988422</v>
          </cell>
          <cell r="AH77">
            <v>51.897547796605537</v>
          </cell>
        </row>
        <row r="78">
          <cell r="AC78">
            <v>68.501746093028999</v>
          </cell>
          <cell r="AD78">
            <v>-20.083584905979599</v>
          </cell>
          <cell r="AG78">
            <v>3.0735946724020948</v>
          </cell>
          <cell r="AH78">
            <v>-10.440387093212898</v>
          </cell>
        </row>
        <row r="79">
          <cell r="AC79">
            <v>-27.1681582724474</v>
          </cell>
          <cell r="AD79">
            <v>-30.2017869911095</v>
          </cell>
          <cell r="AG79">
            <v>-7.1059425665993992</v>
          </cell>
          <cell r="AH79">
            <v>-9.7368186180069998</v>
          </cell>
        </row>
        <row r="80">
          <cell r="AC80">
            <v>-102.914140044805</v>
          </cell>
          <cell r="AD80">
            <v>-67.857384320234459</v>
          </cell>
          <cell r="AG80">
            <v>-47.921773727695658</v>
          </cell>
          <cell r="AH80">
            <v>-81.811260185870012</v>
          </cell>
        </row>
        <row r="91">
          <cell r="AC91">
            <v>-4.6335060000000006</v>
          </cell>
          <cell r="AD91">
            <v>-8.5949956022132383</v>
          </cell>
          <cell r="AG91">
            <v>0</v>
          </cell>
          <cell r="AH91">
            <v>-8.5949956022132383</v>
          </cell>
        </row>
        <row r="93">
          <cell r="AC93">
            <v>0</v>
          </cell>
          <cell r="AD93">
            <v>-4.9269956022132382</v>
          </cell>
          <cell r="AG93">
            <v>0</v>
          </cell>
          <cell r="AH93">
            <v>-4.9269956022132382</v>
          </cell>
        </row>
        <row r="94">
          <cell r="AC94">
            <v>0</v>
          </cell>
          <cell r="AD94">
            <v>-3.6680000000000001</v>
          </cell>
          <cell r="AG94">
            <v>0</v>
          </cell>
          <cell r="AH94">
            <v>-3.6680000000000001</v>
          </cell>
        </row>
        <row r="95">
          <cell r="AC95">
            <v>-4.6335060000000006</v>
          </cell>
          <cell r="AD95">
            <v>0</v>
          </cell>
          <cell r="AG95">
            <v>0</v>
          </cell>
          <cell r="AH95">
            <v>0</v>
          </cell>
        </row>
        <row r="98">
          <cell r="AC98">
            <v>-27.915527760601041</v>
          </cell>
          <cell r="AD98">
            <v>-32.279741634347936</v>
          </cell>
          <cell r="AG98">
            <v>-12.090451030532101</v>
          </cell>
          <cell r="AH98">
            <v>-22.695669077261243</v>
          </cell>
        </row>
        <row r="99">
          <cell r="AC99">
            <v>-27.915527760601041</v>
          </cell>
          <cell r="AD99">
            <v>-15.8819974661769</v>
          </cell>
          <cell r="AG99">
            <v>-12.090451030532101</v>
          </cell>
          <cell r="AH99">
            <v>-6.2979249090902094</v>
          </cell>
        </row>
        <row r="101">
          <cell r="AC101">
            <v>0</v>
          </cell>
          <cell r="AD101">
            <v>-8.1667441681710358</v>
          </cell>
          <cell r="AG101">
            <v>0</v>
          </cell>
          <cell r="AH101">
            <v>-8.1667441681710358</v>
          </cell>
        </row>
        <row r="102">
          <cell r="AC102">
            <v>0</v>
          </cell>
          <cell r="AD102">
            <v>-8.2309999999999999</v>
          </cell>
          <cell r="AG102">
            <v>0</v>
          </cell>
          <cell r="AH102">
            <v>-8.2309999999999999</v>
          </cell>
        </row>
        <row r="105">
          <cell r="AC105">
            <v>-11.854030000000002</v>
          </cell>
          <cell r="AD105">
            <v>-9.6703654170408928</v>
          </cell>
          <cell r="AG105">
            <v>-10.637370477304602</v>
          </cell>
          <cell r="AH105">
            <v>-10.067104417040893</v>
          </cell>
        </row>
        <row r="107">
          <cell r="AC107">
            <v>-11.854030000000002</v>
          </cell>
          <cell r="AD107">
            <v>-8.798</v>
          </cell>
          <cell r="AG107">
            <v>-10.637370477304602</v>
          </cell>
          <cell r="AH107">
            <v>-9.1947390000000002</v>
          </cell>
        </row>
        <row r="108">
          <cell r="AC108">
            <v>0</v>
          </cell>
          <cell r="AD108">
            <v>-0.87236541704089354</v>
          </cell>
          <cell r="AG108">
            <v>0</v>
          </cell>
          <cell r="AH108">
            <v>-0.87236541704089354</v>
          </cell>
        </row>
        <row r="121">
          <cell r="AC121">
            <v>1166.0714728490698</v>
          </cell>
          <cell r="AD121">
            <v>1175.8870385656267</v>
          </cell>
          <cell r="AG121">
            <v>277.10391840573789</v>
          </cell>
          <cell r="AH121">
            <v>278.48066630740368</v>
          </cell>
        </row>
        <row r="122">
          <cell r="AC122">
            <v>656.20281064317601</v>
          </cell>
          <cell r="AD122">
            <v>632.60800148140481</v>
          </cell>
          <cell r="AG122">
            <v>133.59365224861506</v>
          </cell>
          <cell r="AH122">
            <v>119.07318307506182</v>
          </cell>
        </row>
        <row r="123">
          <cell r="AC123">
            <v>280.66641862949501</v>
          </cell>
          <cell r="AD123">
            <v>301.051233708707</v>
          </cell>
          <cell r="AG123">
            <v>77.845381979145998</v>
          </cell>
          <cell r="AH123">
            <v>93.30436801573299</v>
          </cell>
        </row>
        <row r="124">
          <cell r="AC124">
            <v>220.57753956794599</v>
          </cell>
          <cell r="AD124">
            <v>239.895761417221</v>
          </cell>
          <cell r="AG124">
            <v>63.156584846401017</v>
          </cell>
          <cell r="AH124">
            <v>65.82335325206401</v>
          </cell>
        </row>
        <row r="125">
          <cell r="AC125">
            <v>2.4995663399999999</v>
          </cell>
          <cell r="AD125">
            <v>1.31980678</v>
          </cell>
          <cell r="AG125">
            <v>0.95699892999999969</v>
          </cell>
          <cell r="AH125">
            <v>7.7402680000000057E-2</v>
          </cell>
        </row>
        <row r="126">
          <cell r="AC126">
            <v>6.1251376684527674</v>
          </cell>
          <cell r="AD126">
            <v>1.0122351782938428</v>
          </cell>
          <cell r="AG126">
            <v>1.5513004015758138</v>
          </cell>
          <cell r="AH126">
            <v>0.20235928454486052</v>
          </cell>
        </row>
        <row r="134">
          <cell r="AC134">
            <v>230.26007411471201</v>
          </cell>
          <cell r="AD134">
            <v>229.62580790043469</v>
          </cell>
          <cell r="AG134">
            <v>41.018252588973098</v>
          </cell>
          <cell r="AH134">
            <v>44.533968698237999</v>
          </cell>
        </row>
        <row r="135">
          <cell r="AC135">
            <v>187.12464595384824</v>
          </cell>
          <cell r="AD135">
            <v>180.24354300837336</v>
          </cell>
          <cell r="AG135">
            <v>19.53452074239803</v>
          </cell>
          <cell r="AH135">
            <v>13.006834505259974</v>
          </cell>
        </row>
        <row r="136">
          <cell r="AC136">
            <v>46.556025480226296</v>
          </cell>
          <cell r="AD136">
            <v>46.673510881185237</v>
          </cell>
          <cell r="AG136">
            <v>18.089371214075818</v>
          </cell>
          <cell r="AH136">
            <v>22.540205619784057</v>
          </cell>
        </row>
        <row r="137">
          <cell r="AC137">
            <v>12.478501778196689</v>
          </cell>
          <cell r="AD137">
            <v>16.813236612847511</v>
          </cell>
          <cell r="AG137">
            <v>7.9657712787232597</v>
          </cell>
          <cell r="AH137">
            <v>9.3261688933286067</v>
          </cell>
        </row>
        <row r="138">
          <cell r="AC138">
            <v>-1.7412451799999999</v>
          </cell>
          <cell r="AD138">
            <v>-1.9588774499999999</v>
          </cell>
          <cell r="AG138">
            <v>-0.25607229000000009</v>
          </cell>
          <cell r="AH138">
            <v>-0.85366639000000011</v>
          </cell>
        </row>
        <row r="139">
          <cell r="AC139">
            <v>-14.157853917559217</v>
          </cell>
          <cell r="AD139">
            <v>-12.14560515197142</v>
          </cell>
          <cell r="AG139">
            <v>-4.3153383562240091</v>
          </cell>
          <cell r="AH139">
            <v>0.51442606986535999</v>
          </cell>
        </row>
        <row r="151">
          <cell r="AC151">
            <v>206.97805235411099</v>
          </cell>
          <cell r="AD151">
            <v>205.94106186829998</v>
          </cell>
          <cell r="AG151">
            <v>28.92780155844099</v>
          </cell>
          <cell r="AH151">
            <v>30.433295223189987</v>
          </cell>
        </row>
        <row r="153">
          <cell r="AC153">
            <v>23.28202176060104</v>
          </cell>
          <cell r="AD153">
            <v>23.684746032134697</v>
          </cell>
          <cell r="AG153">
            <v>12.090451030532101</v>
          </cell>
          <cell r="AH153">
            <v>14.100673475048007</v>
          </cell>
        </row>
        <row r="154">
          <cell r="AC154">
            <v>230.26007411471201</v>
          </cell>
          <cell r="AD154">
            <v>229.62580790043469</v>
          </cell>
          <cell r="AG154">
            <v>41.018252588973098</v>
          </cell>
          <cell r="AH154">
            <v>44.533968698237999</v>
          </cell>
        </row>
        <row r="155">
          <cell r="AC155">
            <v>69.652924162308906</v>
          </cell>
          <cell r="AD155">
            <v>74.692020846271177</v>
          </cell>
          <cell r="AG155">
            <v>17.694584276489508</v>
          </cell>
          <cell r="AH155">
            <v>18.24432127589268</v>
          </cell>
        </row>
        <row r="156">
          <cell r="AC156">
            <v>17.910976450668098</v>
          </cell>
          <cell r="AD156">
            <v>19.581937919374024</v>
          </cell>
          <cell r="AG156">
            <v>-3.5487789797994012</v>
          </cell>
          <cell r="AH156">
            <v>-9.3328828152062755</v>
          </cell>
        </row>
        <row r="157">
          <cell r="AC157">
            <v>1.8152078793863105</v>
          </cell>
          <cell r="AD157">
            <v>2.535756704031801</v>
          </cell>
          <cell r="AG157">
            <v>0.89925352641829903</v>
          </cell>
          <cell r="AH157">
            <v>1.8065923745483801</v>
          </cell>
        </row>
        <row r="158">
          <cell r="AC158">
            <v>140.8809656223487</v>
          </cell>
          <cell r="AD158">
            <v>132.81609243075769</v>
          </cell>
          <cell r="AG158">
            <v>25.973193765864693</v>
          </cell>
          <cell r="AH158">
            <v>33.815937863003214</v>
          </cell>
        </row>
        <row r="165">
          <cell r="AC165">
            <v>-15.818731672422251</v>
          </cell>
          <cell r="AD165">
            <v>-19.111836901907317</v>
          </cell>
          <cell r="AG165">
            <v>-5.402093051059504</v>
          </cell>
          <cell r="AH165">
            <v>-4.7874452735051438</v>
          </cell>
        </row>
        <row r="166">
          <cell r="AC166">
            <v>1.6608777548630336</v>
          </cell>
          <cell r="AD166">
            <v>6.966231749935897</v>
          </cell>
          <cell r="AG166">
            <v>1.0867546948354949</v>
          </cell>
          <cell r="AH166">
            <v>5.3018713433705038</v>
          </cell>
        </row>
        <row r="167">
          <cell r="AC167">
            <v>-14.157853917559217</v>
          </cell>
          <cell r="AD167">
            <v>-12.14560515197142</v>
          </cell>
          <cell r="AG167">
            <v>-4.3153383562240091</v>
          </cell>
          <cell r="AH167">
            <v>0.51442606986535999</v>
          </cell>
        </row>
        <row r="168">
          <cell r="AC168">
            <v>0.92211597783333621</v>
          </cell>
          <cell r="AD168">
            <v>4.359026377949248</v>
          </cell>
          <cell r="AG168">
            <v>0.19230468267019674</v>
          </cell>
          <cell r="AH168">
            <v>0.66289422634881046</v>
          </cell>
        </row>
        <row r="169">
          <cell r="AC169">
            <v>0.32648301722134948</v>
          </cell>
          <cell r="AD169">
            <v>0.17375729991658168</v>
          </cell>
          <cell r="AG169">
            <v>7.4358811127100854E-2</v>
          </cell>
          <cell r="AH169">
            <v>7.6637595031818995E-2</v>
          </cell>
        </row>
        <row r="170">
          <cell r="AC170">
            <v>1.6319723350477489E-12</v>
          </cell>
          <cell r="AD170">
            <v>6.7335026443515744E-14</v>
          </cell>
          <cell r="AG170">
            <v>-3.2329694477084558E-13</v>
          </cell>
          <cell r="AH170">
            <v>9.5146113210375916E-13</v>
          </cell>
        </row>
        <row r="171">
          <cell r="AC171">
            <v>-15.406452912615535</v>
          </cell>
          <cell r="AD171">
            <v>-16.678388829837317</v>
          </cell>
          <cell r="AG171">
            <v>-4.5820018500209834</v>
          </cell>
          <cell r="AH171">
            <v>-0.22510575151622092</v>
          </cell>
        </row>
      </sheetData>
      <sheetData sheetId="2">
        <row r="10">
          <cell r="AC10">
            <v>656.20281064317601</v>
          </cell>
          <cell r="AD10">
            <v>632.60800148140481</v>
          </cell>
          <cell r="AG10">
            <v>133.59365224861506</v>
          </cell>
          <cell r="AH10">
            <v>119.07318307506182</v>
          </cell>
        </row>
        <row r="11">
          <cell r="AC11">
            <v>121.03364661603973</v>
          </cell>
          <cell r="AD11">
            <v>135.38177378369625</v>
          </cell>
          <cell r="AG11">
            <v>-18.030538212707881</v>
          </cell>
          <cell r="AH11">
            <v>-16.488368372306411</v>
          </cell>
        </row>
        <row r="12">
          <cell r="AC12">
            <v>535.16916402713628</v>
          </cell>
          <cell r="AD12">
            <v>497.22622769770857</v>
          </cell>
          <cell r="AG12">
            <v>151.62419046132294</v>
          </cell>
          <cell r="AH12">
            <v>135.56155144736823</v>
          </cell>
        </row>
        <row r="13">
          <cell r="AC13">
            <v>3.798152</v>
          </cell>
          <cell r="AD13">
            <v>4.826816</v>
          </cell>
          <cell r="AG13">
            <v>4.9659999999999815E-2</v>
          </cell>
          <cell r="AH13">
            <v>0.12030499999999922</v>
          </cell>
        </row>
        <row r="14">
          <cell r="AC14">
            <v>531.37101202713632</v>
          </cell>
          <cell r="AD14">
            <v>492.39941169770856</v>
          </cell>
          <cell r="AG14">
            <v>151.57453046132298</v>
          </cell>
          <cell r="AH14">
            <v>135.4412464473682</v>
          </cell>
        </row>
        <row r="15">
          <cell r="AC15">
            <v>187.12464595384824</v>
          </cell>
          <cell r="AD15">
            <v>180.24354300837336</v>
          </cell>
          <cell r="AG15">
            <v>19.53452074239803</v>
          </cell>
          <cell r="AH15">
            <v>13.006834505259974</v>
          </cell>
        </row>
        <row r="16">
          <cell r="AC16">
            <v>25.397423876975722</v>
          </cell>
          <cell r="AD16">
            <v>33.568710663561319</v>
          </cell>
          <cell r="AG16">
            <v>-35.59504813999952</v>
          </cell>
          <cell r="AH16">
            <v>-34.872972715737205</v>
          </cell>
        </row>
        <row r="17">
          <cell r="AC17">
            <v>161.72722207687252</v>
          </cell>
          <cell r="AD17">
            <v>146.67483234481205</v>
          </cell>
          <cell r="AG17">
            <v>55.12956888239755</v>
          </cell>
          <cell r="AH17">
            <v>47.879807220997179</v>
          </cell>
        </row>
        <row r="18">
          <cell r="AC18">
            <v>6.0349999999999508E-2</v>
          </cell>
          <cell r="AD18">
            <v>0.18811299999999898</v>
          </cell>
          <cell r="AG18">
            <v>-0.4966530000000014</v>
          </cell>
          <cell r="AH18">
            <v>-0.53787600000000102</v>
          </cell>
        </row>
        <row r="19">
          <cell r="AC19">
            <v>161.66687207687252</v>
          </cell>
          <cell r="AD19">
            <v>146.48671934481206</v>
          </cell>
          <cell r="AG19">
            <v>55.626221882397545</v>
          </cell>
          <cell r="AH19">
            <v>48.417683220997191</v>
          </cell>
        </row>
        <row r="21">
          <cell r="AC21">
            <v>117.98982172799823</v>
          </cell>
          <cell r="AD21">
            <v>108.78479638580626</v>
          </cell>
          <cell r="AG21">
            <v>10.015927386101993</v>
          </cell>
          <cell r="AH21">
            <v>9.8177241337053829</v>
          </cell>
        </row>
        <row r="22">
          <cell r="AC22">
            <v>7.7884945969760651</v>
          </cell>
          <cell r="AD22">
            <v>11.677137953561157</v>
          </cell>
          <cell r="AG22">
            <v>-24.272338319999548</v>
          </cell>
          <cell r="AH22">
            <v>-21.161591645736777</v>
          </cell>
        </row>
        <row r="23">
          <cell r="AC23">
            <v>110.20132713102217</v>
          </cell>
          <cell r="AD23">
            <v>97.107658432245103</v>
          </cell>
          <cell r="AG23">
            <v>34.288265706101541</v>
          </cell>
          <cell r="AH23">
            <v>30.97931577944216</v>
          </cell>
        </row>
        <row r="24">
          <cell r="AC24">
            <v>-0.74142800000000098</v>
          </cell>
          <cell r="AD24">
            <v>-0.24863400000000102</v>
          </cell>
          <cell r="AG24">
            <v>-0.85538400000000214</v>
          </cell>
          <cell r="AH24">
            <v>-0.58021900000000093</v>
          </cell>
        </row>
        <row r="25">
          <cell r="AC25">
            <v>110.94275513102217</v>
          </cell>
          <cell r="AD25">
            <v>97.356292432245098</v>
          </cell>
          <cell r="AG25">
            <v>35.143649706101542</v>
          </cell>
          <cell r="AH25">
            <v>31.55953477944216</v>
          </cell>
        </row>
        <row r="30">
          <cell r="AC30">
            <v>647.94682018204219</v>
          </cell>
          <cell r="AD30">
            <v>632.60800148140481</v>
          </cell>
          <cell r="AG30">
            <v>143.4201713281866</v>
          </cell>
          <cell r="AH30">
            <v>119.07318307506182</v>
          </cell>
        </row>
        <row r="31">
          <cell r="AC31">
            <v>121.03364661603973</v>
          </cell>
          <cell r="AD31">
            <v>135.38177378369625</v>
          </cell>
          <cell r="AG31">
            <v>-18.030538212707881</v>
          </cell>
          <cell r="AH31">
            <v>-16.488368372306411</v>
          </cell>
        </row>
        <row r="32">
          <cell r="AC32">
            <v>526.91317356600246</v>
          </cell>
          <cell r="AD32">
            <v>497.22622769770857</v>
          </cell>
          <cell r="AG32">
            <v>161.45070954089448</v>
          </cell>
          <cell r="AH32">
            <v>135.56155144736823</v>
          </cell>
        </row>
        <row r="33">
          <cell r="AC33">
            <v>3.798152</v>
          </cell>
          <cell r="AD33">
            <v>4.826816</v>
          </cell>
          <cell r="AG33">
            <v>4.9659999999999815E-2</v>
          </cell>
          <cell r="AH33">
            <v>0.12030499999999922</v>
          </cell>
        </row>
        <row r="34">
          <cell r="AC34">
            <v>523.1150215660025</v>
          </cell>
          <cell r="AD34">
            <v>492.39941169770856</v>
          </cell>
          <cell r="AG34">
            <v>161.40104954089452</v>
          </cell>
          <cell r="AH34">
            <v>135.4412464473682</v>
          </cell>
        </row>
        <row r="35">
          <cell r="AC35">
            <v>181.33676956618893</v>
          </cell>
          <cell r="AD35">
            <v>180.24354300837336</v>
          </cell>
          <cell r="AG35">
            <v>22.733579515724301</v>
          </cell>
          <cell r="AH35">
            <v>13.006834505259974</v>
          </cell>
        </row>
        <row r="36">
          <cell r="AC36">
            <v>25.397423876975722</v>
          </cell>
          <cell r="AD36">
            <v>33.568710663561319</v>
          </cell>
          <cell r="AG36">
            <v>-35.595048139999534</v>
          </cell>
          <cell r="AH36">
            <v>-34.872972715737205</v>
          </cell>
        </row>
        <row r="37">
          <cell r="AC37">
            <v>155.93934568921321</v>
          </cell>
          <cell r="AD37">
            <v>146.67483234481205</v>
          </cell>
          <cell r="AG37">
            <v>58.328627655723835</v>
          </cell>
          <cell r="AH37">
            <v>47.879807220997179</v>
          </cell>
        </row>
        <row r="38">
          <cell r="AC38">
            <v>6.0349999999999508E-2</v>
          </cell>
          <cell r="AD38">
            <v>0.18811299999999898</v>
          </cell>
          <cell r="AG38">
            <v>-0.4966530000000014</v>
          </cell>
          <cell r="AH38">
            <v>-0.53787600000000102</v>
          </cell>
        </row>
        <row r="39">
          <cell r="AC39">
            <v>155.87899568921321</v>
          </cell>
          <cell r="AD39">
            <v>146.48671934481206</v>
          </cell>
          <cell r="AG39">
            <v>58.82528065572383</v>
          </cell>
          <cell r="AH39">
            <v>48.417683220997191</v>
          </cell>
        </row>
        <row r="41">
          <cell r="AC41">
            <v>111.96719172215809</v>
          </cell>
          <cell r="AD41">
            <v>108.78479638580626</v>
          </cell>
          <cell r="AG41">
            <v>11.718672870108421</v>
          </cell>
          <cell r="AH41">
            <v>9.8177241337053829</v>
          </cell>
        </row>
        <row r="42">
          <cell r="AC42">
            <v>7.7884945969760651</v>
          </cell>
          <cell r="AD42">
            <v>11.677137953561157</v>
          </cell>
          <cell r="AG42">
            <v>-24.272338319999548</v>
          </cell>
          <cell r="AH42">
            <v>-21.161591645736777</v>
          </cell>
        </row>
        <row r="43">
          <cell r="AC43">
            <v>104.17869712518203</v>
          </cell>
          <cell r="AD43">
            <v>97.107658432245103</v>
          </cell>
          <cell r="AG43">
            <v>35.991011190107969</v>
          </cell>
          <cell r="AH43">
            <v>30.97931577944216</v>
          </cell>
        </row>
        <row r="44">
          <cell r="AC44">
            <v>-0.74142800000000098</v>
          </cell>
          <cell r="AD44">
            <v>-0.24863400000000102</v>
          </cell>
          <cell r="AG44">
            <v>-0.85538400000000214</v>
          </cell>
          <cell r="AH44">
            <v>-0.58021900000000093</v>
          </cell>
        </row>
        <row r="45">
          <cell r="AC45">
            <v>104.92012512518203</v>
          </cell>
          <cell r="AD45">
            <v>97.356292432245098</v>
          </cell>
          <cell r="AG45">
            <v>36.84639519010797</v>
          </cell>
          <cell r="AH45">
            <v>31.55953477944216</v>
          </cell>
        </row>
        <row r="50">
          <cell r="AC50">
            <v>656.20281064317601</v>
          </cell>
          <cell r="AD50">
            <v>637.53499708361801</v>
          </cell>
          <cell r="AG50">
            <v>133.59365224861506</v>
          </cell>
          <cell r="AH50">
            <v>124.00017867727502</v>
          </cell>
        </row>
        <row r="51">
          <cell r="AC51">
            <v>121.03364661603973</v>
          </cell>
          <cell r="AD51">
            <v>135.38177378369619</v>
          </cell>
          <cell r="AG51">
            <v>-18.030538212707881</v>
          </cell>
          <cell r="AH51">
            <v>-16.488368372306468</v>
          </cell>
        </row>
        <row r="52">
          <cell r="AC52">
            <v>535.16916402713628</v>
          </cell>
          <cell r="AD52">
            <v>502.15322329992182</v>
          </cell>
          <cell r="AG52">
            <v>151.62419046132294</v>
          </cell>
          <cell r="AH52">
            <v>140.48854704958148</v>
          </cell>
        </row>
        <row r="53">
          <cell r="AC53">
            <v>3.798152</v>
          </cell>
          <cell r="AD53">
            <v>4.826816</v>
          </cell>
          <cell r="AG53">
            <v>4.9659999999999815E-2</v>
          </cell>
          <cell r="AH53">
            <v>0.12030499999999922</v>
          </cell>
        </row>
        <row r="54">
          <cell r="AC54">
            <v>531.37101202713632</v>
          </cell>
          <cell r="AD54">
            <v>497.32640729992181</v>
          </cell>
          <cell r="AG54">
            <v>151.57453046132298</v>
          </cell>
          <cell r="AH54">
            <v>140.36824204958145</v>
          </cell>
        </row>
        <row r="55">
          <cell r="AC55">
            <v>476.87518325750301</v>
          </cell>
          <cell r="AD55">
            <v>466.62231638810101</v>
          </cell>
          <cell r="AG55">
            <v>118.15944022585501</v>
          </cell>
          <cell r="AH55">
            <v>116.90811731713302</v>
          </cell>
        </row>
        <row r="56">
          <cell r="AC56">
            <v>99.288226069064024</v>
          </cell>
          <cell r="AD56">
            <v>102.95685493013488</v>
          </cell>
          <cell r="AG56">
            <v>20.450145067291658</v>
          </cell>
          <cell r="AH56">
            <v>19.245022783430741</v>
          </cell>
        </row>
        <row r="57">
          <cell r="AC57">
            <v>377.58695718843899</v>
          </cell>
          <cell r="AD57">
            <v>363.6654614579661</v>
          </cell>
          <cell r="AG57">
            <v>97.70929515856335</v>
          </cell>
          <cell r="AH57">
            <v>97.663094533702235</v>
          </cell>
        </row>
        <row r="58">
          <cell r="AC58">
            <v>3.8853270000000006</v>
          </cell>
          <cell r="AD58">
            <v>4.6429860000000014</v>
          </cell>
          <cell r="AG58">
            <v>0.54631300000000138</v>
          </cell>
          <cell r="AH58">
            <v>0.65907200000000055</v>
          </cell>
        </row>
        <row r="59">
          <cell r="AC59">
            <v>373.70163018843903</v>
          </cell>
          <cell r="AD59">
            <v>359.02247545796615</v>
          </cell>
          <cell r="AG59">
            <v>97.162982158563409</v>
          </cell>
          <cell r="AH59">
            <v>97.004022533702255</v>
          </cell>
        </row>
        <row r="60">
          <cell r="AC60">
            <v>179.327627385673</v>
          </cell>
          <cell r="AD60">
            <v>170.912680695517</v>
          </cell>
          <cell r="AG60">
            <v>15.434212022760022</v>
          </cell>
          <cell r="AH60">
            <v>7.0920613601419973</v>
          </cell>
        </row>
        <row r="61">
          <cell r="AC61">
            <v>21.745420546975708</v>
          </cell>
          <cell r="AD61">
            <v>32.424918853561309</v>
          </cell>
          <cell r="AG61">
            <v>-38.480683279999539</v>
          </cell>
          <cell r="AH61">
            <v>-35.733391155737209</v>
          </cell>
        </row>
        <row r="62">
          <cell r="AC62">
            <v>157.58220683869729</v>
          </cell>
          <cell r="AD62">
            <v>138.48776184195569</v>
          </cell>
          <cell r="AG62">
            <v>53.914895302759561</v>
          </cell>
          <cell r="AH62">
            <v>42.825452515879206</v>
          </cell>
        </row>
        <row r="63">
          <cell r="AC63">
            <v>-8.7175000000000488E-2</v>
          </cell>
          <cell r="AD63">
            <v>0.18382999999999899</v>
          </cell>
          <cell r="AG63">
            <v>-0.49665300000000145</v>
          </cell>
          <cell r="AH63">
            <v>-0.53876700000000088</v>
          </cell>
        </row>
        <row r="64">
          <cell r="AC64">
            <v>157.66938183869729</v>
          </cell>
          <cell r="AD64">
            <v>138.30393184195569</v>
          </cell>
          <cell r="AG64">
            <v>54.41154830275957</v>
          </cell>
          <cell r="AH64">
            <v>43.364219515879199</v>
          </cell>
        </row>
        <row r="66">
          <cell r="AC66">
            <v>110.192803159823</v>
          </cell>
          <cell r="AD66">
            <v>98.581568655908995</v>
          </cell>
          <cell r="AG66">
            <v>5.9156186664639989</v>
          </cell>
          <cell r="AH66">
            <v>2.6338465715464991</v>
          </cell>
        </row>
        <row r="67">
          <cell r="AC67">
            <v>4.1364912669760514</v>
          </cell>
          <cell r="AD67">
            <v>10.533346143561147</v>
          </cell>
          <cell r="AG67">
            <v>-27.157973459999567</v>
          </cell>
          <cell r="AH67">
            <v>-22.418749085736785</v>
          </cell>
        </row>
        <row r="68">
          <cell r="AC68">
            <v>106.05631189284695</v>
          </cell>
          <cell r="AD68">
            <v>88.048222512347849</v>
          </cell>
          <cell r="AG68">
            <v>33.073592126463566</v>
          </cell>
          <cell r="AH68">
            <v>25.052595657283284</v>
          </cell>
        </row>
        <row r="69">
          <cell r="AC69">
            <v>-0.88895300000000099</v>
          </cell>
          <cell r="AD69">
            <v>-0.252917000000001</v>
          </cell>
          <cell r="AG69">
            <v>-0.85538400000000214</v>
          </cell>
          <cell r="AH69">
            <v>-0.5811100000000009</v>
          </cell>
        </row>
        <row r="70">
          <cell r="AC70">
            <v>106.94526489284695</v>
          </cell>
          <cell r="AD70">
            <v>88.301139512347845</v>
          </cell>
          <cell r="AG70">
            <v>33.928976126463567</v>
          </cell>
          <cell r="AH70">
            <v>25.633705657283279</v>
          </cell>
        </row>
        <row r="79">
          <cell r="AC79">
            <v>0</v>
          </cell>
          <cell r="AD79">
            <v>-4.9269956022132382</v>
          </cell>
          <cell r="AG79">
            <v>0</v>
          </cell>
          <cell r="AH79">
            <v>-4.9269956022132382</v>
          </cell>
        </row>
        <row r="80">
          <cell r="AD80">
            <v>-4.9269956022132382</v>
          </cell>
          <cell r="AG80">
            <v>0</v>
          </cell>
          <cell r="AH80">
            <v>-4.9269956022132382</v>
          </cell>
        </row>
        <row r="85">
          <cell r="AC85">
            <v>-7.7970185681752291</v>
          </cell>
          <cell r="AD85">
            <v>-14.257857915069604</v>
          </cell>
          <cell r="AG85">
            <v>-4.1003087196379893</v>
          </cell>
          <cell r="AH85">
            <v>-10.841768747331223</v>
          </cell>
        </row>
        <row r="86">
          <cell r="AC86">
            <v>-5.7862585681752297</v>
          </cell>
          <cell r="AD86">
            <v>-6.0911137468985697</v>
          </cell>
          <cell r="AG86">
            <v>-2.0895487196379898</v>
          </cell>
          <cell r="AH86">
            <v>-2.6750245791601897</v>
          </cell>
        </row>
        <row r="87">
          <cell r="AD87">
            <v>-7.4167441681710349</v>
          </cell>
          <cell r="AG87">
            <v>0</v>
          </cell>
          <cell r="AH87">
            <v>-7.4167441681710349</v>
          </cell>
        </row>
        <row r="88">
          <cell r="AD88">
            <v>-0.75</v>
          </cell>
          <cell r="AG88">
            <v>0</v>
          </cell>
          <cell r="AH88">
            <v>-0.75</v>
          </cell>
        </row>
        <row r="89">
          <cell r="AC89">
            <v>-2.0107599999999999</v>
          </cell>
          <cell r="AG89">
            <v>-2.0107599999999999</v>
          </cell>
          <cell r="AH89">
            <v>0</v>
          </cell>
        </row>
        <row r="91">
          <cell r="AC91">
            <v>0</v>
          </cell>
          <cell r="AD91">
            <v>-0.87236541704089354</v>
          </cell>
          <cell r="AG91">
            <v>0</v>
          </cell>
          <cell r="AH91">
            <v>-0.87236541704089354</v>
          </cell>
        </row>
        <row r="92">
          <cell r="AD92">
            <v>-0.87236541704089354</v>
          </cell>
          <cell r="AG92">
            <v>0</v>
          </cell>
          <cell r="AH92">
            <v>-0.87236541704089354</v>
          </cell>
        </row>
        <row r="106">
          <cell r="AC106">
            <v>656.20281064317601</v>
          </cell>
          <cell r="AD106">
            <v>632.60800148140481</v>
          </cell>
          <cell r="AG106">
            <v>133.59365224861506</v>
          </cell>
          <cell r="AH106">
            <v>119.07318307506182</v>
          </cell>
        </row>
        <row r="107">
          <cell r="AC107">
            <v>592.47257158654543</v>
          </cell>
          <cell r="AD107">
            <v>568.95013342332072</v>
          </cell>
          <cell r="AG107">
            <v>110.99569648818567</v>
          </cell>
          <cell r="AH107">
            <v>98.422172339721669</v>
          </cell>
        </row>
        <row r="108">
          <cell r="AC108">
            <v>347.65482391049943</v>
          </cell>
          <cell r="AD108">
            <v>303.67586060555919</v>
          </cell>
          <cell r="AG108">
            <v>125.96024405768645</v>
          </cell>
          <cell r="AH108">
            <v>105.10224153352462</v>
          </cell>
        </row>
        <row r="109">
          <cell r="AC109">
            <v>244.78572991047278</v>
          </cell>
          <cell r="AD109">
            <v>265.34424492882192</v>
          </cell>
          <cell r="AG109">
            <v>-14.992686242437827</v>
          </cell>
          <cell r="AH109">
            <v>-6.6387839625625134</v>
          </cell>
        </row>
        <row r="110">
          <cell r="AC110">
            <v>63.730239056630523</v>
          </cell>
          <cell r="AD110">
            <v>63.657868058084112</v>
          </cell>
          <cell r="AG110">
            <v>22.597955760429329</v>
          </cell>
          <cell r="AH110">
            <v>20.651010735340158</v>
          </cell>
        </row>
        <row r="117">
          <cell r="AC117">
            <v>647.94682018204219</v>
          </cell>
          <cell r="AD117">
            <v>632.60800148140481</v>
          </cell>
          <cell r="AG117">
            <v>143.4201713281866</v>
          </cell>
          <cell r="AH117">
            <v>119.07318307506182</v>
          </cell>
        </row>
        <row r="118">
          <cell r="AC118">
            <v>585.19675280703495</v>
          </cell>
          <cell r="AD118">
            <v>568.95013342332072</v>
          </cell>
          <cell r="AG118">
            <v>119.5202050987732</v>
          </cell>
          <cell r="AH118">
            <v>98.422172339721669</v>
          </cell>
        </row>
        <row r="119">
          <cell r="AC119">
            <v>339.13579378241968</v>
          </cell>
          <cell r="AD119">
            <v>303.67586060555919</v>
          </cell>
          <cell r="AG119">
            <v>133.92687876927164</v>
          </cell>
          <cell r="AH119">
            <v>105.10224153352462</v>
          </cell>
        </row>
        <row r="120">
          <cell r="AC120">
            <v>246.028941259042</v>
          </cell>
          <cell r="AD120">
            <v>265.34424492882192</v>
          </cell>
          <cell r="AG120">
            <v>-14.434812343435595</v>
          </cell>
          <cell r="AH120">
            <v>-6.6387839625625134</v>
          </cell>
        </row>
        <row r="121">
          <cell r="AC121">
            <v>62.750067375007255</v>
          </cell>
          <cell r="AD121">
            <v>63.657868058084112</v>
          </cell>
          <cell r="AG121">
            <v>23.89996622941343</v>
          </cell>
          <cell r="AH121">
            <v>20.651010735340158</v>
          </cell>
        </row>
        <row r="130">
          <cell r="AC130">
            <v>187.12464595384824</v>
          </cell>
          <cell r="AD130">
            <v>180.24354300837336</v>
          </cell>
          <cell r="AG130">
            <v>19.53452074239803</v>
          </cell>
          <cell r="AH130">
            <v>13.006834505259974</v>
          </cell>
        </row>
        <row r="131">
          <cell r="AC131">
            <v>167.00172305514064</v>
          </cell>
          <cell r="AD131">
            <v>158.15568286151864</v>
          </cell>
          <cell r="AG131">
            <v>8.8279379836515943</v>
          </cell>
          <cell r="AH131">
            <v>3.3635259213878612</v>
          </cell>
        </row>
        <row r="132">
          <cell r="AC132">
            <v>113.06413967313787</v>
          </cell>
          <cell r="AD132">
            <v>92.396091502909712</v>
          </cell>
          <cell r="AG132">
            <v>53.493343363173956</v>
          </cell>
          <cell r="AH132">
            <v>45.283373013692021</v>
          </cell>
        </row>
        <row r="133">
          <cell r="AC133">
            <v>53.923796206253812</v>
          </cell>
          <cell r="AD133">
            <v>65.760656125217579</v>
          </cell>
          <cell r="AG133">
            <v>-44.667315007747177</v>
          </cell>
          <cell r="AH133">
            <v>-41.986325222090471</v>
          </cell>
        </row>
        <row r="134">
          <cell r="AC134">
            <v>20.122922898707603</v>
          </cell>
          <cell r="AD134">
            <v>22.087860146854727</v>
          </cell>
          <cell r="AG134">
            <v>10.706582758746427</v>
          </cell>
          <cell r="AH134">
            <v>9.6433085838721073</v>
          </cell>
        </row>
        <row r="141">
          <cell r="AC141">
            <v>181.33676956618893</v>
          </cell>
          <cell r="AD141">
            <v>180.24354300837336</v>
          </cell>
          <cell r="AG141">
            <v>22.733579515724301</v>
          </cell>
          <cell r="AH141">
            <v>13.006834505259974</v>
          </cell>
        </row>
        <row r="142">
          <cell r="AC142">
            <v>161.4932639324316</v>
          </cell>
          <cell r="AD142">
            <v>158.15568286151864</v>
          </cell>
          <cell r="AG142">
            <v>11.424813315278016</v>
          </cell>
          <cell r="AH142">
            <v>3.3635259213878612</v>
          </cell>
        </row>
        <row r="143">
          <cell r="AC143">
            <v>108.02592755458575</v>
          </cell>
          <cell r="AD143">
            <v>92.396091502909712</v>
          </cell>
          <cell r="AG143">
            <v>56.536964776850915</v>
          </cell>
          <cell r="AH143">
            <v>45.283373013692021</v>
          </cell>
        </row>
        <row r="144">
          <cell r="AC144">
            <v>53.453549202096909</v>
          </cell>
          <cell r="AD144">
            <v>65.760656125217579</v>
          </cell>
          <cell r="AG144">
            <v>-45.114061089797687</v>
          </cell>
          <cell r="AH144">
            <v>-41.986325222090471</v>
          </cell>
        </row>
        <row r="145">
          <cell r="AC145">
            <v>19.843505633757339</v>
          </cell>
          <cell r="AD145">
            <v>22.087860146854727</v>
          </cell>
          <cell r="AG145">
            <v>11.308766200446286</v>
          </cell>
          <cell r="AH145">
            <v>9.6433085838721073</v>
          </cell>
        </row>
        <row r="156">
          <cell r="AC156">
            <v>179.327627385673</v>
          </cell>
          <cell r="AD156">
            <v>170.912680695517</v>
          </cell>
          <cell r="AG156">
            <v>15.434212022760022</v>
          </cell>
          <cell r="AH156">
            <v>7.0920613601419973</v>
          </cell>
        </row>
        <row r="157">
          <cell r="AC157">
            <v>7.7970185681752291</v>
          </cell>
          <cell r="AD157">
            <v>14.257857915069604</v>
          </cell>
          <cell r="AG157">
            <v>4.1003087196379893</v>
          </cell>
          <cell r="AH157">
            <v>10.841768747331223</v>
          </cell>
        </row>
        <row r="158">
          <cell r="AC158">
            <v>187.12464595384824</v>
          </cell>
          <cell r="AD158">
            <v>180.24354300837336</v>
          </cell>
          <cell r="AG158">
            <v>19.53452074239803</v>
          </cell>
          <cell r="AH158">
            <v>13.006834505259974</v>
          </cell>
        </row>
        <row r="159">
          <cell r="AC159">
            <v>52.997736901822101</v>
          </cell>
          <cell r="AD159">
            <v>55.151739341302878</v>
          </cell>
          <cell r="AG159">
            <v>13.385861291666401</v>
          </cell>
          <cell r="AH159">
            <v>13.624150253868478</v>
          </cell>
        </row>
        <row r="160">
          <cell r="AC160">
            <v>14.102087821749699</v>
          </cell>
          <cell r="AD160">
            <v>14.148493307232425</v>
          </cell>
          <cell r="AG160">
            <v>-4.8199472363274012</v>
          </cell>
          <cell r="AH160">
            <v>-11.729679626861472</v>
          </cell>
        </row>
        <row r="161">
          <cell r="AC161">
            <v>2.034999502278211</v>
          </cell>
          <cell r="AD161">
            <v>2.158513974031802</v>
          </cell>
          <cell r="AG161">
            <v>0.9526793009570369</v>
          </cell>
          <cell r="AH161">
            <v>1.2946397445475846</v>
          </cell>
        </row>
        <row r="162">
          <cell r="AC162">
            <v>117.98982172799823</v>
          </cell>
          <cell r="AD162">
            <v>108.78479638580626</v>
          </cell>
          <cell r="AG162">
            <v>10.015927386101993</v>
          </cell>
          <cell r="AH162">
            <v>9.8177241337053829</v>
          </cell>
        </row>
      </sheetData>
      <sheetData sheetId="3">
        <row r="10">
          <cell r="AC10">
            <v>280.66641862949501</v>
          </cell>
          <cell r="AD10">
            <v>301.051233708707</v>
          </cell>
          <cell r="AG10">
            <v>77.845381979145998</v>
          </cell>
          <cell r="AH10">
            <v>93.30436801573299</v>
          </cell>
        </row>
        <row r="11">
          <cell r="AC11">
            <v>179.88399075000001</v>
          </cell>
          <cell r="AD11">
            <v>183.04277776999999</v>
          </cell>
          <cell r="AG11">
            <v>50.849146560000008</v>
          </cell>
          <cell r="AH11">
            <v>53.541360689999976</v>
          </cell>
        </row>
        <row r="12">
          <cell r="AC12">
            <v>94.598845791987102</v>
          </cell>
          <cell r="AD12">
            <v>98.9159717881315</v>
          </cell>
          <cell r="AG12">
            <v>26.071861196864504</v>
          </cell>
          <cell r="AH12">
            <v>29.4804832476499</v>
          </cell>
        </row>
        <row r="13">
          <cell r="AC13">
            <v>15.769798508512199</v>
          </cell>
          <cell r="AD13">
            <v>28.723981215707802</v>
          </cell>
          <cell r="AG13">
            <v>3.8126414674832994</v>
          </cell>
          <cell r="AH13">
            <v>13.199449194946501</v>
          </cell>
        </row>
        <row r="14">
          <cell r="AC14">
            <v>-9.5862164210042984</v>
          </cell>
          <cell r="AD14">
            <v>-9.6314970651322867</v>
          </cell>
          <cell r="AG14">
            <v>-2.8882672452018134</v>
          </cell>
          <cell r="AH14">
            <v>-2.9169251168633874</v>
          </cell>
        </row>
        <row r="15">
          <cell r="AC15">
            <v>301.65998468746892</v>
          </cell>
          <cell r="AD15">
            <v>321.85204048669004</v>
          </cell>
          <cell r="AG15">
            <v>84.031457613740798</v>
          </cell>
          <cell r="AH15">
            <v>99.586915104370718</v>
          </cell>
        </row>
        <row r="16">
          <cell r="AC16">
            <v>46.556025480226296</v>
          </cell>
          <cell r="AD16">
            <v>46.673510881185237</v>
          </cell>
          <cell r="AG16">
            <v>18.089371214075818</v>
          </cell>
          <cell r="AH16">
            <v>22.540205619784057</v>
          </cell>
        </row>
        <row r="17">
          <cell r="AC17">
            <v>24.341100030000209</v>
          </cell>
          <cell r="AD17">
            <v>22.756132769999997</v>
          </cell>
          <cell r="AG17">
            <v>9.5739530800003099</v>
          </cell>
          <cell r="AH17">
            <v>10.668064629999998</v>
          </cell>
        </row>
        <row r="18">
          <cell r="AC18">
            <v>23.966127738731291</v>
          </cell>
          <cell r="AD18">
            <v>23.540231357085041</v>
          </cell>
          <cell r="AG18">
            <v>8.8416275897618135</v>
          </cell>
          <cell r="AH18">
            <v>10.34691961141036</v>
          </cell>
        </row>
        <row r="19">
          <cell r="AC19">
            <v>-1.7512022885049401</v>
          </cell>
          <cell r="AD19">
            <v>0.37714675410039095</v>
          </cell>
          <cell r="AG19">
            <v>-0.32620945568631998</v>
          </cell>
          <cell r="AH19">
            <v>1.5224931783738009</v>
          </cell>
        </row>
        <row r="20">
          <cell r="AC20">
            <v>-2.6467716907063732E-13</v>
          </cell>
          <cell r="AD20">
            <v>-1.9201307210892082E-13</v>
          </cell>
          <cell r="AG20">
            <v>1.4876988529977098E-14</v>
          </cell>
          <cell r="AH20">
            <v>2.7281999998978734E-3</v>
          </cell>
        </row>
        <row r="22">
          <cell r="AC22">
            <v>55.169938132991632</v>
          </cell>
          <cell r="AD22">
            <v>54.804604989568283</v>
          </cell>
          <cell r="AG22">
            <v>21.056850687877301</v>
          </cell>
          <cell r="AH22">
            <v>25.349824579119883</v>
          </cell>
        </row>
        <row r="23">
          <cell r="AC23">
            <v>36.151309646792249</v>
          </cell>
          <cell r="AD23">
            <v>34.036996296554435</v>
          </cell>
          <cell r="AG23">
            <v>14.823111574240905</v>
          </cell>
          <cell r="AH23">
            <v>18.187395795805465</v>
          </cell>
        </row>
        <row r="24">
          <cell r="AC24">
            <v>18.116442310000398</v>
          </cell>
          <cell r="AD24">
            <v>16.196975300000027</v>
          </cell>
          <cell r="AG24">
            <v>7.6190650500004971</v>
          </cell>
          <cell r="AH24">
            <v>9.3051792199999266</v>
          </cell>
        </row>
        <row r="25">
          <cell r="AC25">
            <v>20.271311028093955</v>
          </cell>
          <cell r="AD25">
            <v>20.011044197186138</v>
          </cell>
          <cell r="AG25">
            <v>7.5825649681658103</v>
          </cell>
          <cell r="AH25">
            <v>8.9508924931594898</v>
          </cell>
        </row>
        <row r="26">
          <cell r="AC26">
            <v>-2.4597437499387897</v>
          </cell>
          <cell r="AD26">
            <v>-2.1710232006316401</v>
          </cell>
          <cell r="AG26">
            <v>-0.60181850256194958</v>
          </cell>
          <cell r="AH26">
            <v>-7.1404117354139984E-2</v>
          </cell>
        </row>
        <row r="27">
          <cell r="AC27">
            <v>0.22330005863668667</v>
          </cell>
          <cell r="AD27">
            <v>-8.9706020389712648E-14</v>
          </cell>
          <cell r="AG27">
            <v>0.22330005863654678</v>
          </cell>
          <cell r="AH27">
            <v>2.7282000001882523E-3</v>
          </cell>
        </row>
        <row r="29">
          <cell r="AC29">
            <v>43.960166677546177</v>
          </cell>
          <cell r="AD29">
            <v>41.421410282466802</v>
          </cell>
          <cell r="AG29">
            <v>17.683792224934216</v>
          </cell>
          <cell r="AH29">
            <v>20.911878727351976</v>
          </cell>
        </row>
        <row r="33">
          <cell r="AC33">
            <v>282.20160269223396</v>
          </cell>
          <cell r="AD33">
            <v>301.051233708707</v>
          </cell>
          <cell r="AG33">
            <v>80.210140825587956</v>
          </cell>
          <cell r="AH33">
            <v>93.30436801573299</v>
          </cell>
        </row>
        <row r="34">
          <cell r="AC34">
            <v>179.88399075000001</v>
          </cell>
          <cell r="AD34">
            <v>183.04277776999999</v>
          </cell>
          <cell r="AG34">
            <v>50.849146560000008</v>
          </cell>
          <cell r="AH34">
            <v>53.541360689999976</v>
          </cell>
        </row>
        <row r="35">
          <cell r="AC35">
            <v>96.106795148562099</v>
          </cell>
          <cell r="AD35">
            <v>98.9159717881315</v>
          </cell>
          <cell r="AG35">
            <v>28.36959048396379</v>
          </cell>
          <cell r="AH35">
            <v>29.4804832476499</v>
          </cell>
        </row>
        <row r="36">
          <cell r="AC36">
            <v>15.824486118388849</v>
          </cell>
          <cell r="AD36">
            <v>28.723981215707802</v>
          </cell>
          <cell r="AG36">
            <v>3.9112952290182985</v>
          </cell>
          <cell r="AH36">
            <v>13.199449194946501</v>
          </cell>
        </row>
        <row r="37">
          <cell r="AC37">
            <v>-9.6136693247169962</v>
          </cell>
          <cell r="AD37">
            <v>-9.6314970651322867</v>
          </cell>
          <cell r="AG37">
            <v>-2.9198914473941411</v>
          </cell>
          <cell r="AH37">
            <v>-2.9169251168633874</v>
          </cell>
        </row>
        <row r="38">
          <cell r="AC38">
            <v>303.86642525676825</v>
          </cell>
          <cell r="AD38">
            <v>321.85204048669004</v>
          </cell>
          <cell r="AG38">
            <v>86.692615084167102</v>
          </cell>
          <cell r="AH38">
            <v>99.586915104370718</v>
          </cell>
        </row>
        <row r="39">
          <cell r="AC39">
            <v>47.256002858221713</v>
          </cell>
          <cell r="AD39">
            <v>46.673510881185237</v>
          </cell>
          <cell r="AG39">
            <v>18.744098396876996</v>
          </cell>
          <cell r="AH39">
            <v>22.540205619784057</v>
          </cell>
        </row>
        <row r="40">
          <cell r="AC40">
            <v>24.341100030000209</v>
          </cell>
          <cell r="AD40">
            <v>22.756132769999997</v>
          </cell>
          <cell r="AG40">
            <v>9.5739530800003099</v>
          </cell>
          <cell r="AH40">
            <v>10.668064629999998</v>
          </cell>
        </row>
        <row r="41">
          <cell r="AC41">
            <v>24.735154065006707</v>
          </cell>
          <cell r="AD41">
            <v>23.540231357085041</v>
          </cell>
          <cell r="AG41">
            <v>9.53808015404279</v>
          </cell>
          <cell r="AH41">
            <v>10.34691961141036</v>
          </cell>
        </row>
        <row r="42">
          <cell r="AC42">
            <v>-1.8202512367850601</v>
          </cell>
          <cell r="AD42">
            <v>0.37714675410039095</v>
          </cell>
          <cell r="AG42">
            <v>-0.36793483716616993</v>
          </cell>
          <cell r="AH42">
            <v>1.5224931783738009</v>
          </cell>
        </row>
        <row r="43">
          <cell r="AC43">
            <v>-1.4366285938649526E-13</v>
          </cell>
          <cell r="AD43">
            <v>-1.9201307210892082E-13</v>
          </cell>
          <cell r="AG43">
            <v>6.6391336872584361E-14</v>
          </cell>
          <cell r="AH43">
            <v>2.7281999998978734E-3</v>
          </cell>
        </row>
        <row r="45">
          <cell r="AC45">
            <v>56.112931045410512</v>
          </cell>
          <cell r="AD45">
            <v>54.804604989568283</v>
          </cell>
          <cell r="AG45">
            <v>21.845142360612421</v>
          </cell>
          <cell r="AH45">
            <v>25.349824579119883</v>
          </cell>
        </row>
        <row r="46">
          <cell r="AC46">
            <v>36.774043288510171</v>
          </cell>
          <cell r="AD46">
            <v>34.036996296554435</v>
          </cell>
          <cell r="AG46">
            <v>15.268409476632677</v>
          </cell>
          <cell r="AH46">
            <v>18.187395795805465</v>
          </cell>
        </row>
        <row r="47">
          <cell r="AC47">
            <v>18.116442310000398</v>
          </cell>
          <cell r="AD47">
            <v>16.196975300000027</v>
          </cell>
          <cell r="AG47">
            <v>7.6190650500004971</v>
          </cell>
          <cell r="AH47">
            <v>9.3051792199999266</v>
          </cell>
        </row>
        <row r="48">
          <cell r="AC48">
            <v>20.966524709487981</v>
          </cell>
          <cell r="AD48">
            <v>20.011044197186138</v>
          </cell>
          <cell r="AG48">
            <v>8.100241232595188</v>
          </cell>
          <cell r="AH48">
            <v>8.9508924931594898</v>
          </cell>
        </row>
        <row r="49">
          <cell r="AC49">
            <v>-2.5322237896147701</v>
          </cell>
          <cell r="AD49">
            <v>-2.1710232006316401</v>
          </cell>
          <cell r="AG49">
            <v>-0.67419686459943007</v>
          </cell>
          <cell r="AH49">
            <v>-7.1404117354139984E-2</v>
          </cell>
        </row>
        <row r="50">
          <cell r="AC50">
            <v>0.22330005863656233</v>
          </cell>
          <cell r="AD50">
            <v>-8.9706020389712648E-14</v>
          </cell>
          <cell r="AG50">
            <v>0.22330005863642155</v>
          </cell>
          <cell r="AH50">
            <v>2.7282000001882523E-3</v>
          </cell>
        </row>
        <row r="52">
          <cell r="AC52">
            <v>44.800272684101373</v>
          </cell>
          <cell r="AD52">
            <v>41.421410282466802</v>
          </cell>
          <cell r="AG52">
            <v>18.257312274094041</v>
          </cell>
          <cell r="AH52">
            <v>20.911878727351976</v>
          </cell>
        </row>
        <row r="56">
          <cell r="AC56">
            <v>280.66641862949501</v>
          </cell>
          <cell r="AD56">
            <v>301.051233708707</v>
          </cell>
          <cell r="AG56">
            <v>77.845381979145998</v>
          </cell>
          <cell r="AH56">
            <v>93.30436801573299</v>
          </cell>
        </row>
        <row r="57">
          <cell r="AC57">
            <v>250.19334435085901</v>
          </cell>
          <cell r="AD57">
            <v>255.74789221177301</v>
          </cell>
          <cell r="AG57">
            <v>70.415791125574003</v>
          </cell>
          <cell r="AH57">
            <v>74.883427512453011</v>
          </cell>
        </row>
        <row r="58">
          <cell r="AC58">
            <v>163.13597897</v>
          </cell>
          <cell r="AD58">
            <v>164.07663088999999</v>
          </cell>
          <cell r="AG58">
            <v>46.35689327</v>
          </cell>
          <cell r="AH58">
            <v>47.561349639999989</v>
          </cell>
        </row>
        <row r="59">
          <cell r="AC59">
            <v>87.19654315444231</v>
          </cell>
          <cell r="AD59">
            <v>91.876104689215197</v>
          </cell>
          <cell r="AG59">
            <v>24.09983040442981</v>
          </cell>
          <cell r="AH59">
            <v>27.497984059895202</v>
          </cell>
        </row>
        <row r="60">
          <cell r="AC60">
            <v>-0.13917777358329886</v>
          </cell>
          <cell r="AD60">
            <v>-0.20484336744218012</v>
          </cell>
          <cell r="AG60">
            <v>-4.0932548855806772E-2</v>
          </cell>
          <cell r="AH60">
            <v>-0.17590618744218034</v>
          </cell>
        </row>
        <row r="61">
          <cell r="AC61">
            <v>30.473074278636005</v>
          </cell>
          <cell r="AD61">
            <v>45.303341496933996</v>
          </cell>
          <cell r="AG61">
            <v>7.4295908535719946</v>
          </cell>
          <cell r="AH61">
            <v>18.420940503279979</v>
          </cell>
        </row>
        <row r="62">
          <cell r="AC62">
            <v>239.31410903682431</v>
          </cell>
          <cell r="AD62">
            <v>259.78499726268166</v>
          </cell>
          <cell r="AG62">
            <v>60.609970659846795</v>
          </cell>
          <cell r="AH62">
            <v>72.066652111017959</v>
          </cell>
        </row>
        <row r="63">
          <cell r="AC63">
            <v>158.21661185999977</v>
          </cell>
          <cell r="AD63">
            <v>162.10009509</v>
          </cell>
          <cell r="AG63">
            <v>41.282772249999681</v>
          </cell>
          <cell r="AH63">
            <v>43.042922430000004</v>
          </cell>
        </row>
        <row r="64">
          <cell r="AC64">
            <v>73.065937280811397</v>
          </cell>
          <cell r="AD64">
            <v>78.454072406206393</v>
          </cell>
          <cell r="AG64">
            <v>18.076614731879289</v>
          </cell>
          <cell r="AH64">
            <v>19.862054611308594</v>
          </cell>
        </row>
        <row r="65">
          <cell r="AC65">
            <v>17.617776317017139</v>
          </cell>
          <cell r="AD65">
            <v>28.862326831607412</v>
          </cell>
          <cell r="AG65">
            <v>4.1388509231696169</v>
          </cell>
          <cell r="AH65">
            <v>12.0813283865727</v>
          </cell>
        </row>
        <row r="66">
          <cell r="AC66">
            <v>-9.5862164210040035</v>
          </cell>
          <cell r="AD66">
            <v>-9.6314970651321445</v>
          </cell>
          <cell r="AG66">
            <v>-2.8882672452017921</v>
          </cell>
          <cell r="AH66">
            <v>-2.9196533168633394</v>
          </cell>
        </row>
        <row r="67">
          <cell r="AC67">
            <v>41.3523095926707</v>
          </cell>
          <cell r="AD67">
            <v>41.266236446025303</v>
          </cell>
          <cell r="AG67">
            <v>17.235411319299203</v>
          </cell>
          <cell r="AH67">
            <v>21.237715904715003</v>
          </cell>
        </row>
        <row r="68">
          <cell r="AC68">
            <v>21.667378890000208</v>
          </cell>
          <cell r="AD68">
            <v>20.942682679999997</v>
          </cell>
          <cell r="AG68">
            <v>9.5663743100003096</v>
          </cell>
          <cell r="AH68">
            <v>10.498438259999999</v>
          </cell>
        </row>
        <row r="69">
          <cell r="AC69">
            <v>21.532908511175702</v>
          </cell>
          <cell r="AD69">
            <v>20.4618993819251</v>
          </cell>
          <cell r="AG69">
            <v>7.9952464649852004</v>
          </cell>
          <cell r="AH69">
            <v>9.6184286363413012</v>
          </cell>
        </row>
        <row r="70">
          <cell r="AC70">
            <v>-1.8479778085049399</v>
          </cell>
          <cell r="AD70">
            <v>-0.13834561589960898</v>
          </cell>
          <cell r="AG70">
            <v>-0.32620945568631976</v>
          </cell>
          <cell r="AH70">
            <v>1.118120808373801</v>
          </cell>
        </row>
        <row r="71">
          <cell r="AC71">
            <v>-2.6978419498391304E-13</v>
          </cell>
          <cell r="AD71">
            <v>-1.854627562636324E-13</v>
          </cell>
          <cell r="AG71">
            <v>1.2878587085651816E-14</v>
          </cell>
          <cell r="AH71">
            <v>2.7281999999022033E-3</v>
          </cell>
        </row>
        <row r="73">
          <cell r="AC73">
            <v>28.415233759236664</v>
          </cell>
          <cell r="AD73">
            <v>28.198721861394493</v>
          </cell>
          <cell r="AG73">
            <v>12.653451202159697</v>
          </cell>
          <cell r="AH73">
            <v>16.453906080736402</v>
          </cell>
        </row>
        <row r="74">
          <cell r="AC74">
            <v>15.071721170000398</v>
          </cell>
          <cell r="AD74">
            <v>14.383525210000029</v>
          </cell>
          <cell r="AG74">
            <v>7.2404862800004981</v>
          </cell>
          <cell r="AH74">
            <v>9.1355528499999288</v>
          </cell>
        </row>
        <row r="75">
          <cell r="AC75">
            <v>15.661629859174965</v>
          </cell>
          <cell r="AD75">
            <v>16.932712222026197</v>
          </cell>
          <cell r="AG75">
            <v>5.7763814247211993</v>
          </cell>
          <cell r="AH75">
            <v>8.2224015180904271</v>
          </cell>
        </row>
        <row r="76">
          <cell r="AC76">
            <v>-2.5565192699387898</v>
          </cell>
          <cell r="AD76">
            <v>-3.1175155706316402</v>
          </cell>
          <cell r="AG76">
            <v>-0.60181850256194958</v>
          </cell>
          <cell r="AH76">
            <v>-0.9067764873541404</v>
          </cell>
        </row>
        <row r="77">
          <cell r="AC77">
            <v>0.23840200000008993</v>
          </cell>
          <cell r="AD77">
            <v>-9.2814644858663087E-14</v>
          </cell>
          <cell r="AG77">
            <v>0.2384019999999496</v>
          </cell>
          <cell r="AH77">
            <v>2.72820000018692E-3</v>
          </cell>
        </row>
        <row r="86">
          <cell r="AC86">
            <v>20.993566057973887</v>
          </cell>
          <cell r="AD86">
            <v>20.800806777983091</v>
          </cell>
          <cell r="AG86">
            <v>6.1860756345947863</v>
          </cell>
          <cell r="AH86">
            <v>6.2825470886377754</v>
          </cell>
        </row>
        <row r="87">
          <cell r="AC87">
            <v>20.993566057973887</v>
          </cell>
          <cell r="AD87">
            <v>20.800806777983091</v>
          </cell>
          <cell r="AG87">
            <v>6.1860756345947863</v>
          </cell>
          <cell r="AH87">
            <v>6.2825470886377754</v>
          </cell>
        </row>
        <row r="92">
          <cell r="AC92">
            <v>7.1759375176529625</v>
          </cell>
          <cell r="AD92">
            <v>7.2624382344401086</v>
          </cell>
          <cell r="AG92">
            <v>2.3646362660166975</v>
          </cell>
          <cell r="AH92">
            <v>2.1704384142328932</v>
          </cell>
        </row>
        <row r="93">
          <cell r="AC93">
            <v>-5.2037158875555898</v>
          </cell>
          <cell r="AD93">
            <v>-5.4072744351599402</v>
          </cell>
          <cell r="AG93">
            <v>-0.85395989477660983</v>
          </cell>
          <cell r="AH93">
            <v>-1.3024897150690604</v>
          </cell>
        </row>
        <row r="94">
          <cell r="AC94">
            <v>12.379653405208552</v>
          </cell>
          <cell r="AD94">
            <v>12.669712669600049</v>
          </cell>
          <cell r="AG94">
            <v>3.2185961607933073</v>
          </cell>
          <cell r="AH94">
            <v>3.4729281293019536</v>
          </cell>
        </row>
        <row r="98">
          <cell r="AC98">
            <v>-1.7273043779885833</v>
          </cell>
          <cell r="AD98">
            <v>0.74668012247067761</v>
          </cell>
          <cell r="AG98">
            <v>-1.2089016528795018</v>
          </cell>
          <cell r="AH98">
            <v>8.5136027789315172E-2</v>
          </cell>
        </row>
        <row r="99">
          <cell r="AC99">
            <v>0.80505562201141689</v>
          </cell>
          <cell r="AD99">
            <v>0.74668012247067761</v>
          </cell>
          <cell r="AG99">
            <v>0.10679882310817845</v>
          </cell>
          <cell r="AH99">
            <v>8.5136027789315172E-2</v>
          </cell>
        </row>
        <row r="100">
          <cell r="AC100">
            <v>-2.5323600000000002</v>
          </cell>
          <cell r="AG100">
            <v>-1.3157004759876803</v>
          </cell>
          <cell r="AH100">
            <v>0</v>
          </cell>
        </row>
        <row r="113">
          <cell r="AC113">
            <v>41.3523095926707</v>
          </cell>
          <cell r="AD113">
            <v>41.266236446025303</v>
          </cell>
          <cell r="AG113">
            <v>17.235411319299203</v>
          </cell>
          <cell r="AH113">
            <v>21.237715904715003</v>
          </cell>
        </row>
        <row r="115">
          <cell r="AC115">
            <v>5.2037158875555898</v>
          </cell>
          <cell r="AD115">
            <v>5.4072744351599402</v>
          </cell>
          <cell r="AG115">
            <v>0.85395989477660983</v>
          </cell>
          <cell r="AH115">
            <v>1.3024897150690604</v>
          </cell>
        </row>
        <row r="116">
          <cell r="AC116">
            <v>46.556025480226296</v>
          </cell>
          <cell r="AD116">
            <v>46.673510881185237</v>
          </cell>
          <cell r="AG116">
            <v>18.089371214075818</v>
          </cell>
          <cell r="AH116">
            <v>22.540205619784057</v>
          </cell>
        </row>
        <row r="117">
          <cell r="AC117">
            <v>8.231843585829159</v>
          </cell>
          <cell r="AD117">
            <v>7.7792299569322303</v>
          </cell>
          <cell r="AG117">
            <v>2.3015952381075593</v>
          </cell>
          <cell r="AH117">
            <v>2.0194383326983205</v>
          </cell>
        </row>
        <row r="118">
          <cell r="AC118">
            <v>2.3931647762419601</v>
          </cell>
          <cell r="AD118">
            <v>4.5812721876986497</v>
          </cell>
          <cell r="AG118">
            <v>1.0169662603640302</v>
          </cell>
          <cell r="AH118">
            <v>1.8893683812804296</v>
          </cell>
        </row>
        <row r="119">
          <cell r="AC119">
            <v>-0.22029252863707249</v>
          </cell>
          <cell r="AD119">
            <v>0.27601243999992242</v>
          </cell>
          <cell r="AG119">
            <v>-5.2301858636675691E-2</v>
          </cell>
          <cell r="AH119">
            <v>0.44400310999984249</v>
          </cell>
        </row>
        <row r="120">
          <cell r="AC120">
            <v>36.151309646792249</v>
          </cell>
          <cell r="AD120">
            <v>34.036996296554435</v>
          </cell>
          <cell r="AG120">
            <v>14.823111574240905</v>
          </cell>
          <cell r="AH120">
            <v>18.187395795805465</v>
          </cell>
        </row>
      </sheetData>
      <sheetData sheetId="4">
        <row r="10">
          <cell r="AC10">
            <v>220.57753956794599</v>
          </cell>
          <cell r="AD10">
            <v>239.895761417221</v>
          </cell>
          <cell r="AG10">
            <v>63.156584846401017</v>
          </cell>
          <cell r="AH10">
            <v>65.82335325206401</v>
          </cell>
        </row>
        <row r="11">
          <cell r="AC11">
            <v>105.500371537343</v>
          </cell>
          <cell r="AD11">
            <v>114.488005052273</v>
          </cell>
          <cell r="AG11">
            <v>33.829475100676802</v>
          </cell>
          <cell r="AH11">
            <v>35.541757500357093</v>
          </cell>
        </row>
        <row r="12">
          <cell r="AC12">
            <v>79.377383016503586</v>
          </cell>
          <cell r="AD12">
            <v>91.571737315916195</v>
          </cell>
          <cell r="AG12">
            <v>18.92936412787148</v>
          </cell>
          <cell r="AH12">
            <v>21.693308189232482</v>
          </cell>
        </row>
        <row r="13">
          <cell r="AC13">
            <v>35.699785014099405</v>
          </cell>
          <cell r="AD13">
            <v>33.836019049031805</v>
          </cell>
          <cell r="AG13">
            <v>10.397745617852735</v>
          </cell>
          <cell r="AH13">
            <v>8.5882875624744344</v>
          </cell>
        </row>
        <row r="14">
          <cell r="AC14">
            <v>12.478501778196689</v>
          </cell>
          <cell r="AD14">
            <v>16.813236612847511</v>
          </cell>
          <cell r="AG14">
            <v>7.9657712787232597</v>
          </cell>
          <cell r="AH14">
            <v>9.3261688933286067</v>
          </cell>
        </row>
        <row r="16">
          <cell r="AC16">
            <v>3.9001393101737487</v>
          </cell>
          <cell r="AD16">
            <v>8.6372472382343162</v>
          </cell>
          <cell r="AG16">
            <v>5.9759957155427799</v>
          </cell>
          <cell r="AH16">
            <v>6.8925943950085911</v>
          </cell>
        </row>
        <row r="22">
          <cell r="AC22">
            <v>220.57753956794599</v>
          </cell>
          <cell r="AD22">
            <v>239.895761417221</v>
          </cell>
          <cell r="AG22">
            <v>63.156584846401017</v>
          </cell>
          <cell r="AH22">
            <v>65.82335325206401</v>
          </cell>
        </row>
        <row r="23">
          <cell r="AC23">
            <v>105.500371537343</v>
          </cell>
          <cell r="AD23">
            <v>114.488005052273</v>
          </cell>
          <cell r="AG23">
            <v>33.829475100676802</v>
          </cell>
          <cell r="AH23">
            <v>35.541757500357093</v>
          </cell>
        </row>
        <row r="24">
          <cell r="AC24">
            <v>79.377383016503586</v>
          </cell>
          <cell r="AD24">
            <v>91.571737315916195</v>
          </cell>
          <cell r="AG24">
            <v>18.92936412787148</v>
          </cell>
          <cell r="AH24">
            <v>21.693308189232482</v>
          </cell>
        </row>
        <row r="25">
          <cell r="AC25">
            <v>35.699785014099405</v>
          </cell>
          <cell r="AD25">
            <v>33.836019049031805</v>
          </cell>
          <cell r="AG25">
            <v>10.397745617852735</v>
          </cell>
          <cell r="AH25">
            <v>8.5882875624744344</v>
          </cell>
        </row>
        <row r="26">
          <cell r="AC26">
            <v>216.61600923975644</v>
          </cell>
          <cell r="AD26">
            <v>224.660103138556</v>
          </cell>
          <cell r="AG26">
            <v>61.140241288959743</v>
          </cell>
          <cell r="AH26">
            <v>57.678712590225871</v>
          </cell>
        </row>
        <row r="27">
          <cell r="AC27">
            <v>3.9615303281895398</v>
          </cell>
          <cell r="AD27">
            <v>15.235658278664999</v>
          </cell>
          <cell r="AG27">
            <v>2.01634355744127</v>
          </cell>
          <cell r="AH27">
            <v>8.14464066183813</v>
          </cell>
        </row>
        <row r="29">
          <cell r="AC29">
            <v>-14.1045021398334</v>
          </cell>
          <cell r="AD29">
            <v>7.059668904051807</v>
          </cell>
          <cell r="AG29">
            <v>-9.4611020057392103</v>
          </cell>
          <cell r="AH29">
            <v>5.711066163518117</v>
          </cell>
        </row>
        <row r="38">
          <cell r="AC38">
            <v>0</v>
          </cell>
          <cell r="AD38">
            <v>0</v>
          </cell>
          <cell r="AG38">
            <v>0</v>
          </cell>
          <cell r="AH38">
            <v>0</v>
          </cell>
        </row>
        <row r="44">
          <cell r="AC44">
            <v>-8.5169714500071496</v>
          </cell>
          <cell r="AD44">
            <v>-1.57757833418251</v>
          </cell>
          <cell r="AG44">
            <v>-5.9494277212819897</v>
          </cell>
          <cell r="AH44">
            <v>-1.1815282314904749</v>
          </cell>
        </row>
        <row r="45">
          <cell r="AC45">
            <v>-8.5169714500071496</v>
          </cell>
          <cell r="AD45">
            <v>-1.57757833418251</v>
          </cell>
          <cell r="AG45">
            <v>-5.9494277212819897</v>
          </cell>
          <cell r="AH45">
            <v>-1.1815282314904749</v>
          </cell>
        </row>
        <row r="50">
          <cell r="AC50">
            <v>-8.7036700000000007</v>
          </cell>
          <cell r="AD50">
            <v>0</v>
          </cell>
          <cell r="AG50">
            <v>-8.7036700000000007</v>
          </cell>
          <cell r="AH50">
            <v>0</v>
          </cell>
        </row>
        <row r="51">
          <cell r="AC51">
            <v>-8.7036700000000007</v>
          </cell>
          <cell r="AG51">
            <v>-8.7036700000000007</v>
          </cell>
          <cell r="AH51">
            <v>0</v>
          </cell>
        </row>
        <row r="65">
          <cell r="AC65">
            <v>3.9615303281895398</v>
          </cell>
          <cell r="AD65">
            <v>15.235658278664999</v>
          </cell>
          <cell r="AG65">
            <v>2.01634355744127</v>
          </cell>
          <cell r="AH65">
            <v>8.14464066183813</v>
          </cell>
        </row>
        <row r="66">
          <cell r="AC66">
            <v>8.5169714500071496</v>
          </cell>
          <cell r="AD66">
            <v>1.57757833418251</v>
          </cell>
          <cell r="AG66">
            <v>5.9494277212819897</v>
          </cell>
          <cell r="AH66">
            <v>1.1815282314904749</v>
          </cell>
        </row>
        <row r="67">
          <cell r="AC67">
            <v>12.478501778196689</v>
          </cell>
          <cell r="AD67">
            <v>16.813236612847511</v>
          </cell>
          <cell r="AG67">
            <v>7.9657712787232597</v>
          </cell>
          <cell r="AH67">
            <v>9.3261688933286067</v>
          </cell>
        </row>
        <row r="68">
          <cell r="AC68">
            <v>7.4892728268243101</v>
          </cell>
          <cell r="AD68">
            <v>7.3977528600868201</v>
          </cell>
          <cell r="AG68">
            <v>1.8112460440453502</v>
          </cell>
          <cell r="AH68">
            <v>1.9362430429770701</v>
          </cell>
        </row>
        <row r="69">
          <cell r="AC69">
            <v>1.0885887354550901</v>
          </cell>
          <cell r="AD69">
            <v>0.67700622452636794</v>
          </cell>
          <cell r="AG69">
            <v>0.17965343503686904</v>
          </cell>
          <cell r="AH69">
            <v>0.42938193534294794</v>
          </cell>
        </row>
        <row r="70">
          <cell r="AC70">
            <v>5.0090574353967021E-4</v>
          </cell>
          <cell r="AD70">
            <v>0.10123029000000705</v>
          </cell>
          <cell r="AG70">
            <v>-1.1239159017393252E-3</v>
          </cell>
          <cell r="AH70">
            <v>6.7949519999997599E-2</v>
          </cell>
        </row>
        <row r="71">
          <cell r="AC71">
            <v>3.9001393101737487</v>
          </cell>
          <cell r="AD71">
            <v>8.6372472382343162</v>
          </cell>
          <cell r="AG71">
            <v>5.9759957155427799</v>
          </cell>
          <cell r="AH71">
            <v>6.8925943950085911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264A-6690-4CD7-A27A-A28D127888A5}">
  <dimension ref="A2:AU187"/>
  <sheetViews>
    <sheetView tabSelected="1" topLeftCell="C127" workbookViewId="0">
      <selection sqref="A1:B1048576"/>
    </sheetView>
  </sheetViews>
  <sheetFormatPr baseColWidth="10" defaultRowHeight="12.75"/>
  <cols>
    <col min="1" max="1" width="6.5703125" style="1" hidden="1" customWidth="1"/>
    <col min="2" max="2" width="0" style="1" hidden="1" customWidth="1"/>
    <col min="3" max="3" width="11.42578125" style="1"/>
    <col min="4" max="4" width="48.7109375" style="1" customWidth="1"/>
    <col min="5" max="5" width="1" style="1" customWidth="1"/>
    <col min="6" max="8" width="11.42578125" style="1"/>
    <col min="9" max="9" width="7.140625" style="1" customWidth="1"/>
    <col min="10" max="14" width="11.42578125" style="1"/>
    <col min="15" max="15" width="48.7109375" style="1" customWidth="1"/>
    <col min="16" max="16" width="0.85546875" style="1" customWidth="1"/>
    <col min="17" max="19" width="11.42578125" style="1"/>
    <col min="20" max="20" width="7.140625" style="1" customWidth="1"/>
    <col min="21" max="25" width="11.42578125" style="1"/>
    <col min="26" max="26" width="48.7109375" style="1" customWidth="1"/>
    <col min="27" max="27" width="0.85546875" style="1" customWidth="1"/>
    <col min="28" max="30" width="11.42578125" style="1"/>
    <col min="31" max="31" width="7.140625" style="1" customWidth="1"/>
    <col min="32" max="36" width="11.42578125" style="1"/>
    <col min="37" max="37" width="48.7109375" style="1" customWidth="1"/>
    <col min="38" max="38" width="0.85546875" style="1" customWidth="1"/>
    <col min="39" max="41" width="11.42578125" style="1"/>
    <col min="42" max="42" width="7.140625" style="1" customWidth="1"/>
    <col min="43" max="16384" width="11.42578125" style="1"/>
  </cols>
  <sheetData>
    <row r="2" spans="1:45" ht="13.5" thickBot="1"/>
    <row r="3" spans="1:45" ht="16.5" thickBot="1">
      <c r="A3" s="1" t="s">
        <v>0</v>
      </c>
      <c r="B3" s="2" t="s">
        <v>1</v>
      </c>
      <c r="D3" s="3" t="str">
        <f>+IF($B$3="esp","GRUPO","GROUP")</f>
        <v>GROUP</v>
      </c>
      <c r="E3" s="4"/>
      <c r="F3" s="4"/>
      <c r="G3" s="5"/>
      <c r="H3" s="4"/>
      <c r="J3" s="4"/>
      <c r="K3" s="5"/>
      <c r="L3" s="4"/>
      <c r="O3" s="3" t="str">
        <f>+IF($B$3="esp","EDUCACIÓN","EDUCATION")</f>
        <v>EDUCATION</v>
      </c>
      <c r="P3" s="4"/>
      <c r="Q3" s="4"/>
      <c r="R3" s="5"/>
      <c r="S3" s="4"/>
      <c r="U3" s="4"/>
      <c r="V3" s="5"/>
      <c r="W3" s="4"/>
      <c r="Z3" s="3" t="str">
        <f>+IF($B$3="esp","RADIO","RADIO")</f>
        <v>RADIO</v>
      </c>
      <c r="AA3" s="4"/>
      <c r="AB3" s="4"/>
      <c r="AC3" s="5"/>
      <c r="AD3" s="4"/>
      <c r="AF3" s="4"/>
      <c r="AG3" s="5"/>
      <c r="AH3" s="4"/>
      <c r="AK3" s="3" t="str">
        <f>+IF($B$3="esp","PRENSA","PRESS")</f>
        <v>PRESS</v>
      </c>
      <c r="AL3" s="4"/>
      <c r="AM3" s="4"/>
      <c r="AN3" s="5"/>
      <c r="AO3" s="4"/>
      <c r="AQ3" s="4"/>
      <c r="AR3" s="5"/>
      <c r="AS3" s="4"/>
    </row>
    <row r="4" spans="1:45">
      <c r="A4" s="1" t="s">
        <v>2</v>
      </c>
      <c r="B4" s="6" t="s">
        <v>3</v>
      </c>
    </row>
    <row r="5" spans="1:45">
      <c r="A5" s="1" t="s">
        <v>4</v>
      </c>
      <c r="B5" s="1" t="s">
        <v>1</v>
      </c>
    </row>
    <row r="6" spans="1:45">
      <c r="F6" s="7" t="str">
        <f>+[1]GRUPO!AC6</f>
        <v>ENERO - DICIEMBRE</v>
      </c>
      <c r="G6" s="8"/>
      <c r="H6" s="8"/>
      <c r="J6" s="7" t="str">
        <f>+[1]GRUPO!AG6</f>
        <v>OCTUBRE - DICIEMBRE</v>
      </c>
      <c r="K6" s="8"/>
      <c r="L6" s="8"/>
      <c r="Q6" s="7" t="str">
        <f>+$F$6</f>
        <v>ENERO - DICIEMBRE</v>
      </c>
      <c r="R6" s="8"/>
      <c r="S6" s="8"/>
      <c r="U6" s="7" t="str">
        <f>+$J$6</f>
        <v>OCTUBRE - DICIEMBRE</v>
      </c>
      <c r="V6" s="8"/>
      <c r="W6" s="8"/>
      <c r="AB6" s="7" t="str">
        <f>+$F$6</f>
        <v>ENERO - DICIEMBRE</v>
      </c>
      <c r="AC6" s="8"/>
      <c r="AD6" s="8"/>
      <c r="AF6" s="7" t="str">
        <f>+$J$6</f>
        <v>OCTUBRE - DICIEMBRE</v>
      </c>
      <c r="AG6" s="8"/>
      <c r="AH6" s="8"/>
      <c r="AM6" s="7" t="str">
        <f>+$F$6</f>
        <v>ENERO - DICIEMBRE</v>
      </c>
      <c r="AN6" s="8"/>
      <c r="AO6" s="8"/>
      <c r="AQ6" s="7" t="str">
        <f>+$J$6</f>
        <v>OCTUBRE - DICIEMBRE</v>
      </c>
      <c r="AR6" s="8"/>
      <c r="AS6" s="8"/>
    </row>
    <row r="8" spans="1:45">
      <c r="D8" s="9" t="str">
        <f>+IF($B$3="esp","Millones de €","€ Millions")</f>
        <v>€ Millions</v>
      </c>
      <c r="F8" s="10">
        <f>+[1]GRUPO!AC8</f>
        <v>2017</v>
      </c>
      <c r="G8" s="10">
        <f>+[1]GRUPO!AD8</f>
        <v>2016</v>
      </c>
      <c r="H8" s="10" t="str">
        <f>+IF($B$3="esp","Var.%","% Chg.")</f>
        <v>% Chg.</v>
      </c>
      <c r="J8" s="10">
        <f>+[1]GRUPO!AG8</f>
        <v>2017</v>
      </c>
      <c r="K8" s="10">
        <f>+[1]GRUPO!AH8</f>
        <v>2016</v>
      </c>
      <c r="L8" s="10" t="str">
        <f>+IF($B$3="esp","Var.%","% Chg.")</f>
        <v>% Chg.</v>
      </c>
      <c r="O8" s="9" t="str">
        <f>+IF($B$3="esp","Millones de €","€ Millions")</f>
        <v>€ Millions</v>
      </c>
      <c r="Q8" s="10">
        <v>2017</v>
      </c>
      <c r="R8" s="10">
        <v>2016</v>
      </c>
      <c r="S8" s="10" t="str">
        <f>+IF($B$3="esp","Var.%","% Chg.")</f>
        <v>% Chg.</v>
      </c>
      <c r="U8" s="10">
        <v>2017</v>
      </c>
      <c r="V8" s="10">
        <v>2016</v>
      </c>
      <c r="W8" s="10" t="str">
        <f>+IF($B$3="esp","Var.%","% Chg.")</f>
        <v>% Chg.</v>
      </c>
      <c r="Z8" s="9" t="str">
        <f>+IF($B$3="esp","Millones de €","€ Millions")</f>
        <v>€ Millions</v>
      </c>
      <c r="AB8" s="10">
        <v>2017</v>
      </c>
      <c r="AC8" s="10">
        <v>2016</v>
      </c>
      <c r="AD8" s="10" t="str">
        <f>+IF($B$3="esp","Var.%","% Chg.")</f>
        <v>% Chg.</v>
      </c>
      <c r="AF8" s="10">
        <v>2017</v>
      </c>
      <c r="AG8" s="10">
        <v>2016</v>
      </c>
      <c r="AH8" s="10" t="str">
        <f>+IF($B$3="esp","Var.%","% Chg.")</f>
        <v>% Chg.</v>
      </c>
      <c r="AK8" s="9" t="str">
        <f>+IF($B$3="esp","Millones de €","€ Millions")</f>
        <v>€ Millions</v>
      </c>
      <c r="AM8" s="10">
        <v>2017</v>
      </c>
      <c r="AN8" s="10">
        <v>2016</v>
      </c>
      <c r="AO8" s="10" t="str">
        <f>+IF($B$3="esp","Var.%","% Chg.")</f>
        <v>% Chg.</v>
      </c>
      <c r="AQ8" s="10">
        <v>2017</v>
      </c>
      <c r="AR8" s="10">
        <v>2016</v>
      </c>
      <c r="AS8" s="10" t="str">
        <f>+IF($B$3="esp","Var.%","% Chg.")</f>
        <v>% Chg.</v>
      </c>
    </row>
    <row r="9" spans="1:45" ht="15.75" customHeight="1">
      <c r="D9" s="11" t="str">
        <f>+IF($B$3="esp","Resultados de Explotación Ajustados","Operating Adjusted Results")</f>
        <v>Operating Adjusted Results</v>
      </c>
      <c r="F9" s="12"/>
      <c r="G9" s="12"/>
      <c r="H9" s="12"/>
      <c r="J9" s="12"/>
      <c r="K9" s="12"/>
      <c r="L9" s="12"/>
      <c r="O9" s="11" t="str">
        <f>+IF($B$3="esp","Resultados de Explotación Ajustados","Operating Adjusted Results")</f>
        <v>Operating Adjusted Results</v>
      </c>
      <c r="Q9" s="12"/>
      <c r="R9" s="12"/>
      <c r="S9" s="12"/>
      <c r="U9" s="12"/>
      <c r="V9" s="12"/>
      <c r="W9" s="12"/>
      <c r="Z9" s="11" t="str">
        <f>+IF($B$3="esp","Resultados de Explotación Ajustados","Operating Adjusted Results")</f>
        <v>Operating Adjusted Results</v>
      </c>
      <c r="AB9" s="12"/>
      <c r="AC9" s="12"/>
      <c r="AD9" s="12"/>
      <c r="AF9" s="12"/>
      <c r="AG9" s="12"/>
      <c r="AH9" s="12"/>
      <c r="AK9" s="11" t="str">
        <f>+IF($B$3="esp","Resultados de Explotación Ajustados","Operating Adjusted Results")</f>
        <v>Operating Adjusted Results</v>
      </c>
      <c r="AM9" s="12"/>
      <c r="AN9" s="12"/>
      <c r="AO9" s="12"/>
      <c r="AQ9" s="12"/>
      <c r="AR9" s="12"/>
      <c r="AS9" s="12"/>
    </row>
    <row r="10" spans="1:45" s="13" customFormat="1" ht="15" customHeight="1">
      <c r="D10" s="13" t="str">
        <f>+IF($B$3="esp","Ingresos de Explotación Ajustados","Operating Adjusted Revenues")</f>
        <v>Operating Adjusted Revenues</v>
      </c>
      <c r="F10" s="14">
        <f>+[1]GRUPO!AC10</f>
        <v>1166.0714728490698</v>
      </c>
      <c r="G10" s="15">
        <f>+[1]GRUPO!AD10</f>
        <v>1175.8870385656267</v>
      </c>
      <c r="H10" s="16">
        <f t="shared" ref="H10:H19" si="0">IF(G10=0,"---",IF(OR(ABS((F10-G10)/ABS(G10))&gt;2,(F10*G10)&lt;0),"---",IF(G10="0","---",((F10-G10)/ABS(G10))*100)))</f>
        <v>-0.83473712989728355</v>
      </c>
      <c r="J10" s="14">
        <f>+[1]GRUPO!AG10</f>
        <v>277.10391840573789</v>
      </c>
      <c r="K10" s="15">
        <f>+[1]GRUPO!AH10</f>
        <v>278.48066630740368</v>
      </c>
      <c r="L10" s="16">
        <f t="shared" ref="L10:L19" si="1">IF(K10=0,"---",IF(OR(ABS((J10-K10)/ABS(K10))&gt;2,(J10*K10)&lt;0),"---",IF(K10="0","---",((J10-K10)/ABS(K10))*100)))</f>
        <v>-0.49437827046350769</v>
      </c>
      <c r="O10" s="13" t="str">
        <f>+IF($B$3="esp","Ingresos de Explotación Ajustados","Operating Adjusted Revenues")</f>
        <v>Operating Adjusted Revenues</v>
      </c>
      <c r="Q10" s="14">
        <f>+[1]SANTILLANA!AC10</f>
        <v>656.20281064317601</v>
      </c>
      <c r="R10" s="15">
        <f>+[1]SANTILLANA!AD10</f>
        <v>632.60800148140481</v>
      </c>
      <c r="S10" s="16">
        <f t="shared" ref="S10:S19" si="2">IF(R10=0,"---",IF(OR(ABS((Q10-R10)/ABS(R10))&gt;2,(Q10*R10)&lt;0),"---",IF(R10="0","---",((Q10-R10)/ABS(R10))*100)))</f>
        <v>3.7297677402938683</v>
      </c>
      <c r="U10" s="14">
        <f>+[1]SANTILLANA!AG10</f>
        <v>133.59365224861506</v>
      </c>
      <c r="V10" s="15">
        <f>+[1]SANTILLANA!AH10</f>
        <v>119.07318307506182</v>
      </c>
      <c r="W10" s="16">
        <f t="shared" ref="W10:W19" si="3">IF(V10=0,"---",IF(OR(ABS((U10-V10)/ABS(V10))&gt;2,(U10*V10)&lt;0),"---",IF(V10="0","---",((U10-V10)/ABS(V10))*100)))</f>
        <v>12.194575469104381</v>
      </c>
      <c r="Z10" s="13" t="str">
        <f>+IF($B$3="esp","Ingresos de Explotación","Operating Revenues")</f>
        <v>Operating Revenues</v>
      </c>
      <c r="AB10" s="14">
        <f>+[1]RADIO!AC10</f>
        <v>280.66641862949501</v>
      </c>
      <c r="AC10" s="15">
        <f>+[1]RADIO!AD10</f>
        <v>301.051233708707</v>
      </c>
      <c r="AD10" s="16">
        <f t="shared" ref="AD10:AD15" si="4">IF(AC10=0,"---",IF(OR(ABS((AB10-AC10)/ABS(AC10))&gt;2,(AB10*AC10)&lt;0),"---",IF(AC10="0","---",((AB10-AC10)/ABS(AC10))*100)))</f>
        <v>-6.7712112746018684</v>
      </c>
      <c r="AF10" s="14">
        <f>+[1]RADIO!AG10</f>
        <v>77.845381979145998</v>
      </c>
      <c r="AG10" s="15">
        <f>+[1]RADIO!AH10</f>
        <v>93.30436801573299</v>
      </c>
      <c r="AH10" s="16">
        <f t="shared" ref="AH10:AH15" si="5">IF(AG10=0,"---",IF(OR(ABS((AF10-AG10)/ABS(AG10))&gt;2,(AF10*AG10)&lt;0),"---",IF(AG10="0","---",((AF10-AG10)/ABS(AG10))*100)))</f>
        <v>-16.568341188464291</v>
      </c>
      <c r="AK10" s="13" t="str">
        <f>+IF($B$3="esp","Ingresos de Explotación","OperatingRevenues")</f>
        <v>OperatingRevenues</v>
      </c>
      <c r="AM10" s="14">
        <f>+[1]NOTICIAS!AC10</f>
        <v>220.57753956794599</v>
      </c>
      <c r="AN10" s="15">
        <f>+[1]NOTICIAS!AD10</f>
        <v>239.895761417221</v>
      </c>
      <c r="AO10" s="16">
        <f>IF(AN10=0,"---",IF(OR(ABS((AM10-AN10)/ABS(AN10))&gt;2,(AM10*AN10)&lt;0),"---",IF(AN10="0","---",((AM10-AN10)/ABS(AN10))*100)))</f>
        <v>-8.0527566369449985</v>
      </c>
      <c r="AQ10" s="14">
        <f>+[1]NOTICIAS!AG10</f>
        <v>63.156584846401017</v>
      </c>
      <c r="AR10" s="15">
        <f>+[1]NOTICIAS!AH10</f>
        <v>65.82335325206401</v>
      </c>
      <c r="AS10" s="16">
        <f>IF(AR10=0,"---",IF(OR(ABS((AQ10-AR10)/ABS(AR10))&gt;2,(AQ10*AR10)&lt;0),"---",IF(AR10="0","---",((AQ10-AR10)/ABS(AR10))*100)))</f>
        <v>-4.0514016286147969</v>
      </c>
    </row>
    <row r="11" spans="1:45" ht="15" customHeight="1">
      <c r="D11" s="17" t="str">
        <f>+IF($B$3="esp","España","Spain")</f>
        <v>Spain</v>
      </c>
      <c r="F11" s="18">
        <f>+[1]GRUPO!AC11</f>
        <v>521.25139129387549</v>
      </c>
      <c r="G11" s="19">
        <f>+[1]GRUPO!AD11</f>
        <v>558.48166810131306</v>
      </c>
      <c r="H11" s="20">
        <f t="shared" si="0"/>
        <v>-6.6663382047991782</v>
      </c>
      <c r="J11" s="18">
        <f>+[1]GRUPO!AG11</f>
        <v>95.221099436872748</v>
      </c>
      <c r="K11" s="19">
        <f>+[1]GRUPO!AH11</f>
        <v>103.60436128523401</v>
      </c>
      <c r="L11" s="20">
        <f t="shared" si="1"/>
        <v>-8.0916109557214781</v>
      </c>
      <c r="O11" s="17" t="str">
        <f>+IF($B$3="esp","España","Spain")</f>
        <v>Spain</v>
      </c>
      <c r="Q11" s="18">
        <f>+[1]SANTILLANA!AC11</f>
        <v>121.03364661603973</v>
      </c>
      <c r="R11" s="19">
        <f>+[1]SANTILLANA!AD11</f>
        <v>135.38177378369625</v>
      </c>
      <c r="S11" s="20">
        <f t="shared" si="2"/>
        <v>-10.598270924253786</v>
      </c>
      <c r="U11" s="18">
        <f>+[1]SANTILLANA!AG11</f>
        <v>-18.030538212707881</v>
      </c>
      <c r="V11" s="19">
        <f>+[1]SANTILLANA!AH11</f>
        <v>-16.488368372306411</v>
      </c>
      <c r="W11" s="20">
        <f t="shared" si="3"/>
        <v>-9.3530773062522865</v>
      </c>
      <c r="Z11" s="17" t="str">
        <f>+IF($B$3="esp","España","Spain")</f>
        <v>Spain</v>
      </c>
      <c r="AB11" s="18">
        <f>+[1]RADIO!AC11</f>
        <v>179.88399075000001</v>
      </c>
      <c r="AC11" s="19">
        <f>+[1]RADIO!AD11</f>
        <v>183.04277776999999</v>
      </c>
      <c r="AD11" s="20">
        <f t="shared" si="4"/>
        <v>-1.7257097267006676</v>
      </c>
      <c r="AF11" s="18">
        <f>+[1]RADIO!AG11</f>
        <v>50.849146560000008</v>
      </c>
      <c r="AG11" s="19">
        <f>+[1]RADIO!AH11</f>
        <v>53.541360689999976</v>
      </c>
      <c r="AH11" s="20">
        <f t="shared" si="5"/>
        <v>-5.0282885890548501</v>
      </c>
      <c r="AK11" s="21" t="str">
        <f>+IF($B$3="esp","Publicidad","Advertising")</f>
        <v>Advertising</v>
      </c>
      <c r="AL11" s="22"/>
      <c r="AM11" s="23">
        <f>+[1]NOTICIAS!AC11</f>
        <v>105.500371537343</v>
      </c>
      <c r="AN11" s="24">
        <f>+[1]NOTICIAS!AD11</f>
        <v>114.488005052273</v>
      </c>
      <c r="AO11" s="25">
        <f>IF(AN11=0,"---",IF(OR(ABS((AM11-AN11)/ABS(AN11))&gt;2,(AM11*AN11)&lt;0),"---",IF(AN11="0","---",((AM11-AN11)/ABS(AN11))*100)))</f>
        <v>-7.8502839758858727</v>
      </c>
      <c r="AQ11" s="23">
        <f>+[1]NOTICIAS!AG11</f>
        <v>33.829475100676802</v>
      </c>
      <c r="AR11" s="24">
        <f>+[1]NOTICIAS!AH11</f>
        <v>35.541757500357093</v>
      </c>
      <c r="AS11" s="25">
        <f>IF(AR11=0,"---",IF(OR(ABS((AQ11-AR11)/ABS(AR11))&gt;2,(AQ11*AR11)&lt;0),"---",IF(AR11="0","---",((AQ11-AR11)/ABS(AR11))*100)))</f>
        <v>-4.8176638413648716</v>
      </c>
    </row>
    <row r="12" spans="1:45" ht="15" customHeight="1">
      <c r="D12" s="17" t="str">
        <f>+IF($B$3="esp","Internacional","International")</f>
        <v>International</v>
      </c>
      <c r="F12" s="18">
        <f>+[1]GRUPO!AC12</f>
        <v>644.82008155519429</v>
      </c>
      <c r="G12" s="19">
        <f>+[1]GRUPO!AD12</f>
        <v>617.40537046431359</v>
      </c>
      <c r="H12" s="20">
        <f t="shared" si="0"/>
        <v>4.4403097871117865</v>
      </c>
      <c r="J12" s="18">
        <f>+[1]GRUPO!AG12</f>
        <v>181.88281896886508</v>
      </c>
      <c r="K12" s="19">
        <f>+[1]GRUPO!AH12</f>
        <v>174.87630502216967</v>
      </c>
      <c r="L12" s="20">
        <f t="shared" si="1"/>
        <v>4.0065542017297116</v>
      </c>
      <c r="O12" s="17" t="str">
        <f>+IF($B$3="esp","Internacional","International")</f>
        <v>International</v>
      </c>
      <c r="Q12" s="18">
        <f>+[1]SANTILLANA!AC12</f>
        <v>535.16916402713628</v>
      </c>
      <c r="R12" s="19">
        <f>+[1]SANTILLANA!AD12</f>
        <v>497.22622769770857</v>
      </c>
      <c r="S12" s="20">
        <f t="shared" si="2"/>
        <v>7.6309201357124152</v>
      </c>
      <c r="U12" s="18">
        <f>+[1]SANTILLANA!AG12</f>
        <v>151.62419046132294</v>
      </c>
      <c r="V12" s="19">
        <f>+[1]SANTILLANA!AH12</f>
        <v>135.56155144736823</v>
      </c>
      <c r="W12" s="20">
        <f t="shared" si="3"/>
        <v>11.848963693950514</v>
      </c>
      <c r="Z12" s="17" t="str">
        <f>+IF($B$3="esp","Latam","Latam")</f>
        <v>Latam</v>
      </c>
      <c r="AB12" s="18">
        <f>+[1]RADIO!AC12</f>
        <v>94.598845791987102</v>
      </c>
      <c r="AC12" s="19">
        <f>+[1]RADIO!AD12</f>
        <v>98.9159717881315</v>
      </c>
      <c r="AD12" s="20">
        <f t="shared" si="4"/>
        <v>-4.364437732453629</v>
      </c>
      <c r="AF12" s="18">
        <f>+[1]RADIO!AG12</f>
        <v>26.071861196864504</v>
      </c>
      <c r="AG12" s="19">
        <f>+[1]RADIO!AH12</f>
        <v>29.4804832476499</v>
      </c>
      <c r="AH12" s="20">
        <f t="shared" si="5"/>
        <v>-11.562300462144297</v>
      </c>
      <c r="AK12" s="21" t="str">
        <f>+IF($B$3="esp","Circulación","Circulation")</f>
        <v>Circulation</v>
      </c>
      <c r="AL12" s="22"/>
      <c r="AM12" s="23">
        <f>+[1]NOTICIAS!AC12</f>
        <v>79.377383016503586</v>
      </c>
      <c r="AN12" s="24">
        <f>+[1]NOTICIAS!AD12</f>
        <v>91.571737315916195</v>
      </c>
      <c r="AO12" s="25">
        <f>IF(AN12=0,"---",IF(OR(ABS((AM12-AN12)/ABS(AN12))&gt;2,(AM12*AN12)&lt;0),"---",IF(AN12="0","---",((AM12-AN12)/ABS(AN12))*100)))</f>
        <v>-13.316722666670531</v>
      </c>
      <c r="AQ12" s="23">
        <f>+[1]NOTICIAS!AG12</f>
        <v>18.92936412787148</v>
      </c>
      <c r="AR12" s="24">
        <f>+[1]NOTICIAS!AH12</f>
        <v>21.693308189232482</v>
      </c>
      <c r="AS12" s="25">
        <f>IF(AR12=0,"---",IF(OR(ABS((AQ12-AR12)/ABS(AR12))&gt;2,(AQ12*AR12)&lt;0),"---",IF(AR12="0","---",((AQ12-AR12)/ABS(AR12))*100)))</f>
        <v>-12.740998455610802</v>
      </c>
    </row>
    <row r="13" spans="1:45" ht="15" customHeight="1">
      <c r="D13" s="26" t="str">
        <f>+IF($B$3="esp","Portugal","Portugal")</f>
        <v>Portugal</v>
      </c>
      <c r="F13" s="18">
        <f>+[1]GRUPO!AC13</f>
        <v>3.798152</v>
      </c>
      <c r="G13" s="19">
        <f>+[1]GRUPO!AD13</f>
        <v>4.826816</v>
      </c>
      <c r="H13" s="20">
        <f t="shared" si="0"/>
        <v>-21.311440088041476</v>
      </c>
      <c r="J13" s="18">
        <f>+[1]GRUPO!AG13</f>
        <v>4.9659999999999815E-2</v>
      </c>
      <c r="K13" s="19">
        <f>+[1]GRUPO!AH13</f>
        <v>0.12030499999999922</v>
      </c>
      <c r="L13" s="20">
        <f t="shared" si="1"/>
        <v>-58.721582644112772</v>
      </c>
      <c r="O13" s="26" t="str">
        <f>+IF($B$3="esp","Portugal","Portugal")</f>
        <v>Portugal</v>
      </c>
      <c r="Q13" s="18">
        <f>+[1]SANTILLANA!AC13</f>
        <v>3.798152</v>
      </c>
      <c r="R13" s="19">
        <f>+[1]SANTILLANA!AD13</f>
        <v>4.826816</v>
      </c>
      <c r="S13" s="20">
        <f t="shared" si="2"/>
        <v>-21.311440088041476</v>
      </c>
      <c r="U13" s="18">
        <f>+[1]SANTILLANA!AG13</f>
        <v>4.9659999999999815E-2</v>
      </c>
      <c r="V13" s="19">
        <f>+[1]SANTILLANA!AH13</f>
        <v>0.12030499999999922</v>
      </c>
      <c r="W13" s="20">
        <f t="shared" si="3"/>
        <v>-58.721582644112772</v>
      </c>
      <c r="Z13" s="17" t="str">
        <f>+IF($B$3="esp","Música","Music")</f>
        <v>Music</v>
      </c>
      <c r="AB13" s="18">
        <f>+[1]RADIO!AC13</f>
        <v>15.769798508512199</v>
      </c>
      <c r="AC13" s="19">
        <f>+[1]RADIO!AD13</f>
        <v>28.723981215707802</v>
      </c>
      <c r="AD13" s="20">
        <f t="shared" si="4"/>
        <v>-45.098841312817619</v>
      </c>
      <c r="AF13" s="18">
        <f>+[1]RADIO!AG13</f>
        <v>3.8126414674832994</v>
      </c>
      <c r="AG13" s="19">
        <f>+[1]RADIO!AH13</f>
        <v>13.199449194946501</v>
      </c>
      <c r="AH13" s="20">
        <f t="shared" si="5"/>
        <v>-71.115147221878047</v>
      </c>
      <c r="AK13" s="21" t="str">
        <f>+IF($B$3="esp","Promociones y Otros","Add-ons and Others")</f>
        <v>Add-ons and Others</v>
      </c>
      <c r="AL13" s="22"/>
      <c r="AM13" s="23">
        <f>+[1]NOTICIAS!AC13</f>
        <v>35.699785014099405</v>
      </c>
      <c r="AN13" s="24">
        <f>+[1]NOTICIAS!AD13</f>
        <v>33.836019049031805</v>
      </c>
      <c r="AO13" s="25">
        <f>IF(AN13=0,"---",IF(OR(ABS((AM13-AN13)/ABS(AN13))&gt;2,(AM13*AN13)&lt;0),"---",IF(AN13="0","---",((AM13-AN13)/ABS(AN13))*100)))</f>
        <v>5.5082306295158867</v>
      </c>
      <c r="AQ13" s="23">
        <f>+[1]NOTICIAS!AG13</f>
        <v>10.397745617852735</v>
      </c>
      <c r="AR13" s="24">
        <f>+[1]NOTICIAS!AH13</f>
        <v>8.5882875624744344</v>
      </c>
      <c r="AS13" s="25">
        <f>IF(AR13=0,"---",IF(OR(ABS((AQ13-AR13)/ABS(AR13))&gt;2,(AQ13*AR13)&lt;0),"---",IF(AR13="0","---",((AQ13-AR13)/ABS(AR13))*100)))</f>
        <v>21.068903925440573</v>
      </c>
    </row>
    <row r="14" spans="1:45" ht="15" customHeight="1">
      <c r="D14" s="26" t="str">
        <f>+IF($B$3="esp","Latam","Latam")</f>
        <v>Latam</v>
      </c>
      <c r="F14" s="18">
        <f>+[1]GRUPO!AC14</f>
        <v>641.02192955519433</v>
      </c>
      <c r="G14" s="19">
        <f>+[1]GRUPO!AD14</f>
        <v>612.57855446431358</v>
      </c>
      <c r="H14" s="20">
        <f t="shared" si="0"/>
        <v>4.643220838142768</v>
      </c>
      <c r="J14" s="18">
        <f>+[1]GRUPO!AG14</f>
        <v>181.83315896886518</v>
      </c>
      <c r="K14" s="19">
        <f>+[1]GRUPO!AH14</f>
        <v>174.75600002216964</v>
      </c>
      <c r="L14" s="20">
        <f t="shared" si="1"/>
        <v>4.0497373170579092</v>
      </c>
      <c r="O14" s="26" t="str">
        <f>+IF($B$3="esp","Latam","Latam")</f>
        <v>Latam</v>
      </c>
      <c r="Q14" s="18">
        <f>+[1]SANTILLANA!AC14</f>
        <v>531.37101202713632</v>
      </c>
      <c r="R14" s="19">
        <f>+[1]SANTILLANA!AD14</f>
        <v>492.39941169770856</v>
      </c>
      <c r="S14" s="20">
        <f t="shared" si="2"/>
        <v>7.91463178135416</v>
      </c>
      <c r="U14" s="18">
        <f>+[1]SANTILLANA!AG14</f>
        <v>151.57453046132298</v>
      </c>
      <c r="V14" s="19">
        <f>+[1]SANTILLANA!AH14</f>
        <v>135.4412464473682</v>
      </c>
      <c r="W14" s="20">
        <f t="shared" si="3"/>
        <v>11.91164762369792</v>
      </c>
      <c r="Z14" s="17" t="str">
        <f>+IF($B$3="esp","Ajustes y Otros","Adjustments &amp; others")</f>
        <v>Adjustments &amp; others</v>
      </c>
      <c r="AB14" s="18">
        <f>+[1]RADIO!AC14</f>
        <v>-9.5862164210042984</v>
      </c>
      <c r="AC14" s="19">
        <f>+[1]RADIO!AD14</f>
        <v>-9.6314970651322867</v>
      </c>
      <c r="AD14" s="20">
        <f t="shared" si="4"/>
        <v>0.47013090303388205</v>
      </c>
      <c r="AF14" s="18">
        <f>+[1]RADIO!AG14</f>
        <v>-2.8882672452018134</v>
      </c>
      <c r="AG14" s="19">
        <f>+[1]RADIO!AH14</f>
        <v>-2.9169251168633874</v>
      </c>
      <c r="AH14" s="20">
        <f t="shared" si="5"/>
        <v>0.98246854181811138</v>
      </c>
      <c r="AK14" s="13" t="str">
        <f>+IF($B$3="esp","EBITDA Ajustado","Adjusted EBITDA")</f>
        <v>Adjusted EBITDA</v>
      </c>
      <c r="AL14" s="13"/>
      <c r="AM14" s="14">
        <f>+[1]NOTICIAS!AC14</f>
        <v>12.478501778196689</v>
      </c>
      <c r="AN14" s="15">
        <f>+[1]NOTICIAS!AD14</f>
        <v>16.813236612847511</v>
      </c>
      <c r="AO14" s="16">
        <f>IF(AN14=0,"---",IF(OR(ABS((AM14-AN14)/ABS(AN14))&gt;2,(AM14*AN14)&lt;0),"---",IF(AN14="0","---",((AM14-AN14)/ABS(AN14))*100)))</f>
        <v>-25.781679842288774</v>
      </c>
      <c r="AQ14" s="14">
        <f>+[1]NOTICIAS!AG14</f>
        <v>7.9657712787232597</v>
      </c>
      <c r="AR14" s="15">
        <f>+[1]NOTICIAS!AH14</f>
        <v>9.3261688933286067</v>
      </c>
      <c r="AS14" s="16">
        <f>IF(AR14=0,"---",IF(OR(ABS((AQ14-AR14)/ABS(AR14))&gt;2,(AQ14*AR14)&lt;0),"---",IF(AR14="0","---",((AQ14-AR14)/ABS(AR14))*100)))</f>
        <v>-14.586885892432159</v>
      </c>
    </row>
    <row r="15" spans="1:45" s="13" customFormat="1" ht="15" customHeight="1">
      <c r="D15" s="13" t="str">
        <f>+IF($B$3="esp","EBITDA Ajustado","Adjusted EBITDA")</f>
        <v>Adjusted EBITDA</v>
      </c>
      <c r="F15" s="14">
        <f>+[1]GRUPO!AC15</f>
        <v>230.26007411471201</v>
      </c>
      <c r="G15" s="15">
        <f>+[1]GRUPO!AD15</f>
        <v>229.62580790043469</v>
      </c>
      <c r="H15" s="16">
        <f t="shared" si="0"/>
        <v>0.27621730330605282</v>
      </c>
      <c r="J15" s="14">
        <f>+[1]GRUPO!AG15</f>
        <v>41.018252588973098</v>
      </c>
      <c r="K15" s="15">
        <f>+[1]GRUPO!AH15</f>
        <v>44.533968698237999</v>
      </c>
      <c r="L15" s="16">
        <f t="shared" si="1"/>
        <v>-7.8944594700000339</v>
      </c>
      <c r="O15" s="13" t="str">
        <f>+IF($B$3="esp","EBITDA Ajustado","Adjusted EBITDA")</f>
        <v>Adjusted EBITDA</v>
      </c>
      <c r="Q15" s="14">
        <f>+[1]SANTILLANA!AC15</f>
        <v>187.12464595384824</v>
      </c>
      <c r="R15" s="15">
        <f>+[1]SANTILLANA!AD15</f>
        <v>180.24354300837336</v>
      </c>
      <c r="S15" s="16">
        <f t="shared" si="2"/>
        <v>3.8176695989354865</v>
      </c>
      <c r="U15" s="14">
        <f>+[1]SANTILLANA!AG15</f>
        <v>19.53452074239803</v>
      </c>
      <c r="V15" s="15">
        <f>+[1]SANTILLANA!AH15</f>
        <v>13.006834505259974</v>
      </c>
      <c r="W15" s="16">
        <f t="shared" si="3"/>
        <v>50.186586401927805</v>
      </c>
      <c r="Z15" s="13" t="str">
        <f>+IF($B$3="esp","Ingresos de Explotación con MX y CR","Operating Revenues w/MX&amp;CR")</f>
        <v>Operating Revenues w/MX&amp;CR</v>
      </c>
      <c r="AB15" s="14">
        <f>+[1]RADIO!AC15</f>
        <v>301.65998468746892</v>
      </c>
      <c r="AC15" s="15">
        <f>+[1]RADIO!AD15</f>
        <v>321.85204048669004</v>
      </c>
      <c r="AD15" s="16">
        <f t="shared" si="4"/>
        <v>-6.2737075609921922</v>
      </c>
      <c r="AF15" s="14">
        <f>+[1]RADIO!AG15</f>
        <v>84.031457613740798</v>
      </c>
      <c r="AG15" s="15">
        <f>+[1]RADIO!AH15</f>
        <v>99.586915104370718</v>
      </c>
      <c r="AH15" s="16">
        <f t="shared" si="5"/>
        <v>-15.619981273972824</v>
      </c>
      <c r="AK15" s="21" t="str">
        <f>+IF($B$3="esp","Margen EBITDA Ajustado","Adjusted EBITDA Margin")</f>
        <v>Adjusted EBITDA Margin</v>
      </c>
      <c r="AL15" s="22"/>
      <c r="AM15" s="27">
        <f>+AM14/AM10</f>
        <v>5.6571951081868202E-2</v>
      </c>
      <c r="AN15" s="28">
        <f>+AN14/AN10</f>
        <v>7.0085592648743505E-2</v>
      </c>
      <c r="AO15" s="29"/>
      <c r="AQ15" s="27">
        <f>+AQ14/AQ10</f>
        <v>0.12612732778531785</v>
      </c>
      <c r="AR15" s="28">
        <f>+AR14/AR10</f>
        <v>0.14168480383572934</v>
      </c>
      <c r="AS15" s="29"/>
    </row>
    <row r="16" spans="1:45" ht="15" customHeight="1">
      <c r="D16" s="17" t="str">
        <f>+IF($B$3="esp","España","Spain")</f>
        <v>Spain</v>
      </c>
      <c r="F16" s="18">
        <f>+[1]GRUPO!AC16</f>
        <v>49.884814593137563</v>
      </c>
      <c r="G16" s="19">
        <f>+[1]GRUPO!AD16</f>
        <v>61.032990543562221</v>
      </c>
      <c r="H16" s="20">
        <f t="shared" si="0"/>
        <v>-18.265819602052208</v>
      </c>
      <c r="J16" s="18">
        <f>+[1]GRUPO!AG16</f>
        <v>-20.966095820003574</v>
      </c>
      <c r="K16" s="19">
        <f>+[1]GRUPO!AH16</f>
        <v>-14.840719565735455</v>
      </c>
      <c r="L16" s="20">
        <f t="shared" si="1"/>
        <v>-41.274119001685797</v>
      </c>
      <c r="O16" s="17" t="str">
        <f>+IF($B$3="esp","España","Spain")</f>
        <v>Spain</v>
      </c>
      <c r="Q16" s="18">
        <f>+[1]SANTILLANA!AC16</f>
        <v>25.397423876975722</v>
      </c>
      <c r="R16" s="19">
        <f>+[1]SANTILLANA!AD16</f>
        <v>33.568710663561319</v>
      </c>
      <c r="S16" s="20">
        <f t="shared" si="2"/>
        <v>-24.34197389492082</v>
      </c>
      <c r="U16" s="18">
        <f>+[1]SANTILLANA!AG16</f>
        <v>-35.59504813999952</v>
      </c>
      <c r="V16" s="19">
        <f>+[1]SANTILLANA!AH16</f>
        <v>-34.872972715737205</v>
      </c>
      <c r="W16" s="20">
        <f t="shared" si="3"/>
        <v>-2.0705875296270966</v>
      </c>
      <c r="Z16" s="13" t="str">
        <f>+IF($B$3="esp","EBITDA Ajustado","Adjusted EBITDA")</f>
        <v>Adjusted EBITDA</v>
      </c>
      <c r="AA16" s="13"/>
      <c r="AB16" s="14">
        <f>+[1]RADIO!AC16</f>
        <v>46.556025480226296</v>
      </c>
      <c r="AC16" s="15">
        <f>+[1]RADIO!AD16</f>
        <v>46.673510881185237</v>
      </c>
      <c r="AD16" s="16">
        <f>IF(AC16=0,"---",IF(OR(ABS((AB16-AC16)/ABS(AC16))&gt;2,(AB16*AC16)&lt;0),"---",IF(AC16="0","---",((AB16-AC16)/ABS(AC16))*100)))</f>
        <v>-0.25171751329789305</v>
      </c>
      <c r="AE16" s="13"/>
      <c r="AF16" s="14">
        <f>+[1]RADIO!AG16</f>
        <v>18.089371214075818</v>
      </c>
      <c r="AG16" s="15">
        <f>+[1]RADIO!AH16</f>
        <v>22.540205619784057</v>
      </c>
      <c r="AH16" s="16">
        <f>IF(AG16=0,"---",IF(OR(ABS((AF16-AG16)/ABS(AG16))&gt;2,(AF16*AG16)&lt;0),"---",IF(AG16="0","---",((AF16-AG16)/ABS(AG16))*100)))</f>
        <v>-19.746201435720884</v>
      </c>
      <c r="AK16" s="13" t="str">
        <f>+IF($B$3="esp","EBIT Ajustado","Adjusted EBIT")</f>
        <v>Adjusted EBIT</v>
      </c>
      <c r="AL16" s="13"/>
      <c r="AM16" s="14">
        <f>+[1]NOTICIAS!AC16</f>
        <v>3.9001393101737487</v>
      </c>
      <c r="AN16" s="15">
        <f>+[1]NOTICIAS!AD16</f>
        <v>8.6372472382343162</v>
      </c>
      <c r="AO16" s="16">
        <f>IF(AN16=0,"---",IF(OR(ABS((AM16-AN16)/ABS(AN16))&gt;2,(AM16*AN16)&lt;0),"---",IF(AN16="0","---",((AM16-AN16)/ABS(AN16))*100)))</f>
        <v>-54.845112075649673</v>
      </c>
      <c r="AQ16" s="14">
        <f>+[1]NOTICIAS!AG16</f>
        <v>5.9759957155427799</v>
      </c>
      <c r="AR16" s="15">
        <f>+[1]NOTICIAS!AH16</f>
        <v>6.8925943950085911</v>
      </c>
      <c r="AS16" s="16">
        <f>IF(AR16=0,"---",IF(OR(ABS((AQ16-AR16)/ABS(AR16))&gt;2,(AQ16*AR16)&lt;0),"---",IF(AR16="0","---",((AQ16-AR16)/ABS(AR16))*100)))</f>
        <v>-13.298311592650574</v>
      </c>
    </row>
    <row r="17" spans="4:45" ht="15" customHeight="1">
      <c r="D17" s="17" t="str">
        <f>+IF($B$3="esp","Internacional","International")</f>
        <v>International</v>
      </c>
      <c r="F17" s="18">
        <f>+[1]GRUPO!AC17</f>
        <v>180.37525952157446</v>
      </c>
      <c r="G17" s="19">
        <f>+[1]GRUPO!AD17</f>
        <v>168.59281735687247</v>
      </c>
      <c r="H17" s="20">
        <f t="shared" si="0"/>
        <v>6.9886975906934712</v>
      </c>
      <c r="J17" s="18">
        <f>+[1]GRUPO!AG17</f>
        <v>61.984348408976672</v>
      </c>
      <c r="K17" s="19">
        <f>+[1]GRUPO!AH17</f>
        <v>59.374688263973468</v>
      </c>
      <c r="L17" s="20">
        <f t="shared" si="1"/>
        <v>4.3952401626109356</v>
      </c>
      <c r="O17" s="17" t="str">
        <f>+IF($B$3="esp","Internacional","International")</f>
        <v>International</v>
      </c>
      <c r="Q17" s="18">
        <f>+[1]SANTILLANA!AC17</f>
        <v>161.72722207687252</v>
      </c>
      <c r="R17" s="19">
        <f>+[1]SANTILLANA!AD17</f>
        <v>146.67483234481205</v>
      </c>
      <c r="S17" s="20">
        <f t="shared" si="2"/>
        <v>10.26242163800427</v>
      </c>
      <c r="U17" s="18">
        <f>+[1]SANTILLANA!AG17</f>
        <v>55.12956888239755</v>
      </c>
      <c r="V17" s="19">
        <f>+[1]SANTILLANA!AH17</f>
        <v>47.879807220997179</v>
      </c>
      <c r="W17" s="20">
        <f t="shared" si="3"/>
        <v>15.141584902248864</v>
      </c>
      <c r="Z17" s="17" t="str">
        <f>+IF($B$3="esp","España","Spain")</f>
        <v>Spain</v>
      </c>
      <c r="AB17" s="18">
        <f>+[1]RADIO!AC17</f>
        <v>24.341100030000209</v>
      </c>
      <c r="AC17" s="19">
        <f>+[1]RADIO!AD17</f>
        <v>22.756132769999997</v>
      </c>
      <c r="AD17" s="20">
        <f>IF(AC17=0,"---",IF(OR(ABS((AB17-AC17)/ABS(AC17))&gt;2,(AB17*AC17)&lt;0),"---",IF(AC17="0","---",((AB17-AC17)/ABS(AC17))*100)))</f>
        <v>6.9650114807280259</v>
      </c>
      <c r="AF17" s="18">
        <f>+[1]RADIO!AG17</f>
        <v>9.5739530800003099</v>
      </c>
      <c r="AG17" s="19">
        <f>+[1]RADIO!AH17</f>
        <v>10.668064629999998</v>
      </c>
      <c r="AH17" s="20">
        <f>IF(AG17=0,"---",IF(OR(ABS((AF17-AG17)/ABS(AG17))&gt;2,(AF17*AG17)&lt;0),"---",IF(AG17="0","---",((AF17-AG17)/ABS(AG17))*100)))</f>
        <v>-10.25595164583933</v>
      </c>
      <c r="AK17" s="30" t="str">
        <f>+IF($B$3="esp","Margen EBIT Ajustado","Adjusted EBIT Margin")</f>
        <v>Adjusted EBIT Margin</v>
      </c>
      <c r="AL17" s="22"/>
      <c r="AM17" s="31">
        <f>+AM16/AM10</f>
        <v>1.7681488866967628E-2</v>
      </c>
      <c r="AN17" s="32">
        <f>+AN16/AN10</f>
        <v>3.6004167756897638E-2</v>
      </c>
      <c r="AO17" s="33"/>
      <c r="AQ17" s="31">
        <f>+AQ16/AQ10</f>
        <v>9.4621894614419166E-2</v>
      </c>
      <c r="AR17" s="32">
        <f>+AR16/AR10</f>
        <v>0.10471351054714706</v>
      </c>
      <c r="AS17" s="33"/>
    </row>
    <row r="18" spans="4:45" ht="15" customHeight="1">
      <c r="D18" s="26" t="str">
        <f>+IF($B$3="esp","Portugal","Portugal")</f>
        <v>Portugal</v>
      </c>
      <c r="F18" s="18">
        <f>+[1]GRUPO!AC18</f>
        <v>6.03499999999988E-2</v>
      </c>
      <c r="G18" s="19">
        <f>+[1]GRUPO!AD18</f>
        <v>0.188113</v>
      </c>
      <c r="H18" s="20">
        <f t="shared" si="0"/>
        <v>-67.918219368146381</v>
      </c>
      <c r="J18" s="18">
        <f>+[1]GRUPO!AG18</f>
        <v>-0.49665300000000212</v>
      </c>
      <c r="K18" s="19">
        <f>+[1]GRUPO!AH18</f>
        <v>-0.53787600000000002</v>
      </c>
      <c r="L18" s="20">
        <f t="shared" si="1"/>
        <v>7.6640340896410875</v>
      </c>
      <c r="O18" s="26" t="str">
        <f>+IF($B$3="esp","Portugal","Portugal")</f>
        <v>Portugal</v>
      </c>
      <c r="Q18" s="18">
        <f>+[1]SANTILLANA!AC18</f>
        <v>6.0349999999999508E-2</v>
      </c>
      <c r="R18" s="19">
        <f>+[1]SANTILLANA!AD18</f>
        <v>0.18811299999999898</v>
      </c>
      <c r="S18" s="20">
        <f t="shared" si="2"/>
        <v>-67.918219368145827</v>
      </c>
      <c r="U18" s="18">
        <f>+[1]SANTILLANA!AG18</f>
        <v>-0.4966530000000014</v>
      </c>
      <c r="V18" s="19">
        <f>+[1]SANTILLANA!AH18</f>
        <v>-0.53787600000000102</v>
      </c>
      <c r="W18" s="20">
        <f t="shared" si="3"/>
        <v>7.664034089641393</v>
      </c>
      <c r="Z18" s="17" t="str">
        <f>+IF($B$3="esp","Latam","Latam")</f>
        <v>Latam</v>
      </c>
      <c r="AB18" s="18">
        <f>+[1]RADIO!AC18</f>
        <v>23.966127738731291</v>
      </c>
      <c r="AC18" s="19">
        <f>+[1]RADIO!AD18</f>
        <v>23.540231357085041</v>
      </c>
      <c r="AD18" s="20">
        <f>IF(AC18=0,"---",IF(OR(ABS((AB18-AC18)/ABS(AC18))&gt;2,(AB18*AC18)&lt;0),"---",IF(AC18="0","---",((AB18-AC18)/ABS(AC18))*100)))</f>
        <v>1.8092276799907743</v>
      </c>
      <c r="AF18" s="18">
        <f>+[1]RADIO!AG18</f>
        <v>8.8416275897618135</v>
      </c>
      <c r="AG18" s="19">
        <f>+[1]RADIO!AH18</f>
        <v>10.34691961141036</v>
      </c>
      <c r="AH18" s="20">
        <f>IF(AG18=0,"---",IF(OR(ABS((AF18-AG18)/ABS(AG18))&gt;2,(AF18*AG18)&lt;0),"---",IF(AG18="0","---",((AF18-AG18)/ABS(AG18))*100)))</f>
        <v>-14.548214136974092</v>
      </c>
    </row>
    <row r="19" spans="4:45" ht="15" customHeight="1">
      <c r="D19" s="26" t="str">
        <f>+IF($B$3="esp","Latam","Latam")</f>
        <v>Latam</v>
      </c>
      <c r="F19" s="18">
        <f>+[1]GRUPO!AC19</f>
        <v>180.31490952157444</v>
      </c>
      <c r="G19" s="19">
        <f>+[1]GRUPO!AD19</f>
        <v>168.40470435687246</v>
      </c>
      <c r="H19" s="20">
        <f t="shared" si="0"/>
        <v>7.0723708165911061</v>
      </c>
      <c r="J19" s="18">
        <f>+[1]GRUPO!AG19</f>
        <v>62.481001408976638</v>
      </c>
      <c r="K19" s="19">
        <f>+[1]GRUPO!AH19</f>
        <v>59.912564263973451</v>
      </c>
      <c r="L19" s="20">
        <f t="shared" si="1"/>
        <v>4.2869758231123436</v>
      </c>
      <c r="O19" s="26" t="str">
        <f>+IF($B$3="esp","Latam","Latam")</f>
        <v>Latam</v>
      </c>
      <c r="Q19" s="18">
        <f>+[1]SANTILLANA!AC19</f>
        <v>161.66687207687252</v>
      </c>
      <c r="R19" s="19">
        <f>+[1]SANTILLANA!AD19</f>
        <v>146.48671934481206</v>
      </c>
      <c r="S19" s="20">
        <f t="shared" si="2"/>
        <v>10.362818417912832</v>
      </c>
      <c r="U19" s="18">
        <f>+[1]SANTILLANA!AG19</f>
        <v>55.626221882397545</v>
      </c>
      <c r="V19" s="19">
        <f>+[1]SANTILLANA!AH19</f>
        <v>48.417683220997191</v>
      </c>
      <c r="W19" s="20">
        <f t="shared" si="3"/>
        <v>14.888235417002033</v>
      </c>
      <c r="Z19" s="17" t="str">
        <f>+IF($B$3="esp","Música","Music")</f>
        <v>Music</v>
      </c>
      <c r="AB19" s="18">
        <f>+[1]RADIO!AC19</f>
        <v>-1.7512022885049401</v>
      </c>
      <c r="AC19" s="19">
        <f>+[1]RADIO!AD19</f>
        <v>0.37714675410039095</v>
      </c>
      <c r="AD19" s="20" t="str">
        <f>IF(AC19=0,"---",IF(OR(ABS((AB19-AC19)/ABS(AC19))&gt;2,(AB19*AC19)&lt;0),"---",IF(AC19="0","---",((AB19-AC19)/ABS(AC19))*100)))</f>
        <v>---</v>
      </c>
      <c r="AF19" s="18">
        <f>+[1]RADIO!AG19</f>
        <v>-0.32620945568631998</v>
      </c>
      <c r="AG19" s="19">
        <f>+[1]RADIO!AH19</f>
        <v>1.5224931783738009</v>
      </c>
      <c r="AH19" s="20" t="str">
        <f>IF(AG19=0,"---",IF(OR(ABS((AF19-AG19)/ABS(AG19))&gt;2,(AF19*AG19)&lt;0),"---",IF(AG19="0","---",((AF19-AG19)/ABS(AG19))*100)))</f>
        <v>---</v>
      </c>
    </row>
    <row r="20" spans="4:45" s="22" customFormat="1" ht="15" customHeight="1">
      <c r="D20" s="21" t="str">
        <f>+IF($B$3="esp","Margen EBITDA Ajustado","Adjusted EBITDA Margin")</f>
        <v>Adjusted EBITDA Margin</v>
      </c>
      <c r="F20" s="27">
        <f>+F15/F10</f>
        <v>0.19746651854205483</v>
      </c>
      <c r="G20" s="28">
        <f>+G15/G10</f>
        <v>0.19527879836190506</v>
      </c>
      <c r="H20" s="29"/>
      <c r="J20" s="27">
        <f>+J15/J10</f>
        <v>0.1480248017601607</v>
      </c>
      <c r="K20" s="28">
        <f>+K15/K10</f>
        <v>0.15991763194461309</v>
      </c>
      <c r="L20" s="29"/>
      <c r="O20" s="21" t="str">
        <f>+IF($B$3="esp","Margen EBITDA Ajustado","Adjusted EBITDA Margin")</f>
        <v>Adjusted EBITDA Margin</v>
      </c>
      <c r="Q20" s="27">
        <f>+Q15/Q10</f>
        <v>0.28516282301570511</v>
      </c>
      <c r="R20" s="28">
        <f>+R15/R10</f>
        <v>0.28492137719771082</v>
      </c>
      <c r="S20" s="29"/>
      <c r="U20" s="27">
        <f>+U15/U10</f>
        <v>0.14622342015206446</v>
      </c>
      <c r="V20" s="28">
        <f>+V15/V10</f>
        <v>0.10923395318205842</v>
      </c>
      <c r="W20" s="29"/>
      <c r="Z20" s="17" t="str">
        <f>+IF($B$3="esp","Ajustes y Otros","Adjustments &amp; others")</f>
        <v>Adjustments &amp; others</v>
      </c>
      <c r="AA20" s="1"/>
      <c r="AB20" s="18">
        <f>+[1]RADIO!AC20</f>
        <v>-2.6467716907063732E-13</v>
      </c>
      <c r="AC20" s="19">
        <f>+[1]RADIO!AD20</f>
        <v>-1.9201307210892082E-13</v>
      </c>
      <c r="AD20" s="20">
        <f>IF(AC20=0,"---",IF(OR(ABS((AB20-AC20)/ABS(AC20))&gt;2,(AB20*AC20)&lt;0),"---",IF(AC20="0","---",((AB20-AC20)/ABS(AC20))*100)))</f>
        <v>-37.843307314252669</v>
      </c>
      <c r="AE20" s="1"/>
      <c r="AF20" s="18">
        <f>+[1]RADIO!AG20</f>
        <v>1.4876988529977098E-14</v>
      </c>
      <c r="AG20" s="19">
        <f>+[1]RADIO!AH20</f>
        <v>2.7281999998978734E-3</v>
      </c>
      <c r="AH20" s="20">
        <f>IF(AG20=0,"---",IF(OR(ABS((AF20-AG20)/ABS(AG20))&gt;2,(AF20*AG20)&lt;0),"---",IF(AG20="0","---",((AF20-AG20)/ABS(AG20))*100)))</f>
        <v>-99.999999999454687</v>
      </c>
    </row>
    <row r="21" spans="4:45" s="13" customFormat="1" ht="15" customHeight="1">
      <c r="D21" s="13" t="str">
        <f>+IF($B$3="esp","EBIT Ajustado","Adjusted EBIT")</f>
        <v>Adjusted EBIT</v>
      </c>
      <c r="F21" s="14">
        <f>+[1]GRUPO!AC21</f>
        <v>140.8809656223487</v>
      </c>
      <c r="G21" s="15">
        <f>+[1]GRUPO!AD21</f>
        <v>132.81609243075769</v>
      </c>
      <c r="H21" s="16">
        <f>IF(G21=0,"---",IF(OR(ABS((F21-G21)/ABS(G21))&gt;2,(F21*G21)&lt;0),"---",IF(G21="0","---",((F21-G21)/ABS(G21))*100)))</f>
        <v>6.0722108623964699</v>
      </c>
      <c r="J21" s="14">
        <f>+[1]GRUPO!AG21</f>
        <v>25.973193765864693</v>
      </c>
      <c r="K21" s="15">
        <f>+[1]GRUPO!AH21</f>
        <v>33.815937863003214</v>
      </c>
      <c r="L21" s="16">
        <f>IF(K21=0,"---",IF(OR(ABS((J21-K21)/ABS(K21))&gt;2,(J21*K21)&lt;0),"---",IF(K21="0","---",((J21-K21)/ABS(K21))*100)))</f>
        <v>-23.192448865122213</v>
      </c>
      <c r="O21" s="13" t="str">
        <f>+IF($B$3="esp","EBIT Ajustado","Adjusted EBIT")</f>
        <v>Adjusted EBIT</v>
      </c>
      <c r="Q21" s="14">
        <f>+[1]SANTILLANA!AC21</f>
        <v>117.98982172799823</v>
      </c>
      <c r="R21" s="15">
        <f>+[1]SANTILLANA!AD21</f>
        <v>108.78479638580626</v>
      </c>
      <c r="S21" s="16">
        <f>IF(R21=0,"---",IF(OR(ABS((Q21-R21)/ABS(R21))&gt;2,(Q21*R21)&lt;0),"---",IF(R21="0","---",((Q21-R21)/ABS(R21))*100)))</f>
        <v>8.461683661700544</v>
      </c>
      <c r="U21" s="14">
        <f>+[1]SANTILLANA!AG21</f>
        <v>10.015927386101993</v>
      </c>
      <c r="V21" s="15">
        <f>+[1]SANTILLANA!AH21</f>
        <v>9.8177241337053829</v>
      </c>
      <c r="W21" s="16">
        <f>IF(V21=0,"---",IF(OR(ABS((U21-V21)/ABS(V21))&gt;2,(U21*V21)&lt;0),"---",IF(V21="0","---",((U21-V21)/ABS(V21))*100)))</f>
        <v>2.0188309398117537</v>
      </c>
      <c r="Z21" s="21" t="str">
        <f>+IF($B$3="esp","Margen EBITDA Ajustado","Adjusted EBITDA Margin")</f>
        <v>Adjusted EBITDA Margin</v>
      </c>
      <c r="AA21" s="22"/>
      <c r="AB21" s="27">
        <f>+AB16/AB10</f>
        <v>0.16587672193759828</v>
      </c>
      <c r="AC21" s="28">
        <f>+AC16/AC10</f>
        <v>0.15503510916133922</v>
      </c>
      <c r="AD21" s="29"/>
      <c r="AE21" s="22"/>
      <c r="AF21" s="27">
        <f>+AF16/AF10</f>
        <v>0.23237564970677105</v>
      </c>
      <c r="AG21" s="28">
        <f>+AG16/AG10</f>
        <v>0.2415771747790342</v>
      </c>
      <c r="AH21" s="29"/>
    </row>
    <row r="22" spans="4:45" ht="15" customHeight="1">
      <c r="D22" s="17" t="str">
        <f>+IF($B$3="esp","España","Spain")</f>
        <v>Spain</v>
      </c>
      <c r="F22" s="18">
        <f>+[1]GRUPO!AC22</f>
        <v>19.182701869761456</v>
      </c>
      <c r="G22" s="19">
        <f>+[1]GRUPO!AD22</f>
        <v>17.747856933968286</v>
      </c>
      <c r="H22" s="20">
        <f>IF(G22=0,"---",IF(OR(ABS((F22-G22)/ABS(G22))&gt;2,(F22*G22)&lt;0),"---",IF(G22="0","---",((F22-G22)/ABS(G22))*100)))</f>
        <v>8.084609545431741</v>
      </c>
      <c r="J22" s="18">
        <f>+[1]GRUPO!AG22</f>
        <v>-12.441981292698649</v>
      </c>
      <c r="K22" s="19">
        <f>+[1]GRUPO!AH22</f>
        <v>-7.0848118296018079</v>
      </c>
      <c r="L22" s="20">
        <f>IF(K22=0,"---",IF(OR(ABS((J22-K22)/ABS(K22))&gt;2,(J22*K22)&lt;0),"---",IF(K22="0","---",((J22-K22)/ABS(K22))*100)))</f>
        <v>-75.614844712085088</v>
      </c>
      <c r="O22" s="17" t="str">
        <f>+IF($B$3="esp","España","Spain")</f>
        <v>Spain</v>
      </c>
      <c r="Q22" s="18">
        <f>+[1]SANTILLANA!AC22</f>
        <v>7.7884945969760651</v>
      </c>
      <c r="R22" s="19">
        <f>+[1]SANTILLANA!AD22</f>
        <v>11.677137953561157</v>
      </c>
      <c r="S22" s="20">
        <f>IF(R22=0,"---",IF(OR(ABS((Q22-R22)/ABS(R22))&gt;2,(Q22*R22)&lt;0),"---",IF(R22="0","---",((Q22-R22)/ABS(R22))*100)))</f>
        <v>-33.301339523861486</v>
      </c>
      <c r="U22" s="18">
        <f>+[1]SANTILLANA!AG22</f>
        <v>-24.272338319999548</v>
      </c>
      <c r="V22" s="19">
        <f>+[1]SANTILLANA!AH22</f>
        <v>-21.161591645736777</v>
      </c>
      <c r="W22" s="20">
        <f>IF(V22=0,"---",IF(OR(ABS((U22-V22)/ABS(V22))&gt;2,(U22*V22)&lt;0),"---",IF(V22="0","---",((U22-V22)/ABS(V22))*100)))</f>
        <v>-14.699965514595226</v>
      </c>
      <c r="Z22" s="34" t="str">
        <f>+IF($B$3="esp","EBITDA Ajustado con MX y CR","Adjusted EBITDA w/MX&amp;CR")</f>
        <v>Adjusted EBITDA w/MX&amp;CR</v>
      </c>
      <c r="AA22" s="13"/>
      <c r="AB22" s="35">
        <f>+[1]RADIO!AC22</f>
        <v>55.169938132991632</v>
      </c>
      <c r="AC22" s="36">
        <f>+[1]RADIO!AD22</f>
        <v>54.804604989568283</v>
      </c>
      <c r="AD22" s="37">
        <f t="shared" ref="AD22:AD27" si="6">IF(AC22=0,"---",IF(OR(ABS((AB22-AC22)/ABS(AC22))&gt;2,(AB22*AC22)&lt;0),"---",IF(AC22="0","---",((AB22-AC22)/ABS(AC22))*100)))</f>
        <v>0.66661030308107905</v>
      </c>
      <c r="AE22" s="13"/>
      <c r="AF22" s="35">
        <f>+[1]RADIO!AG22</f>
        <v>21.056850687877301</v>
      </c>
      <c r="AG22" s="36">
        <f>+[1]RADIO!AH22</f>
        <v>25.349824579119883</v>
      </c>
      <c r="AH22" s="37">
        <f t="shared" ref="AH22:AH27" si="7">IF(AG22=0,"---",IF(OR(ABS((AF22-AG22)/ABS(AG22))&gt;2,(AF22*AG22)&lt;0),"---",IF(AG22="0","---",((AF22-AG22)/ABS(AG22))*100)))</f>
        <v>-16.934925438413543</v>
      </c>
    </row>
    <row r="23" spans="4:45" ht="15" customHeight="1">
      <c r="D23" s="17" t="str">
        <f>+IF($B$3="esp","Internacional","International")</f>
        <v>International</v>
      </c>
      <c r="F23" s="18">
        <f>+[1]GRUPO!AC23</f>
        <v>121.69826375258725</v>
      </c>
      <c r="G23" s="19">
        <f>+[1]GRUPO!AD23</f>
        <v>115.0682354967894</v>
      </c>
      <c r="H23" s="20">
        <f>IF(G23=0,"---",IF(OR(ABS((F23-G23)/ABS(G23))&gt;2,(F23*G23)&lt;0),"---",IF(G23="0","---",((F23-G23)/ABS(G23))*100)))</f>
        <v>5.7618231714197465</v>
      </c>
      <c r="J23" s="18">
        <f>+[1]GRUPO!AG23</f>
        <v>38.415175058563349</v>
      </c>
      <c r="K23" s="19">
        <f>+[1]GRUPO!AH23</f>
        <v>40.900749692605018</v>
      </c>
      <c r="L23" s="20">
        <f>IF(K23=0,"---",IF(OR(ABS((J23-K23)/ABS(K23))&gt;2,(J23*K23)&lt;0),"---",IF(K23="0","---",((J23-K23)/ABS(K23))*100)))</f>
        <v>-6.0770882018601933</v>
      </c>
      <c r="O23" s="17" t="str">
        <f>+IF($B$3="esp","Internacional","International")</f>
        <v>International</v>
      </c>
      <c r="Q23" s="18">
        <f>+[1]SANTILLANA!AC23</f>
        <v>110.20132713102217</v>
      </c>
      <c r="R23" s="19">
        <f>+[1]SANTILLANA!AD23</f>
        <v>97.107658432245103</v>
      </c>
      <c r="S23" s="20">
        <f>IF(R23=0,"---",IF(OR(ABS((Q23-R23)/ABS(R23))&gt;2,(Q23*R23)&lt;0),"---",IF(R23="0","---",((Q23-R23)/ABS(R23))*100)))</f>
        <v>13.483662267392543</v>
      </c>
      <c r="U23" s="18">
        <f>+[1]SANTILLANA!AG23</f>
        <v>34.288265706101541</v>
      </c>
      <c r="V23" s="19">
        <f>+[1]SANTILLANA!AH23</f>
        <v>30.97931577944216</v>
      </c>
      <c r="W23" s="20">
        <f>IF(V23=0,"---",IF(OR(ABS((U23-V23)/ABS(V23))&gt;2,(U23*V23)&lt;0),"---",IF(V23="0","---",((U23-V23)/ABS(V23))*100)))</f>
        <v>10.681158842298242</v>
      </c>
      <c r="Z23" s="13" t="str">
        <f>+IF($B$3="esp","EBIT Ajustado","Adjusted EBIT")</f>
        <v>Adjusted EBIT</v>
      </c>
      <c r="AA23" s="13"/>
      <c r="AB23" s="14">
        <f>+[1]RADIO!AC23</f>
        <v>36.151309646792249</v>
      </c>
      <c r="AC23" s="15">
        <f>+[1]RADIO!AD23</f>
        <v>34.036996296554435</v>
      </c>
      <c r="AD23" s="16">
        <f t="shared" si="6"/>
        <v>6.211809443513812</v>
      </c>
      <c r="AE23" s="13"/>
      <c r="AF23" s="14">
        <f>+[1]RADIO!AG23</f>
        <v>14.823111574240905</v>
      </c>
      <c r="AG23" s="15">
        <f>+[1]RADIO!AH23</f>
        <v>18.187395795805465</v>
      </c>
      <c r="AH23" s="16">
        <f t="shared" si="7"/>
        <v>-18.497888644071082</v>
      </c>
    </row>
    <row r="24" spans="4:45" ht="15" customHeight="1">
      <c r="D24" s="26" t="str">
        <f>+IF($B$3="esp","Portugal","Portugal")</f>
        <v>Portugal</v>
      </c>
      <c r="F24" s="18">
        <f>+[1]GRUPO!AC24</f>
        <v>-0.74142800000000098</v>
      </c>
      <c r="G24" s="19">
        <f>+[1]GRUPO!AD24</f>
        <v>-0.24863400000000002</v>
      </c>
      <c r="H24" s="20">
        <f>IF(G24=0,"---",IF(OR(ABS((F24-G24)/ABS(G24))&gt;2,(F24*G24)&lt;0),"---",IF(G24="0","---",((F24-G24)/ABS(G24))*100)))</f>
        <v>-198.20056790302246</v>
      </c>
      <c r="J24" s="18">
        <f>+[1]GRUPO!AG24</f>
        <v>-0.8553840000000017</v>
      </c>
      <c r="K24" s="19">
        <f>+[1]GRUPO!AH24</f>
        <v>-0.58021900000000004</v>
      </c>
      <c r="L24" s="20">
        <f>IF(K24=0,"---",IF(OR(ABS((J24-K24)/ABS(K24))&gt;2,(J24*K24)&lt;0),"---",IF(K24="0","---",((J24-K24)/ABS(K24))*100)))</f>
        <v>-47.424334604692646</v>
      </c>
      <c r="O24" s="26" t="str">
        <f>+IF($B$3="esp","Portugal","Portugal")</f>
        <v>Portugal</v>
      </c>
      <c r="Q24" s="18">
        <f>+[1]SANTILLANA!AC24</f>
        <v>-0.74142800000000098</v>
      </c>
      <c r="R24" s="19">
        <f>+[1]SANTILLANA!AD24</f>
        <v>-0.24863400000000102</v>
      </c>
      <c r="S24" s="20">
        <f>IF(R24=0,"---",IF(OR(ABS((Q24-R24)/ABS(R24))&gt;2,(Q24*R24)&lt;0),"---",IF(R24="0","---",((Q24-R24)/ABS(R24))*100)))</f>
        <v>-198.20056790302127</v>
      </c>
      <c r="U24" s="18">
        <f>+[1]SANTILLANA!AG24</f>
        <v>-0.85538400000000214</v>
      </c>
      <c r="V24" s="19">
        <f>+[1]SANTILLANA!AH24</f>
        <v>-0.58021900000000093</v>
      </c>
      <c r="W24" s="20">
        <f>IF(V24=0,"---",IF(OR(ABS((U24-V24)/ABS(V24))&gt;2,(U24*V24)&lt;0),"---",IF(V24="0","---",((U24-V24)/ABS(V24))*100)))</f>
        <v>-47.424334604692497</v>
      </c>
      <c r="Z24" s="17" t="str">
        <f>+IF($B$3="esp","España","Spain")</f>
        <v>Spain</v>
      </c>
      <c r="AB24" s="18">
        <f>+[1]RADIO!AC24</f>
        <v>18.116442310000398</v>
      </c>
      <c r="AC24" s="19">
        <f>+[1]RADIO!AD24</f>
        <v>16.196975300000027</v>
      </c>
      <c r="AD24" s="20">
        <f t="shared" si="6"/>
        <v>11.850774446759624</v>
      </c>
      <c r="AF24" s="18">
        <f>+[1]RADIO!AG24</f>
        <v>7.6190650500004971</v>
      </c>
      <c r="AG24" s="19">
        <f>+[1]RADIO!AH24</f>
        <v>9.3051792199999266</v>
      </c>
      <c r="AH24" s="20">
        <f t="shared" si="7"/>
        <v>-18.120168673112811</v>
      </c>
    </row>
    <row r="25" spans="4:45" ht="15" customHeight="1">
      <c r="D25" s="26" t="str">
        <f>+IF($B$3="esp","Latam","Latam")</f>
        <v>Latam</v>
      </c>
      <c r="F25" s="18">
        <f>+[1]GRUPO!AC25</f>
        <v>122.43969175258725</v>
      </c>
      <c r="G25" s="19">
        <f>+[1]GRUPO!AD25</f>
        <v>115.31686949678939</v>
      </c>
      <c r="H25" s="20">
        <f>IF(G25=0,"---",IF(OR(ABS((F25-G25)/ABS(G25))&gt;2,(F25*G25)&lt;0),"---",IF(G25="0","---",((F25-G25)/ABS(G25))*100)))</f>
        <v>6.176739176913026</v>
      </c>
      <c r="J25" s="18">
        <f>+[1]GRUPO!AG25</f>
        <v>39.27055905856335</v>
      </c>
      <c r="K25" s="19">
        <f>+[1]GRUPO!AH25</f>
        <v>41.480968692605018</v>
      </c>
      <c r="L25" s="20">
        <f>IF(K25=0,"---",IF(OR(ABS((J25-K25)/ABS(K25))&gt;2,(J25*K25)&lt;0),"---",IF(K25="0","---",((J25-K25)/ABS(K25))*100)))</f>
        <v>-5.3287319551814765</v>
      </c>
      <c r="O25" s="26" t="str">
        <f>+IF($B$3="esp","Latam","Latam")</f>
        <v>Latam</v>
      </c>
      <c r="Q25" s="18">
        <f>+[1]SANTILLANA!AC25</f>
        <v>110.94275513102217</v>
      </c>
      <c r="R25" s="19">
        <f>+[1]SANTILLANA!AD25</f>
        <v>97.356292432245098</v>
      </c>
      <c r="S25" s="20">
        <f>IF(R25=0,"---",IF(OR(ABS((Q25-R25)/ABS(R25))&gt;2,(Q25*R25)&lt;0),"---",IF(R25="0","---",((Q25-R25)/ABS(R25))*100)))</f>
        <v>13.955402737047057</v>
      </c>
      <c r="U25" s="18">
        <f>+[1]SANTILLANA!AG25</f>
        <v>35.143649706101542</v>
      </c>
      <c r="V25" s="19">
        <f>+[1]SANTILLANA!AH25</f>
        <v>31.55953477944216</v>
      </c>
      <c r="W25" s="20">
        <f>IF(V25=0,"---",IF(OR(ABS((U25-V25)/ABS(V25))&gt;2,(U25*V25)&lt;0),"---",IF(V25="0","---",((U25-V25)/ABS(V25))*100)))</f>
        <v>11.356678581314416</v>
      </c>
      <c r="Z25" s="17" t="str">
        <f>+IF($B$3="esp","Latam","Latam")</f>
        <v>Latam</v>
      </c>
      <c r="AB25" s="18">
        <f>+[1]RADIO!AC25</f>
        <v>20.271311028093955</v>
      </c>
      <c r="AC25" s="19">
        <f>+[1]RADIO!AD25</f>
        <v>20.011044197186138</v>
      </c>
      <c r="AD25" s="20">
        <f t="shared" si="6"/>
        <v>1.300615941592965</v>
      </c>
      <c r="AF25" s="18">
        <f>+[1]RADIO!AG25</f>
        <v>7.5825649681658103</v>
      </c>
      <c r="AG25" s="19">
        <f>+[1]RADIO!AH25</f>
        <v>8.9508924931594898</v>
      </c>
      <c r="AH25" s="20">
        <f t="shared" si="7"/>
        <v>-15.2870512749359</v>
      </c>
    </row>
    <row r="26" spans="4:45" s="22" customFormat="1" ht="15" customHeight="1">
      <c r="D26" s="30" t="str">
        <f>+IF($B$3="esp","Margen EBIT Ajustado","Adjusted EBIT Margin")</f>
        <v>Adjusted EBIT Margin</v>
      </c>
      <c r="F26" s="31">
        <f>+F21/F10</f>
        <v>0.1208167500042972</v>
      </c>
      <c r="G26" s="32">
        <f>+G21/G10</f>
        <v>0.11294970356401729</v>
      </c>
      <c r="H26" s="33"/>
      <c r="J26" s="31">
        <f>+J21/J10</f>
        <v>9.373087870895612E-2</v>
      </c>
      <c r="K26" s="32">
        <f>+K21/K10</f>
        <v>0.1214301097142419</v>
      </c>
      <c r="L26" s="33"/>
      <c r="O26" s="30" t="str">
        <f>+IF($B$3="esp","Margen EBIT Ajustado","Adjusted EBIT Margin")</f>
        <v>Adjusted EBIT Margin</v>
      </c>
      <c r="Q26" s="31">
        <f>+Q21/Q10</f>
        <v>0.17980694354593013</v>
      </c>
      <c r="R26" s="32">
        <f>+R21/R10</f>
        <v>0.1719624097878312</v>
      </c>
      <c r="S26" s="33"/>
      <c r="U26" s="31">
        <f>+U21/U10</f>
        <v>7.4973078567105542E-2</v>
      </c>
      <c r="V26" s="32">
        <f>+V21/V10</f>
        <v>8.2451177336180279E-2</v>
      </c>
      <c r="W26" s="33"/>
      <c r="Z26" s="17" t="str">
        <f>+IF($B$3="esp","Música","Music")</f>
        <v>Music</v>
      </c>
      <c r="AA26" s="1"/>
      <c r="AB26" s="18">
        <f>+[1]RADIO!AC26</f>
        <v>-2.4597437499387897</v>
      </c>
      <c r="AC26" s="19">
        <f>+[1]RADIO!AD26</f>
        <v>-2.1710232006316401</v>
      </c>
      <c r="AD26" s="20">
        <f t="shared" si="6"/>
        <v>-13.298823763060152</v>
      </c>
      <c r="AE26" s="1"/>
      <c r="AF26" s="18">
        <f>+[1]RADIO!AG26</f>
        <v>-0.60181850256194958</v>
      </c>
      <c r="AG26" s="19">
        <f>+[1]RADIO!AH26</f>
        <v>-7.1404117354139984E-2</v>
      </c>
      <c r="AH26" s="20" t="str">
        <f t="shared" si="7"/>
        <v>---</v>
      </c>
    </row>
    <row r="27" spans="4:45">
      <c r="Z27" s="17" t="str">
        <f>+IF($B$3="esp","Ajustes y Otros","Adjustments &amp; others")</f>
        <v>Adjustments &amp; others</v>
      </c>
      <c r="AB27" s="18">
        <f>+[1]RADIO!AC27</f>
        <v>0.22330005863668667</v>
      </c>
      <c r="AC27" s="19">
        <f>+[1]RADIO!AD27</f>
        <v>-8.9706020389712648E-14</v>
      </c>
      <c r="AD27" s="20" t="str">
        <f t="shared" si="6"/>
        <v>---</v>
      </c>
      <c r="AF27" s="18">
        <f>+[1]RADIO!AG27</f>
        <v>0.22330005863654678</v>
      </c>
      <c r="AG27" s="19">
        <f>+[1]RADIO!AH27</f>
        <v>2.7282000001882523E-3</v>
      </c>
      <c r="AH27" s="20" t="str">
        <f t="shared" si="7"/>
        <v>---</v>
      </c>
    </row>
    <row r="28" spans="4:45">
      <c r="D28" s="9"/>
      <c r="F28" s="10">
        <v>2017</v>
      </c>
      <c r="G28" s="10">
        <v>2016</v>
      </c>
      <c r="H28" s="10" t="str">
        <f>+IF($B$3="esp","Var.%","% Chg.")</f>
        <v>% Chg.</v>
      </c>
      <c r="J28" s="10">
        <v>2017</v>
      </c>
      <c r="K28" s="10">
        <v>2016</v>
      </c>
      <c r="L28" s="10" t="str">
        <f>+IF($B$3="esp","Var.%","% Chg.")</f>
        <v>% Chg.</v>
      </c>
      <c r="O28" s="9"/>
      <c r="Q28" s="10">
        <v>2017</v>
      </c>
      <c r="R28" s="10">
        <v>2016</v>
      </c>
      <c r="S28" s="10" t="str">
        <f>+IF($B$3="esp","Var.%","% Chg.")</f>
        <v>% Chg.</v>
      </c>
      <c r="U28" s="10">
        <v>2017</v>
      </c>
      <c r="V28" s="10">
        <v>2016</v>
      </c>
      <c r="W28" s="10" t="str">
        <f>+IF($B$3="esp","Var.%","% Chg.")</f>
        <v>% Chg.</v>
      </c>
      <c r="Z28" s="38" t="str">
        <f>+IF($B$3="esp","Margen EBIT Ajustado","Adjusted EBIT Margin")</f>
        <v>Adjusted EBIT Margin</v>
      </c>
      <c r="AA28" s="22"/>
      <c r="AB28" s="39">
        <f>+AB23/AB10</f>
        <v>0.12880525509008342</v>
      </c>
      <c r="AC28" s="40">
        <f>+AC23/AC10</f>
        <v>0.11306047770423076</v>
      </c>
      <c r="AD28" s="41"/>
      <c r="AE28" s="22"/>
      <c r="AF28" s="39">
        <f>+AF23/AF10</f>
        <v>0.19041735292932171</v>
      </c>
      <c r="AG28" s="40">
        <f>+AG23/AG10</f>
        <v>0.19492544864286207</v>
      </c>
      <c r="AH28" s="41"/>
    </row>
    <row r="29" spans="4:45" ht="15.75" customHeight="1">
      <c r="D29" s="11" t="str">
        <f>+IF($B$3="esp","Resultados de Explotación Ajustados a tipo constante","Operating Adjusted Results at constant currency")</f>
        <v>Operating Adjusted Results at constant currency</v>
      </c>
      <c r="F29" s="12"/>
      <c r="G29" s="12"/>
      <c r="H29" s="12"/>
      <c r="J29" s="12"/>
      <c r="K29" s="12"/>
      <c r="L29" s="12"/>
      <c r="O29" s="11" t="str">
        <f>+IF($B$3="esp","Resultados de Explotación Ajustados a tipo constante","Operating Adjusted Results at constant currency")</f>
        <v>Operating Adjusted Results at constant currency</v>
      </c>
      <c r="Q29" s="12"/>
      <c r="R29" s="12"/>
      <c r="S29" s="12"/>
      <c r="U29" s="12"/>
      <c r="V29" s="12"/>
      <c r="W29" s="12"/>
      <c r="Z29" s="34" t="str">
        <f>+IF($B$3="esp","EBIT Ajustado con MX y CR","Adjusted EBIT w/MX&amp;CR")</f>
        <v>Adjusted EBIT w/MX&amp;CR</v>
      </c>
      <c r="AA29" s="13"/>
      <c r="AB29" s="35">
        <f>+[1]RADIO!AC29</f>
        <v>43.960166677546177</v>
      </c>
      <c r="AC29" s="36">
        <f>+[1]RADIO!AD29</f>
        <v>41.421410282466802</v>
      </c>
      <c r="AD29" s="37">
        <f>IF(AC29=0,"---",IF(OR(ABS((AB29-AC29)/ABS(AC29))&gt;2,(AB29*AC29)&lt;0),"---",IF(AC29="0","---",((AB29-AC29)/ABS(AC29))*100)))</f>
        <v>6.129092123533999</v>
      </c>
      <c r="AE29" s="13"/>
      <c r="AF29" s="35">
        <f>+[1]RADIO!AG29</f>
        <v>17.683792224934216</v>
      </c>
      <c r="AG29" s="36">
        <f>+[1]RADIO!AH29</f>
        <v>20.911878727351976</v>
      </c>
      <c r="AH29" s="37">
        <f>IF(AG29=0,"---",IF(OR(ABS((AF29-AG29)/ABS(AG29))&gt;2,(AF29*AG29)&lt;0),"---",IF(AG29="0","---",((AF29-AG29)/ABS(AG29))*100)))</f>
        <v>-15.436616405945108</v>
      </c>
    </row>
    <row r="30" spans="4:45" s="13" customFormat="1" ht="15" customHeight="1">
      <c r="D30" s="13" t="str">
        <f>+IF($B$3="esp","Ingresos de Explotación Ajustados a tipo constante","Operating Adjusted Revenues on constant currency")</f>
        <v>Operating Adjusted Revenues on constant currency</v>
      </c>
      <c r="F30" s="14">
        <f>+[1]GRUPO!AC30</f>
        <v>1159.6059966920823</v>
      </c>
      <c r="G30" s="15">
        <f>+[1]GRUPO!AD30</f>
        <v>1175.8870385656267</v>
      </c>
      <c r="H30" s="16">
        <f t="shared" ref="H30:H39" si="8">IF(G30=0,"---",IF(OR(ABS((F30-G30)/ABS(G30))&gt;2,(F30*G30)&lt;0),"---",IF(G30="0","---",((F30-G30)/ABS(G30))*100)))</f>
        <v>-1.384575332457475</v>
      </c>
      <c r="J30" s="14">
        <f>+[1]GRUPO!AG30</f>
        <v>289.54450323266713</v>
      </c>
      <c r="K30" s="15">
        <f>+[1]GRUPO!AH30</f>
        <v>278.48066630740368</v>
      </c>
      <c r="L30" s="16">
        <f t="shared" ref="L30:L39" si="9">IF(K30=0,"---",IF(OR(ABS((J30-K30)/ABS(K30))&gt;2,(J30*K30)&lt;0),"---",IF(K30="0","---",((J30-K30)/ABS(K30))*100)))</f>
        <v>3.9729282007141271</v>
      </c>
      <c r="O30" s="13" t="str">
        <f>+IF($B$3="esp","Ingresos de Explotación Ajustados a tipo constante","Operating Adjusted Revenues on constant currency")</f>
        <v>Operating Adjusted Revenues on constant currency</v>
      </c>
      <c r="Q30" s="14">
        <f>+[1]SANTILLANA!AC30</f>
        <v>647.94682018204219</v>
      </c>
      <c r="R30" s="15">
        <f>+[1]SANTILLANA!AD30</f>
        <v>632.60800148140481</v>
      </c>
      <c r="S30" s="16">
        <f t="shared" ref="S30:S39" si="10">IF(R30=0,"---",IF(OR(ABS((Q30-R30)/ABS(R30))&gt;2,(Q30*R30)&lt;0),"---",IF(R30="0","---",((Q30-R30)/ABS(R30))*100)))</f>
        <v>2.4246956511327422</v>
      </c>
      <c r="U30" s="14">
        <f>+[1]SANTILLANA!AG30</f>
        <v>143.4201713281866</v>
      </c>
      <c r="V30" s="15">
        <f>+[1]SANTILLANA!AH30</f>
        <v>119.07318307506182</v>
      </c>
      <c r="W30" s="16">
        <f t="shared" ref="W30:W39" si="11">IF(V30=0,"---",IF(OR(ABS((U30-V30)/ABS(V30))&gt;2,(U30*V30)&lt;0),"---",IF(V30="0","---",((U30-V30)/ABS(V30))*100)))</f>
        <v>20.447079371160196</v>
      </c>
      <c r="Z30" s="1"/>
      <c r="AA30" s="1"/>
      <c r="AB30" s="1"/>
      <c r="AC30" s="1"/>
      <c r="AD30" s="1"/>
      <c r="AE30" s="1"/>
      <c r="AF30" s="1"/>
      <c r="AG30" s="1"/>
      <c r="AH30" s="1"/>
    </row>
    <row r="31" spans="4:45" ht="15" customHeight="1">
      <c r="D31" s="17" t="str">
        <f>+IF($B$3="esp","España","Spain")</f>
        <v>Spain</v>
      </c>
      <c r="F31" s="18">
        <f>+[1]GRUPO!AC31</f>
        <v>521.25139129387549</v>
      </c>
      <c r="G31" s="19">
        <f>+[1]GRUPO!AD31</f>
        <v>558.48166810131306</v>
      </c>
      <c r="H31" s="20">
        <f t="shared" si="8"/>
        <v>-6.6663382047991782</v>
      </c>
      <c r="J31" s="18">
        <f>+[1]GRUPO!AG31</f>
        <v>95.221099436872748</v>
      </c>
      <c r="K31" s="19">
        <f>+[1]GRUPO!AH31</f>
        <v>103.60436128523401</v>
      </c>
      <c r="L31" s="20">
        <f t="shared" si="9"/>
        <v>-8.0916109557214781</v>
      </c>
      <c r="O31" s="17" t="str">
        <f>+IF($B$3="esp","España","Spain")</f>
        <v>Spain</v>
      </c>
      <c r="Q31" s="18">
        <f>+[1]SANTILLANA!AC31</f>
        <v>121.03364661603973</v>
      </c>
      <c r="R31" s="19">
        <f>+[1]SANTILLANA!AD31</f>
        <v>135.38177378369625</v>
      </c>
      <c r="S31" s="20">
        <f t="shared" si="10"/>
        <v>-10.598270924253786</v>
      </c>
      <c r="U31" s="18">
        <f>+[1]SANTILLANA!AG31</f>
        <v>-18.030538212707881</v>
      </c>
      <c r="V31" s="19">
        <f>+[1]SANTILLANA!AH31</f>
        <v>-16.488368372306411</v>
      </c>
      <c r="W31" s="20">
        <f t="shared" si="11"/>
        <v>-9.3530773062522865</v>
      </c>
      <c r="Z31" s="9"/>
      <c r="AB31" s="10">
        <v>2017</v>
      </c>
      <c r="AC31" s="10">
        <v>2016</v>
      </c>
      <c r="AD31" s="10" t="str">
        <f>+IF($B$3="esp","Var.%","% Chg.")</f>
        <v>% Chg.</v>
      </c>
      <c r="AF31" s="10">
        <v>2017</v>
      </c>
      <c r="AG31" s="10">
        <v>2016</v>
      </c>
      <c r="AH31" s="10" t="str">
        <f>+IF($B$3="esp","Var.%","% Chg.")</f>
        <v>% Chg.</v>
      </c>
    </row>
    <row r="32" spans="4:45" ht="15" customHeight="1">
      <c r="D32" s="17" t="str">
        <f>+IF($B$3="esp","Internacional","International")</f>
        <v>International</v>
      </c>
      <c r="F32" s="18">
        <f>+[1]GRUPO!AC32</f>
        <v>638.35460539820679</v>
      </c>
      <c r="G32" s="19">
        <f>+[1]GRUPO!AD32</f>
        <v>617.40537046431359</v>
      </c>
      <c r="H32" s="20">
        <f t="shared" si="8"/>
        <v>3.3931086343059391</v>
      </c>
      <c r="J32" s="18">
        <f>+[1]GRUPO!AG32</f>
        <v>194.32340379579432</v>
      </c>
      <c r="K32" s="19">
        <f>+[1]GRUPO!AH32</f>
        <v>174.87630502216967</v>
      </c>
      <c r="L32" s="20">
        <f t="shared" si="9"/>
        <v>11.120488147985096</v>
      </c>
      <c r="O32" s="17" t="str">
        <f>+IF($B$3="esp","Internacional","International")</f>
        <v>International</v>
      </c>
      <c r="Q32" s="18">
        <f>+[1]SANTILLANA!AC32</f>
        <v>526.91317356600246</v>
      </c>
      <c r="R32" s="19">
        <f>+[1]SANTILLANA!AD32</f>
        <v>497.22622769770857</v>
      </c>
      <c r="S32" s="20">
        <f t="shared" si="10"/>
        <v>5.9705108489052261</v>
      </c>
      <c r="U32" s="18">
        <f>+[1]SANTILLANA!AG32</f>
        <v>161.45070954089448</v>
      </c>
      <c r="V32" s="19">
        <f>+[1]SANTILLANA!AH32</f>
        <v>135.56155144736823</v>
      </c>
      <c r="W32" s="20">
        <f t="shared" si="11"/>
        <v>19.097714519428255</v>
      </c>
      <c r="Z32" s="11" t="str">
        <f>+IF($B$3="esp","Resultados de Explotación Ajustados a tipo constante","Operating Adjusted Results at constant currency")</f>
        <v>Operating Adjusted Results at constant currency</v>
      </c>
      <c r="AB32" s="12"/>
      <c r="AC32" s="12"/>
      <c r="AD32" s="12"/>
      <c r="AF32" s="12"/>
      <c r="AG32" s="12"/>
      <c r="AH32" s="12"/>
    </row>
    <row r="33" spans="4:45" ht="15" customHeight="1">
      <c r="D33" s="26" t="str">
        <f>+IF($B$3="esp","Portugal","Portugal")</f>
        <v>Portugal</v>
      </c>
      <c r="F33" s="18">
        <f>+[1]GRUPO!AC33</f>
        <v>3.798152</v>
      </c>
      <c r="G33" s="19">
        <f>+[1]GRUPO!AD33</f>
        <v>4.826816</v>
      </c>
      <c r="H33" s="20">
        <f t="shared" si="8"/>
        <v>-21.311440088041476</v>
      </c>
      <c r="J33" s="18">
        <f>+[1]GRUPO!AG33</f>
        <v>4.9659999999999815E-2</v>
      </c>
      <c r="K33" s="19">
        <f>+[1]GRUPO!AH33</f>
        <v>0.12030499999999922</v>
      </c>
      <c r="L33" s="20">
        <f t="shared" si="9"/>
        <v>-58.721582644112772</v>
      </c>
      <c r="O33" s="26" t="str">
        <f>+IF($B$3="esp","Portugal","Portugal")</f>
        <v>Portugal</v>
      </c>
      <c r="Q33" s="18">
        <f>+[1]SANTILLANA!AC33</f>
        <v>3.798152</v>
      </c>
      <c r="R33" s="19">
        <f>+[1]SANTILLANA!AD33</f>
        <v>4.826816</v>
      </c>
      <c r="S33" s="20">
        <f t="shared" si="10"/>
        <v>-21.311440088041476</v>
      </c>
      <c r="U33" s="18">
        <f>+[1]SANTILLANA!AG33</f>
        <v>4.9659999999999815E-2</v>
      </c>
      <c r="V33" s="19">
        <f>+[1]SANTILLANA!AH33</f>
        <v>0.12030499999999922</v>
      </c>
      <c r="W33" s="20">
        <f t="shared" si="11"/>
        <v>-58.721582644112772</v>
      </c>
      <c r="Z33" s="13" t="str">
        <f>+IF($B$3="esp","Ingresos de Explotación Ajustados a tipo constante","Operating Adjusted Revenues on constant currency")</f>
        <v>Operating Adjusted Revenues on constant currency</v>
      </c>
      <c r="AA33" s="13"/>
      <c r="AB33" s="14">
        <f>+[1]RADIO!AC33</f>
        <v>282.20160269223396</v>
      </c>
      <c r="AC33" s="15">
        <f>+[1]RADIO!AD33</f>
        <v>301.051233708707</v>
      </c>
      <c r="AD33" s="16">
        <f t="shared" ref="AD33:AD43" si="12">IF(AC33=0,"---",IF(OR(ABS((AB33-AC33)/ABS(AC33))&gt;2,(AB33*AC33)&lt;0),"---",IF(AC33="0","---",((AB33-AC33)/ABS(AC33))*100)))</f>
        <v>-6.2612701447062271</v>
      </c>
      <c r="AE33" s="13"/>
      <c r="AF33" s="14">
        <f>+[1]RADIO!AG33</f>
        <v>80.210140825587956</v>
      </c>
      <c r="AG33" s="15">
        <f>+[1]RADIO!AH33</f>
        <v>93.30436801573299</v>
      </c>
      <c r="AH33" s="16">
        <f t="shared" ref="AH33:AH43" si="13">IF(AG33=0,"---",IF(OR(ABS((AF33-AG33)/ABS(AG33))&gt;2,(AF33*AG33)&lt;0),"---",IF(AG33="0","---",((AF33-AG33)/ABS(AG33))*100)))</f>
        <v>-14.03388444572829</v>
      </c>
    </row>
    <row r="34" spans="4:45" ht="15" customHeight="1">
      <c r="D34" s="26" t="str">
        <f>+IF($B$3="esp","Latam","Latam")</f>
        <v>Latam</v>
      </c>
      <c r="F34" s="18">
        <f>+[1]GRUPO!AC34</f>
        <v>634.55645339820683</v>
      </c>
      <c r="G34" s="19">
        <f>+[1]GRUPO!AD34</f>
        <v>612.57855446431358</v>
      </c>
      <c r="H34" s="20">
        <f t="shared" si="8"/>
        <v>3.5877682582460677</v>
      </c>
      <c r="J34" s="18">
        <f>+[1]GRUPO!AG34</f>
        <v>194.27374379579442</v>
      </c>
      <c r="K34" s="19">
        <f>+[1]GRUPO!AH34</f>
        <v>174.75600002216964</v>
      </c>
      <c r="L34" s="20">
        <f t="shared" si="9"/>
        <v>11.168568616327187</v>
      </c>
      <c r="O34" s="26" t="str">
        <f>+IF($B$3="esp","Latam","Latam")</f>
        <v>Latam</v>
      </c>
      <c r="Q34" s="18">
        <f>+[1]SANTILLANA!AC34</f>
        <v>523.1150215660025</v>
      </c>
      <c r="R34" s="19">
        <f>+[1]SANTILLANA!AD34</f>
        <v>492.39941169770856</v>
      </c>
      <c r="S34" s="20">
        <f t="shared" si="10"/>
        <v>6.2379460938817521</v>
      </c>
      <c r="U34" s="18">
        <f>+[1]SANTILLANA!AG34</f>
        <v>161.40104954089452</v>
      </c>
      <c r="V34" s="19">
        <f>+[1]SANTILLANA!AH34</f>
        <v>135.4412464473682</v>
      </c>
      <c r="W34" s="20">
        <f t="shared" si="11"/>
        <v>19.166837115320089</v>
      </c>
      <c r="Z34" s="17" t="str">
        <f>+IF($B$3="esp","España","Spain")</f>
        <v>Spain</v>
      </c>
      <c r="AB34" s="18">
        <f>+[1]RADIO!AC34</f>
        <v>179.88399075000001</v>
      </c>
      <c r="AC34" s="19">
        <f>+[1]RADIO!AD34</f>
        <v>183.04277776999999</v>
      </c>
      <c r="AD34" s="20">
        <f t="shared" si="12"/>
        <v>-1.7257097267006676</v>
      </c>
      <c r="AF34" s="18">
        <f>+[1]RADIO!AG34</f>
        <v>50.849146560000008</v>
      </c>
      <c r="AG34" s="19">
        <f>+[1]RADIO!AH34</f>
        <v>53.541360689999976</v>
      </c>
      <c r="AH34" s="20">
        <f t="shared" si="13"/>
        <v>-5.0282885890548501</v>
      </c>
    </row>
    <row r="35" spans="4:45" s="13" customFormat="1" ht="15" customHeight="1">
      <c r="D35" s="13" t="str">
        <f>+IF($B$3="esp","EBITDA Ajustado a tipo constante","Adjusted EBITDA on constant currency")</f>
        <v>Adjusted EBITDA on constant currency</v>
      </c>
      <c r="F35" s="14">
        <f>+[1]GRUPO!AC35</f>
        <v>225.15665942767603</v>
      </c>
      <c r="G35" s="15">
        <f>+[1]GRUPO!AD35</f>
        <v>229.62580790043469</v>
      </c>
      <c r="H35" s="16">
        <f t="shared" si="8"/>
        <v>-1.9462744687202038</v>
      </c>
      <c r="J35" s="14">
        <f>+[1]GRUPO!AG35</f>
        <v>44.746350840640929</v>
      </c>
      <c r="K35" s="15">
        <f>+[1]GRUPO!AH35</f>
        <v>44.533968698237999</v>
      </c>
      <c r="L35" s="16">
        <f t="shared" si="9"/>
        <v>0.47689920438492867</v>
      </c>
      <c r="O35" s="13" t="str">
        <f>+IF($B$3="esp","EBITDA Ajustado a tipo constante","Adjusted EBITDA on constant currency")</f>
        <v>Adjusted EBITDA on constant currency</v>
      </c>
      <c r="Q35" s="14">
        <f>+[1]SANTILLANA!AC35</f>
        <v>181.33676956618893</v>
      </c>
      <c r="R35" s="15">
        <f>+[1]SANTILLANA!AD35</f>
        <v>180.24354300837336</v>
      </c>
      <c r="S35" s="16">
        <f t="shared" si="10"/>
        <v>0.60652744590400254</v>
      </c>
      <c r="U35" s="14">
        <f>+[1]SANTILLANA!AG35</f>
        <v>22.733579515724301</v>
      </c>
      <c r="V35" s="15">
        <f>+[1]SANTILLANA!AH35</f>
        <v>13.006834505259974</v>
      </c>
      <c r="W35" s="16">
        <f t="shared" si="11"/>
        <v>74.781800341434533</v>
      </c>
      <c r="Z35" s="17" t="str">
        <f>+IF($B$3="esp","Latam","Latam")</f>
        <v>Latam</v>
      </c>
      <c r="AA35" s="1"/>
      <c r="AB35" s="18">
        <f>+[1]RADIO!AC35</f>
        <v>96.106795148562099</v>
      </c>
      <c r="AC35" s="19">
        <f>+[1]RADIO!AD35</f>
        <v>98.9159717881315</v>
      </c>
      <c r="AD35" s="20">
        <f t="shared" si="12"/>
        <v>-2.8399626357474275</v>
      </c>
      <c r="AE35" s="1"/>
      <c r="AF35" s="18">
        <f>+[1]RADIO!AG35</f>
        <v>28.36959048396379</v>
      </c>
      <c r="AG35" s="19">
        <f>+[1]RADIO!AH35</f>
        <v>29.4804832476499</v>
      </c>
      <c r="AH35" s="20">
        <f t="shared" si="13"/>
        <v>-3.7682311865585403</v>
      </c>
    </row>
    <row r="36" spans="4:45" ht="15" customHeight="1">
      <c r="D36" s="17" t="str">
        <f>+IF($B$3="esp","España","Spain")</f>
        <v>Spain</v>
      </c>
      <c r="F36" s="18">
        <f>+[1]GRUPO!AC36</f>
        <v>49.884814593137563</v>
      </c>
      <c r="G36" s="19">
        <f>+[1]GRUPO!AD36</f>
        <v>61.032990543562221</v>
      </c>
      <c r="H36" s="20">
        <f t="shared" si="8"/>
        <v>-18.265819602052208</v>
      </c>
      <c r="J36" s="18">
        <f>+[1]GRUPO!AG36</f>
        <v>-20.966095820003574</v>
      </c>
      <c r="K36" s="19">
        <f>+[1]GRUPO!AH36</f>
        <v>-14.840719565735455</v>
      </c>
      <c r="L36" s="20">
        <f t="shared" si="9"/>
        <v>-41.274119001685797</v>
      </c>
      <c r="O36" s="17" t="str">
        <f>+IF($B$3="esp","España","Spain")</f>
        <v>Spain</v>
      </c>
      <c r="Q36" s="18">
        <f>+[1]SANTILLANA!AC36</f>
        <v>25.397423876975722</v>
      </c>
      <c r="R36" s="19">
        <f>+[1]SANTILLANA!AD36</f>
        <v>33.568710663561319</v>
      </c>
      <c r="S36" s="20">
        <f t="shared" si="10"/>
        <v>-24.34197389492082</v>
      </c>
      <c r="U36" s="18">
        <f>+[1]SANTILLANA!AG36</f>
        <v>-35.595048139999534</v>
      </c>
      <c r="V36" s="19">
        <f>+[1]SANTILLANA!AH36</f>
        <v>-34.872972715737205</v>
      </c>
      <c r="W36" s="20">
        <f t="shared" si="11"/>
        <v>-2.0705875296271374</v>
      </c>
      <c r="Z36" s="17" t="str">
        <f>+IF($B$3="esp","Música","Music")</f>
        <v>Music</v>
      </c>
      <c r="AB36" s="18">
        <f>+[1]RADIO!AC36</f>
        <v>15.824486118388849</v>
      </c>
      <c r="AC36" s="19">
        <f>+[1]RADIO!AD36</f>
        <v>28.723981215707802</v>
      </c>
      <c r="AD36" s="20">
        <f t="shared" si="12"/>
        <v>-44.908451236087089</v>
      </c>
      <c r="AF36" s="18">
        <f>+[1]RADIO!AG36</f>
        <v>3.9112952290182985</v>
      </c>
      <c r="AG36" s="19">
        <f>+[1]RADIO!AH36</f>
        <v>13.199449194946501</v>
      </c>
      <c r="AH36" s="20">
        <f t="shared" si="13"/>
        <v>-70.367739052961667</v>
      </c>
    </row>
    <row r="37" spans="4:45" ht="15" customHeight="1">
      <c r="D37" s="17" t="str">
        <f>+IF($B$3="esp","Internacional","International")</f>
        <v>International</v>
      </c>
      <c r="F37" s="18">
        <f>+[1]GRUPO!AC37</f>
        <v>175.27184483453848</v>
      </c>
      <c r="G37" s="19">
        <f>+[1]GRUPO!AD37</f>
        <v>168.59281735687247</v>
      </c>
      <c r="H37" s="20">
        <f t="shared" si="8"/>
        <v>3.9616322820728689</v>
      </c>
      <c r="J37" s="18">
        <f>+[1]GRUPO!AG37</f>
        <v>65.712446660644488</v>
      </c>
      <c r="K37" s="19">
        <f>+[1]GRUPO!AH37</f>
        <v>59.374688263973468</v>
      </c>
      <c r="L37" s="20">
        <f t="shared" si="9"/>
        <v>10.674175447446611</v>
      </c>
      <c r="O37" s="17" t="str">
        <f>+IF($B$3="esp","Internacional","International")</f>
        <v>International</v>
      </c>
      <c r="Q37" s="18">
        <f>+[1]SANTILLANA!AC37</f>
        <v>155.93934568921321</v>
      </c>
      <c r="R37" s="19">
        <f>+[1]SANTILLANA!AD37</f>
        <v>146.67483234481205</v>
      </c>
      <c r="S37" s="20">
        <f t="shared" si="10"/>
        <v>6.3163619799623083</v>
      </c>
      <c r="U37" s="18">
        <f>+[1]SANTILLANA!AG37</f>
        <v>58.328627655723835</v>
      </c>
      <c r="V37" s="19">
        <f>+[1]SANTILLANA!AH37</f>
        <v>47.879807220997179</v>
      </c>
      <c r="W37" s="20">
        <f t="shared" si="11"/>
        <v>21.823021104697425</v>
      </c>
      <c r="Z37" s="17" t="str">
        <f>+IF($B$3="esp","Ajustes y Otros","Adjustments &amp; others")</f>
        <v>Adjustments &amp; others</v>
      </c>
      <c r="AB37" s="18">
        <f>+[1]RADIO!AC37</f>
        <v>-9.6136693247169962</v>
      </c>
      <c r="AC37" s="19">
        <f>+[1]RADIO!AD37</f>
        <v>-9.6314970651322867</v>
      </c>
      <c r="AD37" s="20">
        <f t="shared" si="12"/>
        <v>0.18509833201143783</v>
      </c>
      <c r="AF37" s="18">
        <f>+[1]RADIO!AG37</f>
        <v>-2.9198914473941411</v>
      </c>
      <c r="AG37" s="19">
        <f>+[1]RADIO!AH37</f>
        <v>-2.9169251168633874</v>
      </c>
      <c r="AH37" s="20">
        <f t="shared" si="13"/>
        <v>-0.10169374981910469</v>
      </c>
    </row>
    <row r="38" spans="4:45" ht="15" customHeight="1">
      <c r="D38" s="26" t="str">
        <f>+IF($B$3="esp","Portugal","Portugal")</f>
        <v>Portugal</v>
      </c>
      <c r="F38" s="18">
        <f>+[1]GRUPO!AC38</f>
        <v>6.03499999999988E-2</v>
      </c>
      <c r="G38" s="19">
        <f>+[1]GRUPO!AD38</f>
        <v>0.188113</v>
      </c>
      <c r="H38" s="20">
        <f t="shared" si="8"/>
        <v>-67.918219368146381</v>
      </c>
      <c r="J38" s="18">
        <f>+[1]GRUPO!AG38</f>
        <v>-0.49665300000000212</v>
      </c>
      <c r="K38" s="19">
        <f>+[1]GRUPO!AH38</f>
        <v>-0.53787600000000002</v>
      </c>
      <c r="L38" s="20">
        <f t="shared" si="9"/>
        <v>7.6640340896410875</v>
      </c>
      <c r="O38" s="26" t="str">
        <f>+IF($B$3="esp","Portugal","Portugal")</f>
        <v>Portugal</v>
      </c>
      <c r="Q38" s="18">
        <f>+[1]SANTILLANA!AC38</f>
        <v>6.0349999999999508E-2</v>
      </c>
      <c r="R38" s="19">
        <f>+[1]SANTILLANA!AD38</f>
        <v>0.18811299999999898</v>
      </c>
      <c r="S38" s="20">
        <f t="shared" si="10"/>
        <v>-67.918219368145827</v>
      </c>
      <c r="U38" s="18">
        <f>+[1]SANTILLANA!AG38</f>
        <v>-0.4966530000000014</v>
      </c>
      <c r="V38" s="19">
        <f>+[1]SANTILLANA!AH38</f>
        <v>-0.53787600000000102</v>
      </c>
      <c r="W38" s="20">
        <f t="shared" si="11"/>
        <v>7.664034089641393</v>
      </c>
      <c r="Z38" s="13" t="str">
        <f>+IF($B$3="esp","Ingresos de Explotación a TC CTE con MX y CR","Operating Revenues on ctt ccy w/MX&amp;CR")</f>
        <v>Operating Revenues on ctt ccy w/MX&amp;CR</v>
      </c>
      <c r="AA38" s="13"/>
      <c r="AB38" s="14">
        <f>+[1]RADIO!AC38</f>
        <v>303.86642525676825</v>
      </c>
      <c r="AC38" s="15">
        <f>+[1]RADIO!AD38</f>
        <v>321.85204048669004</v>
      </c>
      <c r="AD38" s="16">
        <f t="shared" si="12"/>
        <v>-5.588162561506449</v>
      </c>
      <c r="AE38" s="13"/>
      <c r="AF38" s="14">
        <f>+[1]RADIO!AG38</f>
        <v>86.692615084167102</v>
      </c>
      <c r="AG38" s="15">
        <f>+[1]RADIO!AH38</f>
        <v>99.586915104370718</v>
      </c>
      <c r="AH38" s="16">
        <f t="shared" si="13"/>
        <v>-12.947785365868517</v>
      </c>
    </row>
    <row r="39" spans="4:45" ht="15" customHeight="1">
      <c r="D39" s="26" t="str">
        <f>+IF($B$3="esp","Latam","Latam")</f>
        <v>Latam</v>
      </c>
      <c r="F39" s="18">
        <f>+[1]GRUPO!AC39</f>
        <v>175.21149483453846</v>
      </c>
      <c r="G39" s="19">
        <f>+[1]GRUPO!AD39</f>
        <v>168.40470435687246</v>
      </c>
      <c r="H39" s="20">
        <f t="shared" si="8"/>
        <v>4.0419241871304763</v>
      </c>
      <c r="J39" s="18">
        <f>+[1]GRUPO!AG39</f>
        <v>66.209099660644455</v>
      </c>
      <c r="K39" s="19">
        <f>+[1]GRUPO!AH39</f>
        <v>59.912564263973451</v>
      </c>
      <c r="L39" s="20">
        <f t="shared" si="9"/>
        <v>10.509540818397635</v>
      </c>
      <c r="O39" s="26" t="str">
        <f>+IF($B$3="esp","Latam","Latam")</f>
        <v>Latam</v>
      </c>
      <c r="Q39" s="18">
        <f>+[1]SANTILLANA!AC39</f>
        <v>155.87899568921321</v>
      </c>
      <c r="R39" s="19">
        <f>+[1]SANTILLANA!AD39</f>
        <v>146.48671934481206</v>
      </c>
      <c r="S39" s="20">
        <f t="shared" si="10"/>
        <v>6.4116913713473709</v>
      </c>
      <c r="U39" s="18">
        <f>+[1]SANTILLANA!AG39</f>
        <v>58.82528065572383</v>
      </c>
      <c r="V39" s="19">
        <f>+[1]SANTILLANA!AH39</f>
        <v>48.417683220997191</v>
      </c>
      <c r="W39" s="20">
        <f t="shared" si="11"/>
        <v>21.495446998614753</v>
      </c>
      <c r="Z39" s="13" t="str">
        <f>+IF($B$3="esp","EBITDA Ajustado a tipo constante","Adjusted EBITDA on constant currency")</f>
        <v>Adjusted EBITDA on constant currency</v>
      </c>
      <c r="AA39" s="13"/>
      <c r="AB39" s="14">
        <f>+[1]RADIO!AC39</f>
        <v>47.256002858221713</v>
      </c>
      <c r="AC39" s="15">
        <f>+[1]RADIO!AD39</f>
        <v>46.673510881185237</v>
      </c>
      <c r="AD39" s="16">
        <f t="shared" si="12"/>
        <v>1.2480140577367338</v>
      </c>
      <c r="AE39" s="13"/>
      <c r="AF39" s="14">
        <f>+[1]RADIO!AG39</f>
        <v>18.744098396876996</v>
      </c>
      <c r="AG39" s="15">
        <f>+[1]RADIO!AH39</f>
        <v>22.540205619784057</v>
      </c>
      <c r="AH39" s="16">
        <f t="shared" si="13"/>
        <v>-16.841493316170684</v>
      </c>
    </row>
    <row r="40" spans="4:45" s="22" customFormat="1" ht="15" customHeight="1">
      <c r="D40" s="21" t="str">
        <f>+IF($B$3="esp","Margen EBITDA Ajustado","Adjusted EBITDA Margin")</f>
        <v>Adjusted EBITDA Margin</v>
      </c>
      <c r="F40" s="27">
        <f>+F35/F30</f>
        <v>0.19416651868821211</v>
      </c>
      <c r="G40" s="28">
        <f>+G35/G30</f>
        <v>0.19527879836190506</v>
      </c>
      <c r="H40" s="29"/>
      <c r="J40" s="27">
        <f>+J35/J30</f>
        <v>0.15454049495349748</v>
      </c>
      <c r="K40" s="28">
        <f>+K35/K30</f>
        <v>0.15991763194461309</v>
      </c>
      <c r="L40" s="29"/>
      <c r="O40" s="21" t="str">
        <f>+IF($B$3="esp","Margen EBITDA Ajustado","Adjusted EBITDA Margin")</f>
        <v>Adjusted EBITDA Margin</v>
      </c>
      <c r="Q40" s="27">
        <f>+Q35/Q30</f>
        <v>0.27986366151969377</v>
      </c>
      <c r="R40" s="28">
        <f>+R35/R30</f>
        <v>0.28492137719771082</v>
      </c>
      <c r="S40" s="29"/>
      <c r="U40" s="27">
        <f>+U35/U30</f>
        <v>0.15851033578605433</v>
      </c>
      <c r="V40" s="28">
        <f>+V35/V30</f>
        <v>0.10923395318205842</v>
      </c>
      <c r="W40" s="29"/>
      <c r="Z40" s="17" t="str">
        <f>+IF($B$3="esp","España","Spain")</f>
        <v>Spain</v>
      </c>
      <c r="AA40" s="1"/>
      <c r="AB40" s="18">
        <f>+[1]RADIO!AC40</f>
        <v>24.341100030000209</v>
      </c>
      <c r="AC40" s="19">
        <f>+[1]RADIO!AD40</f>
        <v>22.756132769999997</v>
      </c>
      <c r="AD40" s="20">
        <f t="shared" si="12"/>
        <v>6.9650114807280259</v>
      </c>
      <c r="AE40" s="1"/>
      <c r="AF40" s="18">
        <f>+[1]RADIO!AG40</f>
        <v>9.5739530800003099</v>
      </c>
      <c r="AG40" s="19">
        <f>+[1]RADIO!AH40</f>
        <v>10.668064629999998</v>
      </c>
      <c r="AH40" s="20">
        <f t="shared" si="13"/>
        <v>-10.25595164583933</v>
      </c>
    </row>
    <row r="41" spans="4:45" s="13" customFormat="1" ht="15" customHeight="1">
      <c r="D41" s="13" t="str">
        <f>+IF($B$3="esp","EBIT Ajustado a tipo constante","Adjusted EBIT on constant currency")</f>
        <v>Adjusted EBIT on constant currency</v>
      </c>
      <c r="F41" s="14">
        <f>+[1]GRUPO!AC41</f>
        <v>135.45952490585069</v>
      </c>
      <c r="G41" s="15">
        <f>+[1]GRUPO!AD41</f>
        <v>132.81609243075769</v>
      </c>
      <c r="H41" s="16">
        <f>IF(G41=0,"---",IF(OR(ABS((F41-G41)/ABS(G41))&gt;2,(F41*G41)&lt;0),"---",IF(G41="0","---",((F41-G41)/ABS(G41))*100)))</f>
        <v>1.9902953224370155</v>
      </c>
      <c r="J41" s="14">
        <f>+[1]GRUPO!AG41</f>
        <v>27.989973894520674</v>
      </c>
      <c r="K41" s="15">
        <f>+[1]GRUPO!AH41</f>
        <v>33.815937863003214</v>
      </c>
      <c r="L41" s="16">
        <f>IF(K41=0,"---",IF(OR(ABS((J41-K41)/ABS(K41))&gt;2,(J41*K41)&lt;0),"---",IF(K41="0","---",((J41-K41)/ABS(K41))*100)))</f>
        <v>-17.228455978612722</v>
      </c>
      <c r="O41" s="13" t="str">
        <f>+IF($B$3="esp","EBIT Ajustado a tipo constante","Adjusted EBIT on constant currency")</f>
        <v>Adjusted EBIT on constant currency</v>
      </c>
      <c r="Q41" s="14">
        <f>+[1]SANTILLANA!AC41</f>
        <v>111.96719172215809</v>
      </c>
      <c r="R41" s="15">
        <f>+[1]SANTILLANA!AD41</f>
        <v>108.78479638580626</v>
      </c>
      <c r="S41" s="16">
        <f>IF(R41=0,"---",IF(OR(ABS((Q41-R41)/ABS(R41))&gt;2,(Q41*R41)&lt;0),"---",IF(R41="0","---",((Q41-R41)/ABS(R41))*100)))</f>
        <v>2.9254045069546644</v>
      </c>
      <c r="U41" s="14">
        <f>+[1]SANTILLANA!AG41</f>
        <v>11.718672870108421</v>
      </c>
      <c r="V41" s="15">
        <f>+[1]SANTILLANA!AH41</f>
        <v>9.8177241337053829</v>
      </c>
      <c r="W41" s="16">
        <f>IF(V41=0,"---",IF(OR(ABS((U41-V41)/ABS(V41))&gt;2,(U41*V41)&lt;0),"---",IF(V41="0","---",((U41-V41)/ABS(V41))*100)))</f>
        <v>19.362417506485652</v>
      </c>
      <c r="Z41" s="17" t="str">
        <f>+IF($B$3="esp","Latam","Latam")</f>
        <v>Latam</v>
      </c>
      <c r="AA41" s="1"/>
      <c r="AB41" s="18">
        <f>+[1]RADIO!AC41</f>
        <v>24.735154065006707</v>
      </c>
      <c r="AC41" s="19">
        <f>+[1]RADIO!AD41</f>
        <v>23.540231357085041</v>
      </c>
      <c r="AD41" s="20">
        <f t="shared" si="12"/>
        <v>5.0760873578331394</v>
      </c>
      <c r="AE41" s="1"/>
      <c r="AF41" s="18">
        <f>+[1]RADIO!AG41</f>
        <v>9.53808015404279</v>
      </c>
      <c r="AG41" s="19">
        <f>+[1]RADIO!AH41</f>
        <v>10.34691961141036</v>
      </c>
      <c r="AH41" s="20">
        <f t="shared" si="13"/>
        <v>-7.8172005557634723</v>
      </c>
    </row>
    <row r="42" spans="4:45" ht="15" customHeight="1">
      <c r="D42" s="17" t="str">
        <f>+IF($B$3="esp","España","Spain")</f>
        <v>Spain</v>
      </c>
      <c r="F42" s="18">
        <f>+[1]GRUPO!AC42</f>
        <v>19.182701869761456</v>
      </c>
      <c r="G42" s="19">
        <f>+[1]GRUPO!AD42</f>
        <v>17.747856933968286</v>
      </c>
      <c r="H42" s="20">
        <f>IF(G42=0,"---",IF(OR(ABS((F42-G42)/ABS(G42))&gt;2,(F42*G42)&lt;0),"---",IF(G42="0","---",((F42-G42)/ABS(G42))*100)))</f>
        <v>8.084609545431741</v>
      </c>
      <c r="J42" s="18">
        <f>+[1]GRUPO!AG42</f>
        <v>-12.441981292698649</v>
      </c>
      <c r="K42" s="19">
        <f>+[1]GRUPO!AH42</f>
        <v>-7.0848118296018079</v>
      </c>
      <c r="L42" s="20">
        <f>IF(K42=0,"---",IF(OR(ABS((J42-K42)/ABS(K42))&gt;2,(J42*K42)&lt;0),"---",IF(K42="0","---",((J42-K42)/ABS(K42))*100)))</f>
        <v>-75.614844712085088</v>
      </c>
      <c r="O42" s="17" t="str">
        <f>+IF($B$3="esp","España","Spain")</f>
        <v>Spain</v>
      </c>
      <c r="Q42" s="18">
        <f>+[1]SANTILLANA!AC42</f>
        <v>7.7884945969760651</v>
      </c>
      <c r="R42" s="19">
        <f>+[1]SANTILLANA!AD42</f>
        <v>11.677137953561157</v>
      </c>
      <c r="S42" s="20">
        <f>IF(R42=0,"---",IF(OR(ABS((Q42-R42)/ABS(R42))&gt;2,(Q42*R42)&lt;0),"---",IF(R42="0","---",((Q42-R42)/ABS(R42))*100)))</f>
        <v>-33.301339523861486</v>
      </c>
      <c r="U42" s="18">
        <f>+[1]SANTILLANA!AG42</f>
        <v>-24.272338319999548</v>
      </c>
      <c r="V42" s="19">
        <f>+[1]SANTILLANA!AH42</f>
        <v>-21.161591645736777</v>
      </c>
      <c r="W42" s="20">
        <f>IF(V42=0,"---",IF(OR(ABS((U42-V42)/ABS(V42))&gt;2,(U42*V42)&lt;0),"---",IF(V42="0","---",((U42-V42)/ABS(V42))*100)))</f>
        <v>-14.699965514595226</v>
      </c>
      <c r="Z42" s="17" t="str">
        <f>+IF($B$3="esp","Música","Music")</f>
        <v>Music</v>
      </c>
      <c r="AB42" s="18">
        <f>+[1]RADIO!AC42</f>
        <v>-1.8202512367850601</v>
      </c>
      <c r="AC42" s="19">
        <f>+[1]RADIO!AD42</f>
        <v>0.37714675410039095</v>
      </c>
      <c r="AD42" s="20" t="str">
        <f t="shared" si="12"/>
        <v>---</v>
      </c>
      <c r="AF42" s="18">
        <f>+[1]RADIO!AG42</f>
        <v>-0.36793483716616993</v>
      </c>
      <c r="AG42" s="19">
        <f>+[1]RADIO!AH42</f>
        <v>1.5224931783738009</v>
      </c>
      <c r="AH42" s="20" t="str">
        <f t="shared" si="13"/>
        <v>---</v>
      </c>
    </row>
    <row r="43" spans="4:45" ht="15" customHeight="1">
      <c r="D43" s="17" t="str">
        <f>+IF($B$3="esp","Internacional","International")</f>
        <v>International</v>
      </c>
      <c r="F43" s="18">
        <f>+[1]GRUPO!AC43</f>
        <v>116.27682303608924</v>
      </c>
      <c r="G43" s="19">
        <f>+[1]GRUPO!AD43</f>
        <v>115.0682354967894</v>
      </c>
      <c r="H43" s="20">
        <f>IF(G43=0,"---",IF(OR(ABS((F43-G43)/ABS(G43))&gt;2,(F43*G43)&lt;0),"---",IF(G43="0","---",((F43-G43)/ABS(G43))*100)))</f>
        <v>1.0503224752530107</v>
      </c>
      <c r="J43" s="18">
        <f>+[1]GRUPO!AG43</f>
        <v>40.43195518721933</v>
      </c>
      <c r="K43" s="19">
        <f>+[1]GRUPO!AH43</f>
        <v>40.900749692605018</v>
      </c>
      <c r="L43" s="20">
        <f>IF(K43=0,"---",IF(OR(ABS((J43-K43)/ABS(K43))&gt;2,(J43*K43)&lt;0),"---",IF(K43="0","---",((J43-K43)/ABS(K43))*100)))</f>
        <v>-1.1461758254041181</v>
      </c>
      <c r="O43" s="17" t="str">
        <f>+IF($B$3="esp","Internacional","International")</f>
        <v>International</v>
      </c>
      <c r="Q43" s="18">
        <f>+[1]SANTILLANA!AC43</f>
        <v>104.17869712518203</v>
      </c>
      <c r="R43" s="19">
        <f>+[1]SANTILLANA!AD43</f>
        <v>97.107658432245103</v>
      </c>
      <c r="S43" s="20">
        <f>IF(R43=0,"---",IF(OR(ABS((Q43-R43)/ABS(R43))&gt;2,(Q43*R43)&lt;0),"---",IF(R43="0","---",((Q43-R43)/ABS(R43))*100)))</f>
        <v>7.2816488494268414</v>
      </c>
      <c r="U43" s="18">
        <f>+[1]SANTILLANA!AG43</f>
        <v>35.991011190107969</v>
      </c>
      <c r="V43" s="19">
        <f>+[1]SANTILLANA!AH43</f>
        <v>30.97931577944216</v>
      </c>
      <c r="W43" s="20">
        <f>IF(V43=0,"---",IF(OR(ABS((U43-V43)/ABS(V43))&gt;2,(U43*V43)&lt;0),"---",IF(V43="0","---",((U43-V43)/ABS(V43))*100)))</f>
        <v>16.177553585581656</v>
      </c>
      <c r="Z43" s="17" t="str">
        <f>+IF($B$3="esp","Ajustes y Otros","Adjustments &amp; others")</f>
        <v>Adjustments &amp; others</v>
      </c>
      <c r="AB43" s="18">
        <f>+[1]RADIO!AC43</f>
        <v>-1.4366285938649526E-13</v>
      </c>
      <c r="AC43" s="19">
        <f>+[1]RADIO!AD43</f>
        <v>-1.9201307210892082E-13</v>
      </c>
      <c r="AD43" s="20">
        <f t="shared" si="12"/>
        <v>25.18068806013299</v>
      </c>
      <c r="AF43" s="18">
        <f>+[1]RADIO!AG43</f>
        <v>6.6391336872584361E-14</v>
      </c>
      <c r="AG43" s="19">
        <f>+[1]RADIO!AH43</f>
        <v>2.7281999998978734E-3</v>
      </c>
      <c r="AH43" s="20">
        <f t="shared" si="13"/>
        <v>-99.999999997566476</v>
      </c>
    </row>
    <row r="44" spans="4:45" ht="15" customHeight="1">
      <c r="D44" s="26" t="str">
        <f>+IF($B$3="esp","Portugal","Portugal")</f>
        <v>Portugal</v>
      </c>
      <c r="F44" s="18">
        <f>+[1]GRUPO!AC44</f>
        <v>-0.74142800000000098</v>
      </c>
      <c r="G44" s="19">
        <f>+[1]GRUPO!AD44</f>
        <v>-0.24863400000000002</v>
      </c>
      <c r="H44" s="20">
        <f>IF(G44=0,"---",IF(OR(ABS((F44-G44)/ABS(G44))&gt;2,(F44*G44)&lt;0),"---",IF(G44="0","---",((F44-G44)/ABS(G44))*100)))</f>
        <v>-198.20056790302246</v>
      </c>
      <c r="J44" s="18">
        <f>+[1]GRUPO!AG44</f>
        <v>-0.8553840000000017</v>
      </c>
      <c r="K44" s="19">
        <f>+[1]GRUPO!AH44</f>
        <v>-0.58021900000000004</v>
      </c>
      <c r="L44" s="20">
        <f>IF(K44=0,"---",IF(OR(ABS((J44-K44)/ABS(K44))&gt;2,(J44*K44)&lt;0),"---",IF(K44="0","---",((J44-K44)/ABS(K44))*100)))</f>
        <v>-47.424334604692646</v>
      </c>
      <c r="O44" s="26" t="str">
        <f>+IF($B$3="esp","Portugal","Portugal")</f>
        <v>Portugal</v>
      </c>
      <c r="Q44" s="18">
        <f>+[1]SANTILLANA!AC44</f>
        <v>-0.74142800000000098</v>
      </c>
      <c r="R44" s="19">
        <f>+[1]SANTILLANA!AD44</f>
        <v>-0.24863400000000102</v>
      </c>
      <c r="S44" s="20">
        <f>IF(R44=0,"---",IF(OR(ABS((Q44-R44)/ABS(R44))&gt;2,(Q44*R44)&lt;0),"---",IF(R44="0","---",((Q44-R44)/ABS(R44))*100)))</f>
        <v>-198.20056790302127</v>
      </c>
      <c r="U44" s="18">
        <f>+[1]SANTILLANA!AG44</f>
        <v>-0.85538400000000214</v>
      </c>
      <c r="V44" s="19">
        <f>+[1]SANTILLANA!AH44</f>
        <v>-0.58021900000000093</v>
      </c>
      <c r="W44" s="20">
        <f>IF(V44=0,"---",IF(OR(ABS((U44-V44)/ABS(V44))&gt;2,(U44*V44)&lt;0),"---",IF(V44="0","---",((U44-V44)/ABS(V44))*100)))</f>
        <v>-47.424334604692497</v>
      </c>
      <c r="Z44" s="21" t="str">
        <f>+IF($B$3="esp","Margen EBITDA Ajustado","Adjusted EBITDA Margin")</f>
        <v>Adjusted EBITDA Margin</v>
      </c>
      <c r="AA44" s="22"/>
      <c r="AB44" s="27">
        <f>+AB39/AB33</f>
        <v>0.16745476427984218</v>
      </c>
      <c r="AC44" s="28">
        <f>+AC39/AC33</f>
        <v>0.15503510916133922</v>
      </c>
      <c r="AD44" s="29"/>
      <c r="AE44" s="22"/>
      <c r="AF44" s="27">
        <f>+AF39/AF33</f>
        <v>0.23368738919976331</v>
      </c>
      <c r="AG44" s="28">
        <f>+AG39/AG33</f>
        <v>0.2415771747790342</v>
      </c>
      <c r="AH44" s="29"/>
    </row>
    <row r="45" spans="4:45" ht="15" customHeight="1">
      <c r="D45" s="26" t="str">
        <f>+IF($B$3="esp","Latam","Latam")</f>
        <v>Latam</v>
      </c>
      <c r="F45" s="18">
        <f>+[1]GRUPO!AC45</f>
        <v>117.01825103608924</v>
      </c>
      <c r="G45" s="19">
        <f>+[1]GRUPO!AD45</f>
        <v>115.31686949678939</v>
      </c>
      <c r="H45" s="20">
        <f>IF(G45=0,"---",IF(OR(ABS((F45-G45)/ABS(G45))&gt;2,(F45*G45)&lt;0),"---",IF(G45="0","---",((F45-G45)/ABS(G45))*100)))</f>
        <v>1.4753969187025273</v>
      </c>
      <c r="J45" s="18">
        <f>+[1]GRUPO!AG45</f>
        <v>41.287339187219331</v>
      </c>
      <c r="K45" s="19">
        <f>+[1]GRUPO!AH45</f>
        <v>41.480968692605018</v>
      </c>
      <c r="L45" s="20">
        <f>IF(K45=0,"---",IF(OR(ABS((J45-K45)/ABS(K45))&gt;2,(J45*K45)&lt;0),"---",IF(K45="0","---",((J45-K45)/ABS(K45))*100)))</f>
        <v>-0.46679118518320861</v>
      </c>
      <c r="O45" s="26" t="str">
        <f>+IF($B$3="esp","Latam","Latam")</f>
        <v>Latam</v>
      </c>
      <c r="Q45" s="18">
        <f>+[1]SANTILLANA!AC45</f>
        <v>104.92012512518203</v>
      </c>
      <c r="R45" s="19">
        <f>+[1]SANTILLANA!AD45</f>
        <v>97.356292432245098</v>
      </c>
      <c r="S45" s="20">
        <f>IF(R45=0,"---",IF(OR(ABS((Q45-R45)/ABS(R45))&gt;2,(Q45*R45)&lt;0),"---",IF(R45="0","---",((Q45-R45)/ABS(R45))*100)))</f>
        <v>7.7692283713463723</v>
      </c>
      <c r="U45" s="18">
        <f>+[1]SANTILLANA!AG45</f>
        <v>36.84639519010797</v>
      </c>
      <c r="V45" s="19">
        <f>+[1]SANTILLANA!AH45</f>
        <v>31.55953477944216</v>
      </c>
      <c r="W45" s="20">
        <f>IF(V45=0,"---",IF(OR(ABS((U45-V45)/ABS(V45))&gt;2,(U45*V45)&lt;0),"---",IF(V45="0","---",((U45-V45)/ABS(V45))*100)))</f>
        <v>16.752022637892825</v>
      </c>
      <c r="Z45" s="13" t="str">
        <f>+IF($B$3="esp","EBITDA Ajustado a TC CTE con MX y CR","Adjusted EBITDA on ctt ccy w/MX&amp;CR")</f>
        <v>Adjusted EBITDA on ctt ccy w/MX&amp;CR</v>
      </c>
      <c r="AA45" s="13"/>
      <c r="AB45" s="14">
        <f>+[1]RADIO!AC45</f>
        <v>56.112931045410512</v>
      </c>
      <c r="AC45" s="15">
        <f>+[1]RADIO!AD45</f>
        <v>54.804604989568283</v>
      </c>
      <c r="AD45" s="16">
        <f t="shared" ref="AD45:AD50" si="14">IF(AC45=0,"---",IF(OR(ABS((AB45-AC45)/ABS(AC45))&gt;2,(AB45*AC45)&lt;0),"---",IF(AC45="0","---",((AB45-AC45)/ABS(AC45))*100)))</f>
        <v>2.3872556988436671</v>
      </c>
      <c r="AE45" s="13"/>
      <c r="AF45" s="14">
        <f>+[1]RADIO!AG45</f>
        <v>21.845142360612421</v>
      </c>
      <c r="AG45" s="15">
        <f>+[1]RADIO!AH45</f>
        <v>25.349824579119883</v>
      </c>
      <c r="AH45" s="16">
        <f t="shared" ref="AH45:AH50" si="15">IF(AG45=0,"---",IF(OR(ABS((AF45-AG45)/ABS(AG45))&gt;2,(AF45*AG45)&lt;0),"---",IF(AG45="0","---",((AF45-AG45)/ABS(AG45))*100)))</f>
        <v>-13.825272074640685</v>
      </c>
    </row>
    <row r="46" spans="4:45" s="22" customFormat="1" ht="15" customHeight="1">
      <c r="D46" s="30" t="str">
        <f>+IF($B$3="esp","Margen EBIT Ajustado","Adjusted EBIT Margin")</f>
        <v>Adjusted EBIT Margin</v>
      </c>
      <c r="F46" s="31">
        <f>+F41/F30</f>
        <v>0.11681512970117913</v>
      </c>
      <c r="G46" s="32">
        <f>+G41/G30</f>
        <v>0.11294970356401729</v>
      </c>
      <c r="H46" s="33"/>
      <c r="J46" s="31">
        <f>+J41/J30</f>
        <v>9.6668987261101541E-2</v>
      </c>
      <c r="K46" s="32">
        <f>+K41/K30</f>
        <v>0.1214301097142419</v>
      </c>
      <c r="L46" s="33"/>
      <c r="O46" s="30" t="str">
        <f>+IF($B$3="esp","Margen EBIT Ajustado","Adjusted EBIT Margin")</f>
        <v>Adjusted EBIT Margin</v>
      </c>
      <c r="Q46" s="31">
        <f>+Q41/Q30</f>
        <v>0.17280305765016432</v>
      </c>
      <c r="R46" s="32">
        <f>+R41/R30</f>
        <v>0.1719624097878312</v>
      </c>
      <c r="S46" s="33"/>
      <c r="U46" s="31">
        <f>+U41/U30</f>
        <v>8.1708679898957359E-2</v>
      </c>
      <c r="V46" s="32">
        <f>+V41/V30</f>
        <v>8.2451177336180279E-2</v>
      </c>
      <c r="W46" s="33"/>
      <c r="Z46" s="13" t="str">
        <f>+IF($B$3="esp","EBIT Ajustado a tipo constante","Adjusted EBIT on constant currency")</f>
        <v>Adjusted EBIT on constant currency</v>
      </c>
      <c r="AA46" s="13"/>
      <c r="AB46" s="14">
        <f>+[1]RADIO!AC46</f>
        <v>36.774043288510171</v>
      </c>
      <c r="AC46" s="15">
        <f>+[1]RADIO!AD46</f>
        <v>34.036996296554435</v>
      </c>
      <c r="AD46" s="16">
        <f t="shared" si="14"/>
        <v>8.0413881651266852</v>
      </c>
      <c r="AE46" s="13"/>
      <c r="AF46" s="14">
        <f>+[1]RADIO!AG46</f>
        <v>15.268409476632677</v>
      </c>
      <c r="AG46" s="15">
        <f>+[1]RADIO!AH46</f>
        <v>18.187395795805465</v>
      </c>
      <c r="AH46" s="16">
        <f t="shared" si="15"/>
        <v>-16.049501269697942</v>
      </c>
    </row>
    <row r="47" spans="4:45">
      <c r="Z47" s="17" t="str">
        <f>+IF($B$3="esp","España","Spain")</f>
        <v>Spain</v>
      </c>
      <c r="AB47" s="18">
        <f>+[1]RADIO!AC47</f>
        <v>18.116442310000398</v>
      </c>
      <c r="AC47" s="19">
        <f>+[1]RADIO!AD47</f>
        <v>16.196975300000027</v>
      </c>
      <c r="AD47" s="20">
        <f t="shared" si="14"/>
        <v>11.850774446759624</v>
      </c>
      <c r="AF47" s="18">
        <f>+[1]RADIO!AG47</f>
        <v>7.6190650500004971</v>
      </c>
      <c r="AG47" s="19">
        <f>+[1]RADIO!AH47</f>
        <v>9.3051792199999266</v>
      </c>
      <c r="AH47" s="20">
        <f t="shared" si="15"/>
        <v>-18.120168673112811</v>
      </c>
    </row>
    <row r="48" spans="4:45">
      <c r="D48" s="9"/>
      <c r="F48" s="10">
        <v>2017</v>
      </c>
      <c r="G48" s="10">
        <v>2016</v>
      </c>
      <c r="H48" s="10" t="str">
        <f>+IF($B$3="esp","Var.%","% Chg.")</f>
        <v>% Chg.</v>
      </c>
      <c r="J48" s="10">
        <v>2017</v>
      </c>
      <c r="K48" s="10">
        <v>2016</v>
      </c>
      <c r="L48" s="10" t="str">
        <f>+IF($B$3="esp","Var.%","% Chg.")</f>
        <v>% Chg.</v>
      </c>
      <c r="O48" s="9"/>
      <c r="Q48" s="10">
        <v>2017</v>
      </c>
      <c r="R48" s="10">
        <v>2016</v>
      </c>
      <c r="S48" s="10" t="str">
        <f>+IF($B$3="esp","Var.%","% Chg.")</f>
        <v>% Chg.</v>
      </c>
      <c r="U48" s="10">
        <v>2017</v>
      </c>
      <c r="V48" s="10">
        <v>2016</v>
      </c>
      <c r="W48" s="10" t="str">
        <f>+IF($B$3="esp","Var.%","% Chg.")</f>
        <v>% Chg.</v>
      </c>
      <c r="Z48" s="17" t="str">
        <f>+IF($B$3="esp","Latam","Latam")</f>
        <v>Latam</v>
      </c>
      <c r="AB48" s="18">
        <f>+[1]RADIO!AC48</f>
        <v>20.966524709487981</v>
      </c>
      <c r="AC48" s="19">
        <f>+[1]RADIO!AD48</f>
        <v>20.011044197186138</v>
      </c>
      <c r="AD48" s="20">
        <f t="shared" si="14"/>
        <v>4.774765888709589</v>
      </c>
      <c r="AF48" s="18">
        <f>+[1]RADIO!AG48</f>
        <v>8.100241232595188</v>
      </c>
      <c r="AG48" s="19">
        <f>+[1]RADIO!AH48</f>
        <v>8.9508924931594898</v>
      </c>
      <c r="AH48" s="20">
        <f t="shared" si="15"/>
        <v>-9.5035356665761785</v>
      </c>
      <c r="AK48" s="9"/>
      <c r="AM48" s="10">
        <v>2017</v>
      </c>
      <c r="AN48" s="10">
        <v>2016</v>
      </c>
      <c r="AO48" s="10" t="str">
        <f>+IF($B$3="esp","Var.%","% Chg.")</f>
        <v>% Chg.</v>
      </c>
      <c r="AQ48" s="10">
        <v>2017</v>
      </c>
      <c r="AR48" s="10">
        <v>2016</v>
      </c>
      <c r="AS48" s="10" t="str">
        <f>+IF($B$3="esp","Var.%","% Chg.")</f>
        <v>% Chg.</v>
      </c>
    </row>
    <row r="49" spans="4:45" ht="15.75" customHeight="1">
      <c r="D49" s="11" t="str">
        <f>+IF($B$3="esp","Resultados Reportados","Reported Results")</f>
        <v>Reported Results</v>
      </c>
      <c r="F49" s="12"/>
      <c r="G49" s="12"/>
      <c r="H49" s="12"/>
      <c r="J49" s="12"/>
      <c r="K49" s="12"/>
      <c r="L49" s="12"/>
      <c r="O49" s="11" t="str">
        <f>+IF($B$3="esp","Resultados Reportados","Reported Results")</f>
        <v>Reported Results</v>
      </c>
      <c r="Q49" s="12"/>
      <c r="R49" s="12"/>
      <c r="S49" s="12"/>
      <c r="U49" s="12"/>
      <c r="V49" s="12"/>
      <c r="W49" s="12"/>
      <c r="Z49" s="17" t="str">
        <f>+IF($B$3="esp","Música","Music")</f>
        <v>Music</v>
      </c>
      <c r="AB49" s="18">
        <f>+[1]RADIO!AC49</f>
        <v>-2.5322237896147701</v>
      </c>
      <c r="AC49" s="19">
        <f>+[1]RADIO!AD49</f>
        <v>-2.1710232006316401</v>
      </c>
      <c r="AD49" s="20">
        <f t="shared" si="14"/>
        <v>-16.637343575049858</v>
      </c>
      <c r="AF49" s="18">
        <f>+[1]RADIO!AG49</f>
        <v>-0.67419686459943007</v>
      </c>
      <c r="AG49" s="19">
        <f>+[1]RADIO!AH49</f>
        <v>-7.1404117354139984E-2</v>
      </c>
      <c r="AH49" s="20" t="str">
        <f t="shared" si="15"/>
        <v>---</v>
      </c>
      <c r="AK49" s="11" t="str">
        <f>+IF($B$3="esp","Resultados Reportados","Reported Results")</f>
        <v>Reported Results</v>
      </c>
      <c r="AM49" s="12"/>
      <c r="AN49" s="12"/>
      <c r="AO49" s="12"/>
      <c r="AQ49" s="12"/>
      <c r="AR49" s="12"/>
      <c r="AS49" s="12"/>
    </row>
    <row r="50" spans="4:45" s="13" customFormat="1" ht="15" customHeight="1">
      <c r="D50" s="13" t="str">
        <f>+IF($B$3="esp","Ingresos de Explotación","Operating Revenues")</f>
        <v>Operating Revenues</v>
      </c>
      <c r="F50" s="14">
        <f>+[1]GRUPO!AC50</f>
        <v>1170.7049788490699</v>
      </c>
      <c r="G50" s="15">
        <f>+[1]GRUPO!AD50</f>
        <v>1184.4820341678399</v>
      </c>
      <c r="H50" s="16">
        <f t="shared" ref="H50:H64" si="16">IF(G50=0,"---",IF(OR(ABS((F50-G50)/ABS(G50))&gt;2,(F50*G50)&lt;0),"---",IF(G50="0","---",((F50-G50)/ABS(G50))*100)))</f>
        <v>-1.1631291080281392</v>
      </c>
      <c r="J50" s="14">
        <f>+[1]GRUPO!AG50</f>
        <v>277.103918405738</v>
      </c>
      <c r="K50" s="15">
        <f>+[1]GRUPO!AH50</f>
        <v>287.07566190961688</v>
      </c>
      <c r="L50" s="16">
        <f t="shared" ref="L50:L64" si="17">IF(K50=0,"---",IF(OR(ABS((J50-K50)/ABS(K50))&gt;2,(J50*K50)&lt;0),"---",IF(K50="0","---",((J50-K50)/ABS(K50))*100)))</f>
        <v>-3.4735593528016993</v>
      </c>
      <c r="O50" s="13" t="str">
        <f>+IF($B$3="esp","Ingresos de Explotación","Operating Revenues")</f>
        <v>Operating Revenues</v>
      </c>
      <c r="Q50" s="14">
        <f>+[1]SANTILLANA!AC50</f>
        <v>656.20281064317601</v>
      </c>
      <c r="R50" s="15">
        <f>+[1]SANTILLANA!AD50</f>
        <v>637.53499708361801</v>
      </c>
      <c r="S50" s="16">
        <f t="shared" ref="S50:S64" si="18">IF(R50=0,"---",IF(OR(ABS((Q50-R50)/ABS(R50))&gt;2,(Q50*R50)&lt;0),"---",IF(R50="0","---",((Q50-R50)/ABS(R50))*100)))</f>
        <v>2.9281237335916104</v>
      </c>
      <c r="U50" s="14">
        <f>+[1]SANTILLANA!AG50</f>
        <v>133.59365224861506</v>
      </c>
      <c r="V50" s="15">
        <f>+[1]SANTILLANA!AH50</f>
        <v>124.00017867727502</v>
      </c>
      <c r="W50" s="16">
        <f t="shared" ref="W50:W64" si="19">IF(V50=0,"---",IF(OR(ABS((U50-V50)/ABS(V50))&gt;2,(U50*V50)&lt;0),"---",IF(V50="0","---",((U50-V50)/ABS(V50))*100)))</f>
        <v>7.7366610868426084</v>
      </c>
      <c r="Z50" s="17" t="str">
        <f>+IF($B$3="esp","Ajustes y Otros","Adjustments &amp; others")</f>
        <v>Adjustments &amp; others</v>
      </c>
      <c r="AA50" s="1"/>
      <c r="AB50" s="18">
        <f>+[1]RADIO!AC50</f>
        <v>0.22330005863656233</v>
      </c>
      <c r="AC50" s="19">
        <f>+[1]RADIO!AD50</f>
        <v>-8.9706020389712648E-14</v>
      </c>
      <c r="AD50" s="20" t="str">
        <f t="shared" si="14"/>
        <v>---</v>
      </c>
      <c r="AE50" s="1"/>
      <c r="AF50" s="18">
        <f>+[1]RADIO!AG50</f>
        <v>0.22330005863642155</v>
      </c>
      <c r="AG50" s="19">
        <f>+[1]RADIO!AH50</f>
        <v>2.7282000001882523E-3</v>
      </c>
      <c r="AH50" s="20" t="str">
        <f t="shared" si="15"/>
        <v>---</v>
      </c>
      <c r="AK50" s="13" t="str">
        <f>+IF($B$3="esp","Ingresos de Explotación","Operating Revenues")</f>
        <v>Operating Revenues</v>
      </c>
      <c r="AM50" s="14">
        <f>+[1]NOTICIAS!AC22</f>
        <v>220.57753956794599</v>
      </c>
      <c r="AN50" s="15">
        <f>+[1]NOTICIAS!AD22</f>
        <v>239.895761417221</v>
      </c>
      <c r="AO50" s="16">
        <f t="shared" ref="AO50:AO55" si="20">IF(AN50=0,"---",IF(OR(ABS((AM50-AN50)/ABS(AN50))&gt;2,(AM50*AN50)&lt;0),"---",IF(AN50="0","---",((AM50-AN50)/ABS(AN50))*100)))</f>
        <v>-8.0527566369449985</v>
      </c>
      <c r="AQ50" s="14">
        <f>+[1]NOTICIAS!AG22</f>
        <v>63.156584846401017</v>
      </c>
      <c r="AR50" s="15">
        <f>+[1]NOTICIAS!AH22</f>
        <v>65.82335325206401</v>
      </c>
      <c r="AS50" s="16">
        <f t="shared" ref="AS50:AS55" si="21">IF(AR50=0,"---",IF(OR(ABS((AQ50-AR50)/ABS(AR50))&gt;2,(AQ50*AR50)&lt;0),"---",IF(AR50="0","---",((AQ50-AR50)/ABS(AR50))*100)))</f>
        <v>-4.0514016286147969</v>
      </c>
    </row>
    <row r="51" spans="4:45" ht="15" customHeight="1">
      <c r="D51" s="17" t="str">
        <f>+IF($B$3="esp","España","Spain")</f>
        <v>Spain</v>
      </c>
      <c r="F51" s="18">
        <f>+[1]GRUPO!AC51</f>
        <v>525.88489729387561</v>
      </c>
      <c r="G51" s="19">
        <f>+[1]GRUPO!AD51</f>
        <v>562.14966810131307</v>
      </c>
      <c r="H51" s="20">
        <f t="shared" si="16"/>
        <v>-6.4510881826050746</v>
      </c>
      <c r="J51" s="18">
        <f>+[1]GRUPO!AG51</f>
        <v>95.221099436872862</v>
      </c>
      <c r="K51" s="19">
        <f>+[1]GRUPO!AH51</f>
        <v>107.27236128523401</v>
      </c>
      <c r="L51" s="20">
        <f t="shared" si="17"/>
        <v>-11.234265475258072</v>
      </c>
      <c r="O51" s="17" t="str">
        <f>+IF($B$3="esp","España","Spain")</f>
        <v>Spain</v>
      </c>
      <c r="Q51" s="18">
        <f>+[1]SANTILLANA!AC51</f>
        <v>121.03364661603973</v>
      </c>
      <c r="R51" s="19">
        <f>+[1]SANTILLANA!AD51</f>
        <v>135.38177378369619</v>
      </c>
      <c r="S51" s="20">
        <f t="shared" si="18"/>
        <v>-10.598270924253749</v>
      </c>
      <c r="U51" s="18">
        <f>+[1]SANTILLANA!AG51</f>
        <v>-18.030538212707881</v>
      </c>
      <c r="V51" s="19">
        <f>+[1]SANTILLANA!AH51</f>
        <v>-16.488368372306468</v>
      </c>
      <c r="W51" s="20">
        <f t="shared" si="19"/>
        <v>-9.3530773062519099</v>
      </c>
      <c r="Z51" s="38" t="str">
        <f>+IF($B$3="esp","Margen EBIT Ajustado","Adjusted EBIT Margin")</f>
        <v>Adjusted EBIT Margin</v>
      </c>
      <c r="AA51" s="22"/>
      <c r="AB51" s="39">
        <f>+AB46/AB33</f>
        <v>0.13031124890036697</v>
      </c>
      <c r="AC51" s="40">
        <f>+AC46/AC33</f>
        <v>0.11306047770423076</v>
      </c>
      <c r="AD51" s="41"/>
      <c r="AE51" s="22"/>
      <c r="AF51" s="39">
        <f>+AF46/AF33</f>
        <v>0.19035510123131311</v>
      </c>
      <c r="AG51" s="40">
        <f>+AG46/AG33</f>
        <v>0.19492544864286207</v>
      </c>
      <c r="AH51" s="41"/>
      <c r="AK51" s="21" t="str">
        <f>+IF($B$3="esp","Publicidad","Advertising")</f>
        <v>Advertising</v>
      </c>
      <c r="AL51" s="22"/>
      <c r="AM51" s="23">
        <f>+[1]NOTICIAS!AC23</f>
        <v>105.500371537343</v>
      </c>
      <c r="AN51" s="24">
        <f>+[1]NOTICIAS!AD23</f>
        <v>114.488005052273</v>
      </c>
      <c r="AO51" s="25">
        <f t="shared" si="20"/>
        <v>-7.8502839758858727</v>
      </c>
      <c r="AQ51" s="23">
        <f>+[1]NOTICIAS!AG23</f>
        <v>33.829475100676802</v>
      </c>
      <c r="AR51" s="24">
        <f>+[1]NOTICIAS!AH23</f>
        <v>35.541757500357093</v>
      </c>
      <c r="AS51" s="25">
        <f t="shared" si="21"/>
        <v>-4.8176638413648716</v>
      </c>
    </row>
    <row r="52" spans="4:45" ht="15" customHeight="1">
      <c r="D52" s="17" t="str">
        <f>+IF($B$3="esp","Internacional","International")</f>
        <v>International</v>
      </c>
      <c r="F52" s="18">
        <f>+[1]GRUPO!AC52</f>
        <v>644.82008155519429</v>
      </c>
      <c r="G52" s="19">
        <f>+[1]GRUPO!AD52</f>
        <v>622.3323660665269</v>
      </c>
      <c r="H52" s="20">
        <f t="shared" si="16"/>
        <v>3.6134574890908806</v>
      </c>
      <c r="J52" s="18">
        <f>+[1]GRUPO!AG52</f>
        <v>181.88281896886508</v>
      </c>
      <c r="K52" s="19">
        <f>+[1]GRUPO!AH52</f>
        <v>179.80330062438298</v>
      </c>
      <c r="L52" s="20">
        <f t="shared" si="17"/>
        <v>1.1565518192718285</v>
      </c>
      <c r="O52" s="17" t="str">
        <f>+IF($B$3="esp","Internacional","International")</f>
        <v>International</v>
      </c>
      <c r="Q52" s="18">
        <f>+[1]SANTILLANA!AC52</f>
        <v>535.16916402713628</v>
      </c>
      <c r="R52" s="19">
        <f>+[1]SANTILLANA!AD52</f>
        <v>502.15322329992182</v>
      </c>
      <c r="S52" s="20">
        <f t="shared" si="18"/>
        <v>6.5748738025116635</v>
      </c>
      <c r="U52" s="18">
        <f>+[1]SANTILLANA!AG52</f>
        <v>151.62419046132294</v>
      </c>
      <c r="V52" s="19">
        <f>+[1]SANTILLANA!AH52</f>
        <v>140.48854704958148</v>
      </c>
      <c r="W52" s="20">
        <f t="shared" si="19"/>
        <v>7.9263709715863477</v>
      </c>
      <c r="Z52" s="34" t="str">
        <f>+IF($B$3="esp","EBITDA Ajustado a TC CTE con MX y CR","Adjusted EBITDA on ctt ccy w/MX&amp;CR")</f>
        <v>Adjusted EBITDA on ctt ccy w/MX&amp;CR</v>
      </c>
      <c r="AA52" s="13"/>
      <c r="AB52" s="35">
        <f>+[1]RADIO!AC52</f>
        <v>44.800272684101373</v>
      </c>
      <c r="AC52" s="36">
        <f>+[1]RADIO!AD52</f>
        <v>41.421410282466802</v>
      </c>
      <c r="AD52" s="37">
        <f>IF(AC52=0,"---",IF(OR(ABS((AB52-AC52)/ABS(AC52))&gt;2,(AB52*AC52)&lt;0),"---",IF(AC52="0","---",((AB52-AC52)/ABS(AC52))*100)))</f>
        <v>8.1572847920747975</v>
      </c>
      <c r="AE52" s="13"/>
      <c r="AF52" s="35">
        <f>+[1]RADIO!AG52</f>
        <v>18.257312274094041</v>
      </c>
      <c r="AG52" s="36">
        <f>+[1]RADIO!AH52</f>
        <v>20.911878727351976</v>
      </c>
      <c r="AH52" s="37">
        <f>IF(AG52=0,"---",IF(OR(ABS((AF52-AG52)/ABS(AG52))&gt;2,(AF52*AG52)&lt;0),"---",IF(AG52="0","---",((AF52-AG52)/ABS(AG52))*100)))</f>
        <v>-12.694060097937824</v>
      </c>
      <c r="AK52" s="21" t="str">
        <f>+IF($B$3="esp","Circulación","Circulation")</f>
        <v>Circulation</v>
      </c>
      <c r="AL52" s="22"/>
      <c r="AM52" s="23">
        <f>+[1]NOTICIAS!AC24</f>
        <v>79.377383016503586</v>
      </c>
      <c r="AN52" s="24">
        <f>+[1]NOTICIAS!AD24</f>
        <v>91.571737315916195</v>
      </c>
      <c r="AO52" s="25">
        <f t="shared" si="20"/>
        <v>-13.316722666670531</v>
      </c>
      <c r="AQ52" s="23">
        <f>+[1]NOTICIAS!AG24</f>
        <v>18.92936412787148</v>
      </c>
      <c r="AR52" s="24">
        <f>+[1]NOTICIAS!AH24</f>
        <v>21.693308189232482</v>
      </c>
      <c r="AS52" s="25">
        <f t="shared" si="21"/>
        <v>-12.740998455610802</v>
      </c>
    </row>
    <row r="53" spans="4:45" ht="15" customHeight="1">
      <c r="D53" s="26" t="str">
        <f>+IF($B$3="esp","Portugal","Portugal")</f>
        <v>Portugal</v>
      </c>
      <c r="F53" s="18">
        <f>+[1]GRUPO!AC53</f>
        <v>3.798152</v>
      </c>
      <c r="G53" s="19">
        <f>+[1]GRUPO!AD53</f>
        <v>4.826816</v>
      </c>
      <c r="H53" s="20">
        <f t="shared" si="16"/>
        <v>-21.311440088041476</v>
      </c>
      <c r="J53" s="18">
        <f>+[1]GRUPO!AG53</f>
        <v>4.9659999999999815E-2</v>
      </c>
      <c r="K53" s="19">
        <f>+[1]GRUPO!AH53</f>
        <v>0.12030499999999922</v>
      </c>
      <c r="L53" s="20">
        <f t="shared" si="17"/>
        <v>-58.721582644112772</v>
      </c>
      <c r="O53" s="26" t="str">
        <f>+IF($B$3="esp","Portugal","Portugal")</f>
        <v>Portugal</v>
      </c>
      <c r="Q53" s="18">
        <f>+[1]SANTILLANA!AC53</f>
        <v>3.798152</v>
      </c>
      <c r="R53" s="19">
        <f>+[1]SANTILLANA!AD53</f>
        <v>4.826816</v>
      </c>
      <c r="S53" s="20">
        <f t="shared" si="18"/>
        <v>-21.311440088041476</v>
      </c>
      <c r="U53" s="18">
        <f>+[1]SANTILLANA!AG53</f>
        <v>4.9659999999999815E-2</v>
      </c>
      <c r="V53" s="19">
        <f>+[1]SANTILLANA!AH53</f>
        <v>0.12030499999999922</v>
      </c>
      <c r="W53" s="20">
        <f t="shared" si="19"/>
        <v>-58.721582644112772</v>
      </c>
      <c r="AK53" s="21" t="str">
        <f>+IF($B$3="esp","Promociones y Otros","Add-ons and Others")</f>
        <v>Add-ons and Others</v>
      </c>
      <c r="AL53" s="22"/>
      <c r="AM53" s="23">
        <f>+[1]NOTICIAS!AC25</f>
        <v>35.699785014099405</v>
      </c>
      <c r="AN53" s="24">
        <f>+[1]NOTICIAS!AD25</f>
        <v>33.836019049031805</v>
      </c>
      <c r="AO53" s="25">
        <f t="shared" si="20"/>
        <v>5.5082306295158867</v>
      </c>
      <c r="AQ53" s="23">
        <f>+[1]NOTICIAS!AG25</f>
        <v>10.397745617852735</v>
      </c>
      <c r="AR53" s="24">
        <f>+[1]NOTICIAS!AH25</f>
        <v>8.5882875624744344</v>
      </c>
      <c r="AS53" s="25">
        <f t="shared" si="21"/>
        <v>21.068903925440573</v>
      </c>
    </row>
    <row r="54" spans="4:45" ht="15" customHeight="1">
      <c r="D54" s="26" t="str">
        <f>+IF($B$3="esp","Latam","Latam")</f>
        <v>Latam</v>
      </c>
      <c r="F54" s="18">
        <f>+[1]GRUPO!AC54</f>
        <v>641.02192955519433</v>
      </c>
      <c r="G54" s="19">
        <f>+[1]GRUPO!AD54</f>
        <v>617.50555006652689</v>
      </c>
      <c r="H54" s="20">
        <f t="shared" si="16"/>
        <v>3.8082863362335613</v>
      </c>
      <c r="J54" s="18">
        <f>+[1]GRUPO!AG54</f>
        <v>181.83315896886518</v>
      </c>
      <c r="K54" s="19">
        <f>+[1]GRUPO!AH54</f>
        <v>179.68299562438295</v>
      </c>
      <c r="L54" s="20">
        <f t="shared" si="17"/>
        <v>1.1966426411194842</v>
      </c>
      <c r="O54" s="26" t="str">
        <f>+IF($B$3="esp","Latam","Latam")</f>
        <v>Latam</v>
      </c>
      <c r="Q54" s="18">
        <f>+[1]SANTILLANA!AC54</f>
        <v>531.37101202713632</v>
      </c>
      <c r="R54" s="19">
        <f>+[1]SANTILLANA!AD54</f>
        <v>497.32640729992181</v>
      </c>
      <c r="S54" s="20">
        <f t="shared" si="18"/>
        <v>6.8455252380522165</v>
      </c>
      <c r="U54" s="18">
        <f>+[1]SANTILLANA!AG54</f>
        <v>151.57453046132298</v>
      </c>
      <c r="V54" s="19">
        <f>+[1]SANTILLANA!AH54</f>
        <v>140.36824204958145</v>
      </c>
      <c r="W54" s="20">
        <f t="shared" si="19"/>
        <v>7.9834927388940251</v>
      </c>
      <c r="Z54" s="9"/>
      <c r="AB54" s="10">
        <v>2017</v>
      </c>
      <c r="AC54" s="10">
        <v>2016</v>
      </c>
      <c r="AD54" s="10" t="str">
        <f>+IF($B$3="esp","Var.%","% Chg.")</f>
        <v>% Chg.</v>
      </c>
      <c r="AF54" s="10">
        <v>2017</v>
      </c>
      <c r="AG54" s="10">
        <v>2016</v>
      </c>
      <c r="AH54" s="10" t="str">
        <f>+IF($B$3="esp","Var.%","% Chg.")</f>
        <v>% Chg.</v>
      </c>
      <c r="AK54" s="13" t="str">
        <f>+IF($B$3="esp","Gastos de Explotación","Operating Expenses")</f>
        <v>Operating Expenses</v>
      </c>
      <c r="AL54" s="13"/>
      <c r="AM54" s="14">
        <f>+[1]NOTICIAS!AC26</f>
        <v>216.61600923975644</v>
      </c>
      <c r="AN54" s="15">
        <f>+[1]NOTICIAS!AD26</f>
        <v>224.660103138556</v>
      </c>
      <c r="AO54" s="16">
        <f t="shared" si="20"/>
        <v>-3.5805618293687314</v>
      </c>
      <c r="AQ54" s="14">
        <f>+[1]NOTICIAS!AG26</f>
        <v>61.140241288959743</v>
      </c>
      <c r="AR54" s="15">
        <f>+[1]NOTICIAS!AH26</f>
        <v>57.678712590225871</v>
      </c>
      <c r="AS54" s="16">
        <f t="shared" si="21"/>
        <v>6.001397297692904</v>
      </c>
    </row>
    <row r="55" spans="4:45" s="13" customFormat="1" ht="15" customHeight="1">
      <c r="D55" s="13" t="str">
        <f>+IF($B$3="esp","Gastos de Explotación","Operating Expenses")</f>
        <v>Operating Expenses</v>
      </c>
      <c r="F55" s="14">
        <f>+[1]GRUPO!AC55</f>
        <v>963.72692649495889</v>
      </c>
      <c r="G55" s="15">
        <f>+[1]GRUPO!AD55</f>
        <v>978.54097229953982</v>
      </c>
      <c r="H55" s="16">
        <f t="shared" si="16"/>
        <v>-1.513891213953811</v>
      </c>
      <c r="J55" s="14">
        <f>+[1]GRUPO!AG55</f>
        <v>248.17611684729695</v>
      </c>
      <c r="K55" s="15">
        <f>+[1]GRUPO!AH55</f>
        <v>256.64236668642684</v>
      </c>
      <c r="L55" s="16">
        <f t="shared" si="17"/>
        <v>-3.2988512179184344</v>
      </c>
      <c r="O55" s="13" t="str">
        <f>+IF($B$3="esp","Gastos de Explotación","Operating Expenses")</f>
        <v>Operating Expenses</v>
      </c>
      <c r="Q55" s="14">
        <f>+[1]SANTILLANA!AC55</f>
        <v>476.87518325750301</v>
      </c>
      <c r="R55" s="15">
        <f>+[1]SANTILLANA!AD55</f>
        <v>466.62231638810101</v>
      </c>
      <c r="S55" s="16">
        <f t="shared" si="18"/>
        <v>2.1972517192843477</v>
      </c>
      <c r="U55" s="14">
        <f>+[1]SANTILLANA!AG55</f>
        <v>118.15944022585501</v>
      </c>
      <c r="V55" s="15">
        <f>+[1]SANTILLANA!AH55</f>
        <v>116.90811731713302</v>
      </c>
      <c r="W55" s="16">
        <f t="shared" si="19"/>
        <v>1.0703473269760759</v>
      </c>
      <c r="Z55" s="11" t="str">
        <f>+IF($B$3="esp","Resultados Reportados","Reported Results")</f>
        <v>Reported Results</v>
      </c>
      <c r="AA55" s="1"/>
      <c r="AB55" s="12"/>
      <c r="AC55" s="12"/>
      <c r="AD55" s="12"/>
      <c r="AE55" s="1"/>
      <c r="AF55" s="12"/>
      <c r="AG55" s="12"/>
      <c r="AH55" s="12"/>
      <c r="AK55" s="13" t="str">
        <f>+IF($B$3="esp","EBITDA","EBITDA")</f>
        <v>EBITDA</v>
      </c>
      <c r="AM55" s="14">
        <f>+[1]NOTICIAS!AC27</f>
        <v>3.9615303281895398</v>
      </c>
      <c r="AN55" s="15">
        <f>+[1]NOTICIAS!AD27</f>
        <v>15.235658278664999</v>
      </c>
      <c r="AO55" s="16">
        <f t="shared" si="20"/>
        <v>-73.998298887177043</v>
      </c>
      <c r="AQ55" s="14">
        <f>+[1]NOTICIAS!AG27</f>
        <v>2.01634355744127</v>
      </c>
      <c r="AR55" s="15">
        <f>+[1]NOTICIAS!AH27</f>
        <v>8.14464066183813</v>
      </c>
      <c r="AS55" s="16">
        <f t="shared" si="21"/>
        <v>-75.243308561310911</v>
      </c>
    </row>
    <row r="56" spans="4:45" ht="15" customHeight="1">
      <c r="D56" s="17" t="str">
        <f>+IF($B$3="esp","España","Spain")</f>
        <v>Spain</v>
      </c>
      <c r="F56" s="18">
        <f>+[1]GRUPO!AC56</f>
        <v>492.51222508690114</v>
      </c>
      <c r="G56" s="19">
        <f>+[1]GRUPO!AD56</f>
        <v>513.2066210777507</v>
      </c>
      <c r="H56" s="20">
        <f t="shared" si="16"/>
        <v>-4.0323712011724728</v>
      </c>
      <c r="J56" s="18">
        <f>+[1]GRUPO!AG56</f>
        <v>126.14240321687646</v>
      </c>
      <c r="K56" s="19">
        <f>+[1]GRUPO!AH56</f>
        <v>130.26013729096934</v>
      </c>
      <c r="L56" s="20">
        <f t="shared" si="17"/>
        <v>-3.1611620866749646</v>
      </c>
      <c r="O56" s="17" t="str">
        <f>+IF($B$3="esp","España","Spain")</f>
        <v>Spain</v>
      </c>
      <c r="Q56" s="18">
        <f>+[1]SANTILLANA!AC56</f>
        <v>99.288226069064024</v>
      </c>
      <c r="R56" s="19">
        <f>+[1]SANTILLANA!AD56</f>
        <v>102.95685493013488</v>
      </c>
      <c r="S56" s="20">
        <f t="shared" si="18"/>
        <v>-3.5632681899231855</v>
      </c>
      <c r="U56" s="18">
        <f>+[1]SANTILLANA!AG56</f>
        <v>20.450145067291658</v>
      </c>
      <c r="V56" s="19">
        <f>+[1]SANTILLANA!AH56</f>
        <v>19.245022783430741</v>
      </c>
      <c r="W56" s="20">
        <f t="shared" si="19"/>
        <v>6.2619945812612006</v>
      </c>
      <c r="Z56" s="13" t="str">
        <f>+IF($B$3="esp","Ingresos de Explotación","Operating Revenues")</f>
        <v>Operating Revenues</v>
      </c>
      <c r="AA56" s="13"/>
      <c r="AB56" s="14">
        <f>+[1]RADIO!AC56</f>
        <v>280.66641862949501</v>
      </c>
      <c r="AC56" s="15">
        <f>+[1]RADIO!AD56</f>
        <v>301.051233708707</v>
      </c>
      <c r="AD56" s="16">
        <f t="shared" ref="AD56:AD71" si="22">IF(AC56=0,"---",IF(OR(ABS((AB56-AC56)/ABS(AC56))&gt;2,(AB56*AC56)&lt;0),"---",IF(AC56="0","---",((AB56-AC56)/ABS(AC56))*100)))</f>
        <v>-6.7712112746018684</v>
      </c>
      <c r="AE56" s="13"/>
      <c r="AF56" s="14">
        <f>+[1]RADIO!AG56</f>
        <v>77.845381979145998</v>
      </c>
      <c r="AG56" s="15">
        <f>+[1]RADIO!AH56</f>
        <v>93.30436801573299</v>
      </c>
      <c r="AH56" s="16">
        <f t="shared" ref="AH56:AH71" si="23">IF(AG56=0,"---",IF(OR(ABS((AF56-AG56)/ABS(AG56))&gt;2,(AF56*AG56)&lt;0),"---",IF(AG56="0","---",((AF56-AG56)/ABS(AG56))*100)))</f>
        <v>-16.568341188464291</v>
      </c>
      <c r="AK56" s="21" t="str">
        <f>+IF($B$3="esp","Margen EBITDA ","EBITDA Margin")</f>
        <v>EBITDA Margin</v>
      </c>
      <c r="AL56" s="22"/>
      <c r="AM56" s="27">
        <f>+AM55/AM50</f>
        <v>1.795980831026199E-2</v>
      </c>
      <c r="AN56" s="28">
        <f>+AN55/AN50</f>
        <v>6.3509493409379184E-2</v>
      </c>
      <c r="AO56" s="29"/>
      <c r="AQ56" s="27">
        <f>+AQ55/AQ50</f>
        <v>3.1926101804666714E-2</v>
      </c>
      <c r="AR56" s="28">
        <f>+AR55/AR50</f>
        <v>0.12373481841086149</v>
      </c>
      <c r="AS56" s="29"/>
    </row>
    <row r="57" spans="4:45" ht="15" customHeight="1">
      <c r="D57" s="17" t="str">
        <f>+IF($B$3="esp","Internacional","International")</f>
        <v>International</v>
      </c>
      <c r="F57" s="18">
        <f>+[1]GRUPO!AC57</f>
        <v>471.21470140805775</v>
      </c>
      <c r="G57" s="19">
        <f>+[1]GRUPO!AD57</f>
        <v>465.33435122178923</v>
      </c>
      <c r="H57" s="20">
        <f t="shared" si="16"/>
        <v>1.2636828058854832</v>
      </c>
      <c r="J57" s="18">
        <f>+[1]GRUPO!AG57</f>
        <v>122.03371363042049</v>
      </c>
      <c r="K57" s="19">
        <f>+[1]GRUPO!AH57</f>
        <v>126.38222939545761</v>
      </c>
      <c r="L57" s="20">
        <f t="shared" si="17"/>
        <v>-3.440765197637361</v>
      </c>
      <c r="O57" s="17" t="str">
        <f>+IF($B$3="esp","Internacional","International")</f>
        <v>International</v>
      </c>
      <c r="Q57" s="18">
        <f>+[1]SANTILLANA!AC57</f>
        <v>377.58695718843899</v>
      </c>
      <c r="R57" s="19">
        <f>+[1]SANTILLANA!AD57</f>
        <v>363.6654614579661</v>
      </c>
      <c r="S57" s="20">
        <f t="shared" si="18"/>
        <v>3.828105004709661</v>
      </c>
      <c r="U57" s="18">
        <f>+[1]SANTILLANA!AG57</f>
        <v>97.70929515856335</v>
      </c>
      <c r="V57" s="19">
        <f>+[1]SANTILLANA!AH57</f>
        <v>97.663094533702235</v>
      </c>
      <c r="W57" s="20">
        <f t="shared" si="19"/>
        <v>4.7306124264956013E-2</v>
      </c>
      <c r="Z57" s="17" t="str">
        <f>+IF($B$3="esp","Publicidad","Advertising")</f>
        <v>Advertising</v>
      </c>
      <c r="AB57" s="18">
        <f>+[1]RADIO!AC57</f>
        <v>250.19334435085901</v>
      </c>
      <c r="AC57" s="19">
        <f>+[1]RADIO!AD57</f>
        <v>255.74789221177301</v>
      </c>
      <c r="AD57" s="20">
        <f t="shared" si="22"/>
        <v>-2.171884121068155</v>
      </c>
      <c r="AF57" s="18">
        <f>+[1]RADIO!AG57</f>
        <v>70.415791125574003</v>
      </c>
      <c r="AG57" s="19">
        <f>+[1]RADIO!AH57</f>
        <v>74.883427512453011</v>
      </c>
      <c r="AH57" s="20">
        <f t="shared" si="23"/>
        <v>-5.9661216577406879</v>
      </c>
      <c r="AK57" s="13" t="str">
        <f>+IF($B$3="esp","EBIT","EBIT")</f>
        <v>EBIT</v>
      </c>
      <c r="AL57" s="13"/>
      <c r="AM57" s="14">
        <f>+[1]NOTICIAS!AC29</f>
        <v>-14.1045021398334</v>
      </c>
      <c r="AN57" s="15">
        <f>+[1]NOTICIAS!AD29</f>
        <v>7.059668904051807</v>
      </c>
      <c r="AO57" s="16" t="str">
        <f>IF(AN57=0,"---",IF(OR(ABS((AM57-AN57)/ABS(AN57))&gt;2,(AM57*AN57)&lt;0),"---",IF(AN57="0","---",((AM57-AN57)/ABS(AN57))*100)))</f>
        <v>---</v>
      </c>
      <c r="AQ57" s="14">
        <f>+[1]NOTICIAS!AG29</f>
        <v>-9.4611020057392103</v>
      </c>
      <c r="AR57" s="15">
        <f>+[1]NOTICIAS!AH29</f>
        <v>5.711066163518117</v>
      </c>
      <c r="AS57" s="16" t="str">
        <f>IF(AR57=0,"---",IF(OR(ABS((AQ57-AR57)/ABS(AR57))&gt;2,(AQ57*AR57)&lt;0),"---",IF(AR57="0","---",((AQ57-AR57)/ABS(AR57))*100)))</f>
        <v>---</v>
      </c>
    </row>
    <row r="58" spans="4:45" ht="15" customHeight="1">
      <c r="D58" s="26" t="str">
        <f>+IF($B$3="esp","Portugal","Portugal")</f>
        <v>Portugal</v>
      </c>
      <c r="F58" s="18">
        <f>+[1]GRUPO!AC58</f>
        <v>3.8853270000000011</v>
      </c>
      <c r="G58" s="19">
        <f>+[1]GRUPO!AD58</f>
        <v>4.6429859999999996</v>
      </c>
      <c r="H58" s="20">
        <f t="shared" si="16"/>
        <v>-16.318356333618034</v>
      </c>
      <c r="J58" s="18">
        <f>+[1]GRUPO!AG58</f>
        <v>0.54631300000000182</v>
      </c>
      <c r="K58" s="19">
        <f>+[1]GRUPO!AH58</f>
        <v>0.65907199999999877</v>
      </c>
      <c r="L58" s="20">
        <f t="shared" si="17"/>
        <v>-17.108752913186596</v>
      </c>
      <c r="O58" s="26" t="str">
        <f>+IF($B$3="esp","Portugal","Portugal")</f>
        <v>Portugal</v>
      </c>
      <c r="Q58" s="18">
        <f>+[1]SANTILLANA!AC58</f>
        <v>3.8853270000000006</v>
      </c>
      <c r="R58" s="19">
        <f>+[1]SANTILLANA!AD58</f>
        <v>4.6429860000000014</v>
      </c>
      <c r="S58" s="20">
        <f t="shared" si="18"/>
        <v>-16.318356333618077</v>
      </c>
      <c r="U58" s="18">
        <f>+[1]SANTILLANA!AG58</f>
        <v>0.54631300000000138</v>
      </c>
      <c r="V58" s="19">
        <f>+[1]SANTILLANA!AH58</f>
        <v>0.65907200000000055</v>
      </c>
      <c r="W58" s="20">
        <f t="shared" si="19"/>
        <v>-17.108752913186887</v>
      </c>
      <c r="Z58" s="42" t="str">
        <f>+IF($B$3="esp","España","Spain")</f>
        <v>Spain</v>
      </c>
      <c r="AA58" s="22"/>
      <c r="AB58" s="23">
        <f>+[1]RADIO!AC58</f>
        <v>163.13597897</v>
      </c>
      <c r="AC58" s="24">
        <f>+[1]RADIO!AD58</f>
        <v>164.07663088999999</v>
      </c>
      <c r="AD58" s="25">
        <f t="shared" si="22"/>
        <v>-0.57330036270102591</v>
      </c>
      <c r="AF58" s="23">
        <f>+[1]RADIO!AG58</f>
        <v>46.35689327</v>
      </c>
      <c r="AG58" s="24">
        <f>+[1]RADIO!AH58</f>
        <v>47.561349639999989</v>
      </c>
      <c r="AH58" s="25">
        <f t="shared" si="23"/>
        <v>-2.5324268110907813</v>
      </c>
      <c r="AK58" s="21" t="str">
        <f>+IF($B$3="esp","Margen EBIT ","EBIT Margin")</f>
        <v>EBIT Margin</v>
      </c>
      <c r="AL58" s="22"/>
      <c r="AM58" s="27">
        <f>+AM57/AM50</f>
        <v>-6.3943510148224747E-2</v>
      </c>
      <c r="AN58" s="28">
        <f>+AN57/AN50</f>
        <v>2.9428068517533327E-2</v>
      </c>
      <c r="AO58" s="29"/>
      <c r="AQ58" s="27">
        <f>+AQ57/AQ50</f>
        <v>-0.14980388867999964</v>
      </c>
      <c r="AR58" s="28">
        <f>+AR57/AR50</f>
        <v>8.676352512227925E-2</v>
      </c>
      <c r="AS58" s="29"/>
    </row>
    <row r="59" spans="4:45" ht="15" customHeight="1">
      <c r="D59" s="26" t="str">
        <f>+IF($B$3="esp","Latam","Latam")</f>
        <v>Latam</v>
      </c>
      <c r="F59" s="18">
        <f>+[1]GRUPO!AC59</f>
        <v>467.32937440805779</v>
      </c>
      <c r="G59" s="19">
        <f>+[1]GRUPO!AD59</f>
        <v>460.69136522178928</v>
      </c>
      <c r="H59" s="20">
        <f t="shared" si="16"/>
        <v>1.4408798791079549</v>
      </c>
      <c r="J59" s="18">
        <f>+[1]GRUPO!AG59</f>
        <v>121.48740063042055</v>
      </c>
      <c r="K59" s="19">
        <f>+[1]GRUPO!AH59</f>
        <v>125.72315739545763</v>
      </c>
      <c r="L59" s="20">
        <f t="shared" si="17"/>
        <v>-3.3691142131545915</v>
      </c>
      <c r="O59" s="26" t="str">
        <f>+IF($B$3="esp","Latam","Latam")</f>
        <v>Latam</v>
      </c>
      <c r="Q59" s="18">
        <f>+[1]SANTILLANA!AC59</f>
        <v>373.70163018843903</v>
      </c>
      <c r="R59" s="19">
        <f>+[1]SANTILLANA!AD59</f>
        <v>359.02247545796615</v>
      </c>
      <c r="S59" s="20">
        <f t="shared" si="18"/>
        <v>4.0886450665096286</v>
      </c>
      <c r="U59" s="18">
        <f>+[1]SANTILLANA!AG59</f>
        <v>97.162982158563409</v>
      </c>
      <c r="V59" s="19">
        <f>+[1]SANTILLANA!AH59</f>
        <v>97.004022533702255</v>
      </c>
      <c r="W59" s="20">
        <f t="shared" si="19"/>
        <v>0.16386910636198271</v>
      </c>
      <c r="Z59" s="42" t="str">
        <f>+IF($B$3="esp","Latam","Latam")</f>
        <v>Latam</v>
      </c>
      <c r="AA59" s="22"/>
      <c r="AB59" s="23">
        <f>+[1]RADIO!AC59</f>
        <v>87.19654315444231</v>
      </c>
      <c r="AC59" s="24">
        <f>+[1]RADIO!AD59</f>
        <v>91.876104689215197</v>
      </c>
      <c r="AD59" s="25">
        <f t="shared" si="22"/>
        <v>-5.0933390685229973</v>
      </c>
      <c r="AF59" s="23">
        <f>+[1]RADIO!AG59</f>
        <v>24.09983040442981</v>
      </c>
      <c r="AG59" s="24">
        <f>+[1]RADIO!AH59</f>
        <v>27.497984059895202</v>
      </c>
      <c r="AH59" s="25">
        <f t="shared" si="23"/>
        <v>-12.357828297753198</v>
      </c>
    </row>
    <row r="60" spans="4:45" s="13" customFormat="1" ht="15" customHeight="1">
      <c r="D60" s="13" t="str">
        <f>+IF($B$3="esp","EBITDA","EBITDA")</f>
        <v>EBITDA</v>
      </c>
      <c r="F60" s="14">
        <f>+[1]GRUPO!AC60</f>
        <v>206.97805235411099</v>
      </c>
      <c r="G60" s="15">
        <f>+[1]GRUPO!AD60</f>
        <v>205.94106186829998</v>
      </c>
      <c r="H60" s="16">
        <f t="shared" si="16"/>
        <v>0.50353750553843524</v>
      </c>
      <c r="J60" s="14">
        <f>+[1]GRUPO!AG60</f>
        <v>28.92780155844099</v>
      </c>
      <c r="K60" s="15">
        <f>+[1]GRUPO!AH60</f>
        <v>30.433295223189987</v>
      </c>
      <c r="L60" s="16">
        <f t="shared" si="17"/>
        <v>-4.9468638006765024</v>
      </c>
      <c r="O60" s="13" t="str">
        <f>+IF($B$3="esp","EBITDA","EBITDA")</f>
        <v>EBITDA</v>
      </c>
      <c r="Q60" s="14">
        <f>+[1]SANTILLANA!AC60</f>
        <v>179.327627385673</v>
      </c>
      <c r="R60" s="15">
        <f>+[1]SANTILLANA!AD60</f>
        <v>170.912680695517</v>
      </c>
      <c r="S60" s="16">
        <f t="shared" si="18"/>
        <v>4.9235356065518214</v>
      </c>
      <c r="U60" s="14">
        <f>+[1]SANTILLANA!AG60</f>
        <v>15.434212022760022</v>
      </c>
      <c r="V60" s="15">
        <f>+[1]SANTILLANA!AH60</f>
        <v>7.0920613601419973</v>
      </c>
      <c r="W60" s="16">
        <f t="shared" si="19"/>
        <v>117.62660020825028</v>
      </c>
      <c r="Z60" s="42" t="str">
        <f>+IF($B$3="esp","Otros","Others")</f>
        <v>Others</v>
      </c>
      <c r="AA60" s="22"/>
      <c r="AB60" s="23">
        <f>+[1]RADIO!AC60</f>
        <v>-0.13917777358329886</v>
      </c>
      <c r="AC60" s="24">
        <f>+[1]RADIO!AD60</f>
        <v>-0.20484336744218012</v>
      </c>
      <c r="AD60" s="25">
        <f t="shared" si="22"/>
        <v>32.056490126494474</v>
      </c>
      <c r="AE60" s="1"/>
      <c r="AF60" s="23">
        <f>+[1]RADIO!AG60</f>
        <v>-4.0932548855806772E-2</v>
      </c>
      <c r="AG60" s="24">
        <f>+[1]RADIO!AH60</f>
        <v>-0.17590618744218034</v>
      </c>
      <c r="AH60" s="25">
        <f t="shared" si="23"/>
        <v>76.730466704440886</v>
      </c>
      <c r="AK60" s="1"/>
      <c r="AL60" s="1"/>
      <c r="AM60" s="1"/>
      <c r="AN60" s="1"/>
      <c r="AO60" s="1"/>
      <c r="AQ60" s="1"/>
      <c r="AR60" s="1"/>
      <c r="AS60" s="1"/>
    </row>
    <row r="61" spans="4:45" ht="15" customHeight="1">
      <c r="D61" s="17" t="str">
        <f>+IF($B$3="esp","España","Spain")</f>
        <v>Spain</v>
      </c>
      <c r="F61" s="18">
        <f>+[1]GRUPO!AC61</f>
        <v>33.372672206974443</v>
      </c>
      <c r="G61" s="19">
        <f>+[1]GRUPO!AD61</f>
        <v>48.943047023562364</v>
      </c>
      <c r="H61" s="20">
        <f t="shared" si="16"/>
        <v>-31.813251858005426</v>
      </c>
      <c r="J61" s="18">
        <f>+[1]GRUPO!AG61</f>
        <v>-30.921303780003612</v>
      </c>
      <c r="K61" s="19">
        <f>+[1]GRUPO!AH61</f>
        <v>-22.987776005735334</v>
      </c>
      <c r="L61" s="20">
        <f t="shared" si="17"/>
        <v>-34.511941356523145</v>
      </c>
      <c r="O61" s="17" t="str">
        <f>+IF($B$3="esp","España","Spain")</f>
        <v>Spain</v>
      </c>
      <c r="Q61" s="18">
        <f>+[1]SANTILLANA!AC61</f>
        <v>21.745420546975708</v>
      </c>
      <c r="R61" s="19">
        <f>+[1]SANTILLANA!AD61</f>
        <v>32.424918853561309</v>
      </c>
      <c r="S61" s="20">
        <f t="shared" si="18"/>
        <v>-32.936083370992449</v>
      </c>
      <c r="U61" s="18">
        <f>+[1]SANTILLANA!AG61</f>
        <v>-38.480683279999539</v>
      </c>
      <c r="V61" s="19">
        <f>+[1]SANTILLANA!AH61</f>
        <v>-35.733391155737209</v>
      </c>
      <c r="W61" s="20">
        <f t="shared" si="19"/>
        <v>-7.6883050709874654</v>
      </c>
      <c r="Z61" s="17" t="str">
        <f>+IF($B$3="esp","Otros","Others")</f>
        <v>Others</v>
      </c>
      <c r="AB61" s="18">
        <f>+[1]RADIO!AC61</f>
        <v>30.473074278636005</v>
      </c>
      <c r="AC61" s="19">
        <f>+[1]RADIO!AD61</f>
        <v>45.303341496933996</v>
      </c>
      <c r="AD61" s="20">
        <f t="shared" si="22"/>
        <v>-32.73548203790147</v>
      </c>
      <c r="AE61" s="13"/>
      <c r="AF61" s="18">
        <f>+[1]RADIO!AG61</f>
        <v>7.4295908535719946</v>
      </c>
      <c r="AG61" s="19">
        <f>+[1]RADIO!AH61</f>
        <v>18.420940503279979</v>
      </c>
      <c r="AH61" s="20">
        <f t="shared" si="23"/>
        <v>-59.667689864971315</v>
      </c>
    </row>
    <row r="62" spans="4:45" ht="15" customHeight="1">
      <c r="D62" s="17" t="str">
        <f>+IF($B$3="esp","Internacional","International")</f>
        <v>International</v>
      </c>
      <c r="F62" s="18">
        <f>+[1]GRUPO!AC62</f>
        <v>173.60538014713654</v>
      </c>
      <c r="G62" s="19">
        <f>+[1]GRUPO!AD62</f>
        <v>156.99801484473764</v>
      </c>
      <c r="H62" s="20">
        <f t="shared" si="16"/>
        <v>10.578073435401505</v>
      </c>
      <c r="J62" s="18">
        <f>+[1]GRUPO!AG62</f>
        <v>59.849105338444602</v>
      </c>
      <c r="K62" s="19">
        <f>+[1]GRUPO!AH62</f>
        <v>53.421071228925328</v>
      </c>
      <c r="L62" s="20">
        <f t="shared" si="17"/>
        <v>12.03276902099776</v>
      </c>
      <c r="O62" s="17" t="str">
        <f>+IF($B$3="esp","Internacional","International")</f>
        <v>International</v>
      </c>
      <c r="Q62" s="18">
        <f>+[1]SANTILLANA!AC62</f>
        <v>157.58220683869729</v>
      </c>
      <c r="R62" s="19">
        <f>+[1]SANTILLANA!AD62</f>
        <v>138.48776184195569</v>
      </c>
      <c r="S62" s="20">
        <f t="shared" si="18"/>
        <v>13.787821207286511</v>
      </c>
      <c r="U62" s="18">
        <f>+[1]SANTILLANA!AG62</f>
        <v>53.914895302759561</v>
      </c>
      <c r="V62" s="19">
        <f>+[1]SANTILLANA!AH62</f>
        <v>42.825452515879206</v>
      </c>
      <c r="W62" s="20">
        <f t="shared" si="19"/>
        <v>25.894513975698242</v>
      </c>
      <c r="Z62" s="13" t="str">
        <f>+IF($B$3="esp","Gastos de Explotación","Operating Expenses")</f>
        <v>Operating Expenses</v>
      </c>
      <c r="AA62" s="13"/>
      <c r="AB62" s="14">
        <f>+[1]RADIO!AC62</f>
        <v>239.31410903682431</v>
      </c>
      <c r="AC62" s="15">
        <f>+[1]RADIO!AD62</f>
        <v>259.78499726268166</v>
      </c>
      <c r="AD62" s="16">
        <f t="shared" si="22"/>
        <v>-7.8799347312417005</v>
      </c>
      <c r="AF62" s="14">
        <f>+[1]RADIO!AG62</f>
        <v>60.609970659846795</v>
      </c>
      <c r="AG62" s="15">
        <f>+[1]RADIO!AH62</f>
        <v>72.066652111017959</v>
      </c>
      <c r="AH62" s="16">
        <f t="shared" si="23"/>
        <v>-15.897341024697887</v>
      </c>
    </row>
    <row r="63" spans="4:45" ht="15" customHeight="1">
      <c r="D63" s="26" t="str">
        <f>+IF($B$3="esp","Portugal","Portugal")</f>
        <v>Portugal</v>
      </c>
      <c r="F63" s="18">
        <f>+[1]GRUPO!AC63</f>
        <v>-8.717500000000121E-2</v>
      </c>
      <c r="G63" s="19">
        <f>+[1]GRUPO!AD63</f>
        <v>0.18383000000000002</v>
      </c>
      <c r="H63" s="20" t="str">
        <f t="shared" si="16"/>
        <v>---</v>
      </c>
      <c r="J63" s="18">
        <f>+[1]GRUPO!AG63</f>
        <v>-0.49665300000000218</v>
      </c>
      <c r="K63" s="19">
        <f>+[1]GRUPO!AH63</f>
        <v>-0.53876699999999988</v>
      </c>
      <c r="L63" s="20">
        <f t="shared" si="17"/>
        <v>7.8167371052788521</v>
      </c>
      <c r="O63" s="26" t="str">
        <f>+IF($B$3="esp","Portugal","Portugal")</f>
        <v>Portugal</v>
      </c>
      <c r="Q63" s="18">
        <f>+[1]SANTILLANA!AC63</f>
        <v>-8.7175000000000488E-2</v>
      </c>
      <c r="R63" s="19">
        <f>+[1]SANTILLANA!AD63</f>
        <v>0.18382999999999899</v>
      </c>
      <c r="S63" s="20" t="str">
        <f t="shared" si="18"/>
        <v>---</v>
      </c>
      <c r="U63" s="18">
        <f>+[1]SANTILLANA!AG63</f>
        <v>-0.49665300000000145</v>
      </c>
      <c r="V63" s="19">
        <f>+[1]SANTILLANA!AH63</f>
        <v>-0.53876700000000088</v>
      </c>
      <c r="W63" s="20">
        <f t="shared" si="19"/>
        <v>7.8167371052791577</v>
      </c>
      <c r="Z63" s="17" t="str">
        <f>+IF($B$3="esp","España","Spain")</f>
        <v>Spain</v>
      </c>
      <c r="AB63" s="18">
        <f>+[1]RADIO!AC63</f>
        <v>158.21661185999977</v>
      </c>
      <c r="AC63" s="19">
        <f>+[1]RADIO!AD63</f>
        <v>162.10009509</v>
      </c>
      <c r="AD63" s="20">
        <f t="shared" si="22"/>
        <v>-2.3957316174577596</v>
      </c>
      <c r="AF63" s="18">
        <f>+[1]RADIO!AG63</f>
        <v>41.282772249999681</v>
      </c>
      <c r="AG63" s="19">
        <f>+[1]RADIO!AH63</f>
        <v>43.042922430000004</v>
      </c>
      <c r="AH63" s="20">
        <f t="shared" si="23"/>
        <v>-4.089290597920777</v>
      </c>
    </row>
    <row r="64" spans="4:45" ht="15" customHeight="1">
      <c r="D64" s="26" t="str">
        <f>+IF($B$3="esp","Latam","Latam")</f>
        <v>Latam</v>
      </c>
      <c r="F64" s="18">
        <f>+[1]GRUPO!AC64</f>
        <v>173.69255514713655</v>
      </c>
      <c r="G64" s="19">
        <f>+[1]GRUPO!AD64</f>
        <v>156.81418484473764</v>
      </c>
      <c r="H64" s="20">
        <f t="shared" si="16"/>
        <v>10.763293077797936</v>
      </c>
      <c r="J64" s="18">
        <f>+[1]GRUPO!AG64</f>
        <v>60.345758338444597</v>
      </c>
      <c r="K64" s="19">
        <f>+[1]GRUPO!AH64</f>
        <v>53.959838228925321</v>
      </c>
      <c r="L64" s="20">
        <f t="shared" si="17"/>
        <v>11.834579789559276</v>
      </c>
      <c r="O64" s="26" t="str">
        <f>+IF($B$3="esp","Latam","Latam")</f>
        <v>Latam</v>
      </c>
      <c r="Q64" s="18">
        <f>+[1]SANTILLANA!AC64</f>
        <v>157.66938183869729</v>
      </c>
      <c r="R64" s="19">
        <f>+[1]SANTILLANA!AD64</f>
        <v>138.30393184195569</v>
      </c>
      <c r="S64" s="20">
        <f t="shared" si="18"/>
        <v>14.002096497785125</v>
      </c>
      <c r="U64" s="18">
        <f>+[1]SANTILLANA!AG64</f>
        <v>54.41154830275957</v>
      </c>
      <c r="V64" s="19">
        <f>+[1]SANTILLANA!AH64</f>
        <v>43.364219515879199</v>
      </c>
      <c r="W64" s="20">
        <f t="shared" si="19"/>
        <v>25.475677667471995</v>
      </c>
      <c r="Z64" s="17" t="str">
        <f>+IF($B$3="esp","Latam","Latam")</f>
        <v>Latam</v>
      </c>
      <c r="AB64" s="18">
        <f>+[1]RADIO!AC64</f>
        <v>73.065937280811397</v>
      </c>
      <c r="AC64" s="19">
        <f>+[1]RADIO!AD64</f>
        <v>78.454072406206393</v>
      </c>
      <c r="AD64" s="20">
        <f t="shared" si="22"/>
        <v>-6.8678845598953862</v>
      </c>
      <c r="AF64" s="18">
        <f>+[1]RADIO!AG64</f>
        <v>18.076614731879289</v>
      </c>
      <c r="AG64" s="19">
        <f>+[1]RADIO!AH64</f>
        <v>19.862054611308594</v>
      </c>
      <c r="AH64" s="20">
        <f t="shared" si="23"/>
        <v>-8.9892003338504196</v>
      </c>
    </row>
    <row r="65" spans="4:34" s="22" customFormat="1" ht="15" customHeight="1">
      <c r="D65" s="21" t="str">
        <f>+IF($B$3="esp","Margen EBITDA ","EBITDA Margin")</f>
        <v>EBITDA Margin</v>
      </c>
      <c r="F65" s="27">
        <f>+F60/F50</f>
        <v>0.17679778944614458</v>
      </c>
      <c r="G65" s="28">
        <f>+G60/G50</f>
        <v>0.17386592276427754</v>
      </c>
      <c r="H65" s="29"/>
      <c r="J65" s="27">
        <f>+J60/J50</f>
        <v>0.1043933327427173</v>
      </c>
      <c r="K65" s="28">
        <f>+K60/K50</f>
        <v>0.10601140835398171</v>
      </c>
      <c r="L65" s="29"/>
      <c r="O65" s="21" t="str">
        <f>+IF($B$3="esp","Margen EBITDA ","EBITDA Margin")</f>
        <v>EBITDA Margin</v>
      </c>
      <c r="Q65" s="27">
        <f>+Q60/Q50</f>
        <v>0.27328079745636163</v>
      </c>
      <c r="R65" s="28">
        <f>+R60/R50</f>
        <v>0.26808360557044114</v>
      </c>
      <c r="S65" s="29"/>
      <c r="U65" s="27">
        <f>+U60/U50</f>
        <v>0.1155310283308766</v>
      </c>
      <c r="V65" s="28">
        <f>+V60/V50</f>
        <v>5.7193960813555898E-2</v>
      </c>
      <c r="W65" s="29"/>
      <c r="Z65" s="17" t="str">
        <f>+IF($B$3="esp","Música","Music")</f>
        <v>Music</v>
      </c>
      <c r="AA65" s="1"/>
      <c r="AB65" s="18">
        <f>+[1]RADIO!AC65</f>
        <v>17.617776317017139</v>
      </c>
      <c r="AC65" s="19">
        <f>+[1]RADIO!AD65</f>
        <v>28.862326831607412</v>
      </c>
      <c r="AD65" s="20">
        <f t="shared" si="22"/>
        <v>-38.959265412642537</v>
      </c>
      <c r="AE65" s="1"/>
      <c r="AF65" s="18">
        <f>+[1]RADIO!AG65</f>
        <v>4.1388509231696169</v>
      </c>
      <c r="AG65" s="19">
        <f>+[1]RADIO!AH65</f>
        <v>12.0813283865727</v>
      </c>
      <c r="AH65" s="20">
        <f t="shared" si="23"/>
        <v>-65.741756280960189</v>
      </c>
    </row>
    <row r="66" spans="4:34" s="13" customFormat="1" ht="15" customHeight="1">
      <c r="D66" s="13" t="str">
        <f>+IF($B$3="esp","EBIT","EBIT")</f>
        <v>EBIT</v>
      </c>
      <c r="F66" s="14">
        <f>+[1]GRUPO!AC66</f>
        <v>105.74491386174766</v>
      </c>
      <c r="G66" s="15">
        <f>+[1]GRUPO!AD66</f>
        <v>99.460980981582097</v>
      </c>
      <c r="H66" s="16">
        <f>IF(G66=0,"---",IF(OR(ABS((F66-G66)/ABS(G66))&gt;2,(F66*G66)&lt;0),"---",IF(G66="0","---",((F66-G66)/ABS(G66))*100)))</f>
        <v>6.3179880372678063</v>
      </c>
      <c r="J66" s="14">
        <f>+[1]GRUPO!AG66</f>
        <v>3.2453722580279987</v>
      </c>
      <c r="K66" s="15">
        <f>+[1]GRUPO!AH66</f>
        <v>9.6481599709143069</v>
      </c>
      <c r="L66" s="16">
        <f>IF(K66=0,"---",IF(OR(ABS((J66-K66)/ABS(K66))&gt;2,(J66*K66)&lt;0),"---",IF(K66="0","---",((J66-K66)/ABS(K66))*100)))</f>
        <v>-66.362785569356063</v>
      </c>
      <c r="O66" s="13" t="str">
        <f>+IF($B$3="esp","EBIT","EBIT")</f>
        <v>EBIT</v>
      </c>
      <c r="Q66" s="14">
        <f>+[1]SANTILLANA!AC66</f>
        <v>110.192803159823</v>
      </c>
      <c r="R66" s="15">
        <f>+[1]SANTILLANA!AD66</f>
        <v>98.581568655908995</v>
      </c>
      <c r="S66" s="16">
        <f>IF(R66=0,"---",IF(OR(ABS((Q66-R66)/ABS(R66))&gt;2,(Q66*R66)&lt;0),"---",IF(R66="0","---",((Q66-R66)/ABS(R66))*100)))</f>
        <v>11.778301625978465</v>
      </c>
      <c r="U66" s="14">
        <f>+[1]SANTILLANA!AG66</f>
        <v>5.9156186664639989</v>
      </c>
      <c r="V66" s="15">
        <f>+[1]SANTILLANA!AH66</f>
        <v>2.6338465715464991</v>
      </c>
      <c r="W66" s="16">
        <f>IF(V66=0,"---",IF(OR(ABS((U66-V66)/ABS(V66))&gt;2,(U66*V66)&lt;0),"---",IF(V66="0","---",((U66-V66)/ABS(V66))*100)))</f>
        <v>124.5999721612699</v>
      </c>
      <c r="Z66" s="17" t="str">
        <f>+IF($B$3="esp","Ajustes y Otros","Adjustments &amp; others")</f>
        <v>Adjustments &amp; others</v>
      </c>
      <c r="AA66" s="1"/>
      <c r="AB66" s="18">
        <f>+[1]RADIO!AC66</f>
        <v>-9.5862164210040035</v>
      </c>
      <c r="AC66" s="19">
        <f>+[1]RADIO!AD66</f>
        <v>-9.6314970651321445</v>
      </c>
      <c r="AD66" s="20">
        <f t="shared" si="22"/>
        <v>0.47013090303547517</v>
      </c>
      <c r="AF66" s="18">
        <f>+[1]RADIO!AG66</f>
        <v>-2.8882672452017921</v>
      </c>
      <c r="AG66" s="19">
        <f>+[1]RADIO!AH66</f>
        <v>-2.9196533168633394</v>
      </c>
      <c r="AH66" s="20">
        <f t="shared" si="23"/>
        <v>1.0749930986760496</v>
      </c>
    </row>
    <row r="67" spans="4:34" ht="15" customHeight="1">
      <c r="D67" s="17" t="str">
        <f>+IF($B$3="esp","España","Spain")</f>
        <v>Spain</v>
      </c>
      <c r="F67" s="18">
        <f>+[1]GRUPO!AC67</f>
        <v>-9.1834705164017212</v>
      </c>
      <c r="G67" s="19">
        <f>+[1]GRUPO!AD67</f>
        <v>-3.1400865860316989</v>
      </c>
      <c r="H67" s="20">
        <f>IF(G67=0,"---",IF(OR(ABS((F67-G67)/ABS(G67))&gt;2,(F67*G67)&lt;0),"---",IF(G67="0","---",((F67-G67)/ABS(G67))*100)))</f>
        <v>-192.45914928758003</v>
      </c>
      <c r="J67" s="18">
        <f>+[1]GRUPO!AG67</f>
        <v>-33.034559730003338</v>
      </c>
      <c r="K67" s="19">
        <f>+[1]GRUPO!AH67</f>
        <v>-24.42660726960181</v>
      </c>
      <c r="L67" s="20">
        <f>IF(K67=0,"---",IF(OR(ABS((J67-K67)/ABS(K67))&gt;2,(J67*K67)&lt;0),"---",IF(K67="0","---",((J67-K67)/ABS(K67))*100)))</f>
        <v>-35.240065742219834</v>
      </c>
      <c r="O67" s="17" t="str">
        <f>+IF($B$3="esp","España","Spain")</f>
        <v>Spain</v>
      </c>
      <c r="Q67" s="18">
        <f>+[1]SANTILLANA!AC67</f>
        <v>4.1364912669760514</v>
      </c>
      <c r="R67" s="19">
        <f>+[1]SANTILLANA!AD67</f>
        <v>10.533346143561147</v>
      </c>
      <c r="S67" s="20">
        <f>IF(R67=0,"---",IF(OR(ABS((Q67-R67)/ABS(R67))&gt;2,(Q67*R67)&lt;0),"---",IF(R67="0","---",((Q67-R67)/ABS(R67))*100)))</f>
        <v>-60.729561047373181</v>
      </c>
      <c r="U67" s="18">
        <f>+[1]SANTILLANA!AG67</f>
        <v>-27.157973459999567</v>
      </c>
      <c r="V67" s="19">
        <f>+[1]SANTILLANA!AH67</f>
        <v>-22.418749085736785</v>
      </c>
      <c r="W67" s="20">
        <f>IF(V67=0,"---",IF(OR(ABS((U67-V67)/ABS(V67))&gt;2,(U67*V67)&lt;0),"---",IF(V67="0","---",((U67-V67)/ABS(V67))*100)))</f>
        <v>-21.139557591453499</v>
      </c>
      <c r="Z67" s="13" t="str">
        <f>+IF($B$3="esp","EBITDA","EBITDA")</f>
        <v>EBITDA</v>
      </c>
      <c r="AA67" s="13"/>
      <c r="AB67" s="14">
        <f>+[1]RADIO!AC67</f>
        <v>41.3523095926707</v>
      </c>
      <c r="AC67" s="15">
        <f>+[1]RADIO!AD67</f>
        <v>41.266236446025303</v>
      </c>
      <c r="AD67" s="16">
        <f t="shared" si="22"/>
        <v>0.20858007431324024</v>
      </c>
      <c r="AF67" s="14">
        <f>+[1]RADIO!AG67</f>
        <v>17.235411319299203</v>
      </c>
      <c r="AG67" s="15">
        <f>+[1]RADIO!AH67</f>
        <v>21.237715904715003</v>
      </c>
      <c r="AH67" s="16">
        <f t="shared" si="23"/>
        <v>-18.845268499552933</v>
      </c>
    </row>
    <row r="68" spans="4:34" ht="15" customHeight="1">
      <c r="D68" s="17" t="str">
        <f>+IF($B$3="esp","Internacional","International")</f>
        <v>International</v>
      </c>
      <c r="F68" s="18">
        <f>+[1]GRUPO!AC68</f>
        <v>114.92838437814937</v>
      </c>
      <c r="G68" s="19">
        <f>+[1]GRUPO!AD68</f>
        <v>102.6010675676138</v>
      </c>
      <c r="H68" s="20">
        <f>IF(G68=0,"---",IF(OR(ABS((F68-G68)/ABS(G68))&gt;2,(F68*G68)&lt;0),"---",IF(G68="0","---",((F68-G68)/ABS(G68))*100)))</f>
        <v>12.014803649496058</v>
      </c>
      <c r="J68" s="18">
        <f>+[1]GRUPO!AG68</f>
        <v>36.279931988031322</v>
      </c>
      <c r="K68" s="19">
        <f>+[1]GRUPO!AH68</f>
        <v>34.074767240516124</v>
      </c>
      <c r="L68" s="20">
        <f>IF(K68=0,"---",IF(OR(ABS((J68-K68)/ABS(K68))&gt;2,(J68*K68)&lt;0),"---",IF(K68="0","---",((J68-K68)/ABS(K68))*100)))</f>
        <v>6.4715475000902662</v>
      </c>
      <c r="O68" s="17" t="str">
        <f>+IF($B$3="esp","Internacional","International")</f>
        <v>International</v>
      </c>
      <c r="Q68" s="18">
        <f>+[1]SANTILLANA!AC68</f>
        <v>106.05631189284695</v>
      </c>
      <c r="R68" s="19">
        <f>+[1]SANTILLANA!AD68</f>
        <v>88.048222512347849</v>
      </c>
      <c r="S68" s="20">
        <f>IF(R68=0,"---",IF(OR(ABS((Q68-R68)/ABS(R68))&gt;2,(Q68*R68)&lt;0),"---",IF(R68="0","---",((Q68-R68)/ABS(R68))*100)))</f>
        <v>20.452530291538427</v>
      </c>
      <c r="U68" s="18">
        <f>+[1]SANTILLANA!AG68</f>
        <v>33.073592126463566</v>
      </c>
      <c r="V68" s="19">
        <f>+[1]SANTILLANA!AH68</f>
        <v>25.052595657283284</v>
      </c>
      <c r="W68" s="20">
        <f>IF(V68=0,"---",IF(OR(ABS((U68-V68)/ABS(V68))&gt;2,(U68*V68)&lt;0),"---",IF(V68="0","---",((U68-V68)/ABS(V68))*100)))</f>
        <v>32.01662845202398</v>
      </c>
      <c r="Z68" s="17" t="str">
        <f>+IF($B$3="esp","España","Spain")</f>
        <v>Spain</v>
      </c>
      <c r="AB68" s="18">
        <f>+[1]RADIO!AC68</f>
        <v>21.667378890000208</v>
      </c>
      <c r="AC68" s="19">
        <f>+[1]RADIO!AD68</f>
        <v>20.942682679999997</v>
      </c>
      <c r="AD68" s="20">
        <f t="shared" si="22"/>
        <v>3.4603790788096438</v>
      </c>
      <c r="AF68" s="18">
        <f>+[1]RADIO!AG68</f>
        <v>9.5663743100003096</v>
      </c>
      <c r="AG68" s="19">
        <f>+[1]RADIO!AH68</f>
        <v>10.498438259999999</v>
      </c>
      <c r="AH68" s="20">
        <f t="shared" si="23"/>
        <v>-8.8781200300137701</v>
      </c>
    </row>
    <row r="69" spans="4:34" ht="15" customHeight="1">
      <c r="D69" s="26" t="str">
        <f>+IF($B$3="esp","Portugal","Portugal")</f>
        <v>Portugal</v>
      </c>
      <c r="F69" s="18">
        <f>+[1]GRUPO!AC69</f>
        <v>-0.88895300000000099</v>
      </c>
      <c r="G69" s="19">
        <f>+[1]GRUPO!AD69</f>
        <v>-0.252917</v>
      </c>
      <c r="H69" s="20" t="str">
        <f>IF(G69=0,"---",IF(OR(ABS((F69-G69)/ABS(G69))&gt;2,(F69*G69)&lt;0),"---",IF(G69="0","---",((F69-G69)/ABS(G69))*100)))</f>
        <v>---</v>
      </c>
      <c r="J69" s="18">
        <f>+[1]GRUPO!AG69</f>
        <v>-0.8553840000000017</v>
      </c>
      <c r="K69" s="19">
        <f>+[1]GRUPO!AH69</f>
        <v>-0.58111000000000002</v>
      </c>
      <c r="L69" s="20">
        <f>IF(K69=0,"---",IF(OR(ABS((J69-K69)/ABS(K69))&gt;2,(J69*K69)&lt;0),"---",IF(K69="0","---",((J69-K69)/ABS(K69))*100)))</f>
        <v>-47.198292922166488</v>
      </c>
      <c r="O69" s="26" t="str">
        <f>+IF($B$3="esp","Portugal","Portugal")</f>
        <v>Portugal</v>
      </c>
      <c r="Q69" s="18">
        <f>+[1]SANTILLANA!AC69</f>
        <v>-0.88895300000000099</v>
      </c>
      <c r="R69" s="19">
        <f>+[1]SANTILLANA!AD69</f>
        <v>-0.252917000000001</v>
      </c>
      <c r="S69" s="20" t="str">
        <f>IF(R69=0,"---",IF(OR(ABS((Q69-R69)/ABS(R69))&gt;2,(Q69*R69)&lt;0),"---",IF(R69="0","---",((Q69-R69)/ABS(R69))*100)))</f>
        <v>---</v>
      </c>
      <c r="U69" s="18">
        <f>+[1]SANTILLANA!AG69</f>
        <v>-0.85538400000000214</v>
      </c>
      <c r="V69" s="19">
        <f>+[1]SANTILLANA!AH69</f>
        <v>-0.5811100000000009</v>
      </c>
      <c r="W69" s="20">
        <f>IF(V69=0,"---",IF(OR(ABS((U69-V69)/ABS(V69))&gt;2,(U69*V69)&lt;0),"---",IF(V69="0","---",((U69-V69)/ABS(V69))*100)))</f>
        <v>-47.198292922166338</v>
      </c>
      <c r="Z69" s="17" t="str">
        <f>+IF($B$3="esp","Latam","Latam")</f>
        <v>Latam</v>
      </c>
      <c r="AB69" s="18">
        <f>+[1]RADIO!AC69</f>
        <v>21.532908511175702</v>
      </c>
      <c r="AC69" s="19">
        <f>+[1]RADIO!AD69</f>
        <v>20.4618993819251</v>
      </c>
      <c r="AD69" s="20">
        <f t="shared" si="22"/>
        <v>5.2341628177327033</v>
      </c>
      <c r="AF69" s="18">
        <f>+[1]RADIO!AG69</f>
        <v>7.9952464649852004</v>
      </c>
      <c r="AG69" s="19">
        <f>+[1]RADIO!AH69</f>
        <v>9.6184286363413012</v>
      </c>
      <c r="AH69" s="20">
        <f t="shared" si="23"/>
        <v>-16.875752087230058</v>
      </c>
    </row>
    <row r="70" spans="4:34" ht="15" customHeight="1">
      <c r="D70" s="26" t="str">
        <f>+IF($B$3="esp","Latam","Latam")</f>
        <v>Latam</v>
      </c>
      <c r="F70" s="18">
        <f>+[1]GRUPO!AC70</f>
        <v>115.81733737814938</v>
      </c>
      <c r="G70" s="19">
        <f>+[1]GRUPO!AD70</f>
        <v>102.85398456761379</v>
      </c>
      <c r="H70" s="20">
        <f>IF(G70=0,"---",IF(OR(ABS((F70-G70)/ABS(G70))&gt;2,(F70*G70)&lt;0),"---",IF(G70="0","---",((F70-G70)/ABS(G70))*100)))</f>
        <v>12.603646679350355</v>
      </c>
      <c r="J70" s="18">
        <f>+[1]GRUPO!AG70</f>
        <v>37.135315988031323</v>
      </c>
      <c r="K70" s="19">
        <f>+[1]GRUPO!AH70</f>
        <v>34.655877240516119</v>
      </c>
      <c r="L70" s="20">
        <f>IF(K70=0,"---",IF(OR(ABS((J70-K70)/ABS(K70))&gt;2,(J70*K70)&lt;0),"---",IF(K70="0","---",((J70-K70)/ABS(K70))*100)))</f>
        <v>7.154453861628113</v>
      </c>
      <c r="O70" s="26" t="str">
        <f>+IF($B$3="esp","Latam","Latam")</f>
        <v>Latam</v>
      </c>
      <c r="Q70" s="18">
        <f>+[1]SANTILLANA!AC70</f>
        <v>106.94526489284695</v>
      </c>
      <c r="R70" s="19">
        <f>+[1]SANTILLANA!AD70</f>
        <v>88.301139512347845</v>
      </c>
      <c r="S70" s="20">
        <f>IF(R70=0,"---",IF(OR(ABS((Q70-R70)/ABS(R70))&gt;2,(Q70*R70)&lt;0),"---",IF(R70="0","---",((Q70-R70)/ABS(R70))*100)))</f>
        <v>21.114252300098517</v>
      </c>
      <c r="U70" s="18">
        <f>+[1]SANTILLANA!AG70</f>
        <v>33.928976126463567</v>
      </c>
      <c r="V70" s="19">
        <f>+[1]SANTILLANA!AH70</f>
        <v>25.633705657283279</v>
      </c>
      <c r="W70" s="20">
        <f>IF(V70=0,"---",IF(OR(ABS((U70-V70)/ABS(V70))&gt;2,(U70*V70)&lt;0),"---",IF(V70="0","---",((U70-V70)/ABS(V70))*100)))</f>
        <v>32.360793168518583</v>
      </c>
      <c r="Z70" s="17" t="str">
        <f>+IF($B$3="esp","Música","Music")</f>
        <v>Music</v>
      </c>
      <c r="AB70" s="18">
        <f>+[1]RADIO!AC70</f>
        <v>-1.8479778085049399</v>
      </c>
      <c r="AC70" s="19">
        <f>+[1]RADIO!AD70</f>
        <v>-0.13834561589960898</v>
      </c>
      <c r="AD70" s="20" t="str">
        <f t="shared" si="22"/>
        <v>---</v>
      </c>
      <c r="AF70" s="18">
        <f>+[1]RADIO!AG70</f>
        <v>-0.32620945568631976</v>
      </c>
      <c r="AG70" s="19">
        <f>+[1]RADIO!AH70</f>
        <v>1.118120808373801</v>
      </c>
      <c r="AH70" s="20" t="str">
        <f t="shared" si="23"/>
        <v>---</v>
      </c>
    </row>
    <row r="71" spans="4:34" s="22" customFormat="1" ht="15" customHeight="1">
      <c r="D71" s="21" t="str">
        <f>+IF($B$3="esp","Margen EBIT ","EBIT Margin")</f>
        <v>EBIT Margin</v>
      </c>
      <c r="F71" s="27">
        <f>+F66/F50</f>
        <v>9.0325842780395779E-2</v>
      </c>
      <c r="G71" s="28">
        <f>+G66/G50</f>
        <v>8.3970020745362001E-2</v>
      </c>
      <c r="H71" s="29"/>
      <c r="J71" s="27">
        <f>+J66/J50</f>
        <v>1.1711751593768862E-2</v>
      </c>
      <c r="K71" s="28">
        <f>+K66/K50</f>
        <v>3.3608421928682831E-2</v>
      </c>
      <c r="L71" s="29"/>
      <c r="O71" s="21" t="str">
        <f>+IF($B$3="esp","Margen EBIT ","EBIT Margin")</f>
        <v>EBIT Margin</v>
      </c>
      <c r="Q71" s="27">
        <f>+Q66/Q50</f>
        <v>0.16792491798658668</v>
      </c>
      <c r="R71" s="28">
        <f>+R66/R50</f>
        <v>0.15462926601185348</v>
      </c>
      <c r="S71" s="29"/>
      <c r="U71" s="27">
        <f>+U66/U50</f>
        <v>4.4280686745917786E-2</v>
      </c>
      <c r="V71" s="28">
        <f>+V66/V50</f>
        <v>2.1240667550983076E-2</v>
      </c>
      <c r="W71" s="29"/>
      <c r="Z71" s="17" t="str">
        <f>+IF($B$3="esp","Ajustes y Otros","Adjustments &amp; others")</f>
        <v>Adjustments &amp; others</v>
      </c>
      <c r="AA71" s="1"/>
      <c r="AB71" s="18">
        <f>+[1]RADIO!AC71</f>
        <v>-2.6978419498391304E-13</v>
      </c>
      <c r="AC71" s="19">
        <f>+[1]RADIO!AD71</f>
        <v>-1.854627562636324E-13</v>
      </c>
      <c r="AD71" s="20">
        <f t="shared" si="22"/>
        <v>-45.465429512122121</v>
      </c>
      <c r="AF71" s="18">
        <f>+[1]RADIO!AG71</f>
        <v>1.2878587085651816E-14</v>
      </c>
      <c r="AG71" s="19">
        <f>+[1]RADIO!AH71</f>
        <v>2.7281999999022033E-3</v>
      </c>
      <c r="AH71" s="20">
        <f t="shared" si="23"/>
        <v>-99.999999999527944</v>
      </c>
    </row>
    <row r="72" spans="4:34" s="13" customFormat="1" ht="15" customHeight="1">
      <c r="D72" s="13" t="str">
        <f>+IF($B$3="esp","Resultado Financiero","Financial Result")</f>
        <v>Financial Result</v>
      </c>
      <c r="F72" s="14">
        <f>+[1]GRUPO!AC72</f>
        <v>-64.669030884683906</v>
      </c>
      <c r="G72" s="15">
        <f>+[1]GRUPO!AD72</f>
        <v>-82.422438075180395</v>
      </c>
      <c r="H72" s="16">
        <f t="shared" ref="H72:H80" si="24">IF(G72=0,"---",IF(OR(ABS((F72-G72)/ABS(G72))&gt;2,(F72*G72)&lt;0),"---",IF(G72="0","---",((F72-G72)/ABS(G72))*100)))</f>
        <v>21.539531716233611</v>
      </c>
      <c r="J72" s="14">
        <f>+[1]GRUPO!AG72</f>
        <v>-27.68242942277611</v>
      </c>
      <c r="K72" s="15">
        <f>+[1]GRUPO!AH72</f>
        <v>-40.715627539774793</v>
      </c>
      <c r="L72" s="16">
        <f t="shared" ref="L72:L80" si="25">IF(K72=0,"---",IF(OR(ABS((J72-K72)/ABS(K72))&gt;2,(J72*K72)&lt;0),"---",IF(K72="0","---",((J72-K72)/ABS(K72))*100)))</f>
        <v>32.010308828635019</v>
      </c>
      <c r="O72" s="1"/>
      <c r="P72" s="1"/>
      <c r="Q72" s="1"/>
      <c r="R72" s="1"/>
      <c r="S72" s="1"/>
      <c r="U72" s="1"/>
      <c r="V72" s="1"/>
      <c r="W72" s="1"/>
      <c r="Z72" s="21" t="str">
        <f>+IF($B$3="esp","Margen EBITDA ","EBITDA Margin")</f>
        <v>EBITDA Margin</v>
      </c>
      <c r="AA72" s="22"/>
      <c r="AB72" s="27">
        <f>+AB67/AB56</f>
        <v>0.14733615013365556</v>
      </c>
      <c r="AC72" s="28">
        <f>+AC67/AC56</f>
        <v>0.137073799491398</v>
      </c>
      <c r="AD72" s="29"/>
      <c r="AF72" s="27">
        <f>+AF67/AF56</f>
        <v>0.22140570039101867</v>
      </c>
      <c r="AG72" s="28">
        <f>+AG67/AG56</f>
        <v>0.22761759557852529</v>
      </c>
      <c r="AH72" s="29"/>
    </row>
    <row r="73" spans="4:34" ht="15" customHeight="1">
      <c r="D73" s="17" t="str">
        <f>+IF($B$3="esp","Gastos por intereses de financiación","Interests on debt")</f>
        <v>Interests on debt</v>
      </c>
      <c r="F73" s="18">
        <f>+[1]GRUPO!AC73</f>
        <v>-49.231305283514097</v>
      </c>
      <c r="G73" s="19">
        <f>+[1]GRUPO!AD73</f>
        <v>-54.252571685783799</v>
      </c>
      <c r="H73" s="20">
        <f t="shared" si="24"/>
        <v>9.2553518593579636</v>
      </c>
      <c r="J73" s="18">
        <f>+[1]GRUPO!AG73</f>
        <v>-11.989567934476497</v>
      </c>
      <c r="K73" s="19">
        <f>+[1]GRUPO!AH73</f>
        <v>-11.831166098517699</v>
      </c>
      <c r="L73" s="20">
        <f t="shared" si="25"/>
        <v>-1.3388522706873709</v>
      </c>
      <c r="Z73" s="13" t="str">
        <f>+IF($B$3="esp","EBIT","EBIT")</f>
        <v>EBIT</v>
      </c>
      <c r="AA73" s="13"/>
      <c r="AB73" s="14">
        <f>+[1]RADIO!AC73</f>
        <v>28.415233759236664</v>
      </c>
      <c r="AC73" s="15">
        <f>+[1]RADIO!AD73</f>
        <v>28.198721861394493</v>
      </c>
      <c r="AD73" s="16">
        <f>IF(AC73=0,"---",IF(OR(ABS((AB73-AC73)/ABS(AC73))&gt;2,(AB73*AC73)&lt;0),"---",IF(AC73="0","---",((AB73-AC73)/ABS(AC73))*100)))</f>
        <v>0.76780748753930916</v>
      </c>
      <c r="AF73" s="14">
        <f>+[1]RADIO!AG73</f>
        <v>12.653451202159697</v>
      </c>
      <c r="AG73" s="15">
        <f>+[1]RADIO!AH73</f>
        <v>16.453906080736402</v>
      </c>
      <c r="AH73" s="16">
        <f>IF(AG73=0,"---",IF(OR(ABS((AF73-AG73)/ABS(AG73))&gt;2,(AF73*AG73)&lt;0),"---",IF(AG73="0","---",((AF73-AG73)/ABS(AG73))*100)))</f>
        <v>-23.097584609566542</v>
      </c>
    </row>
    <row r="74" spans="4:34" ht="15" customHeight="1">
      <c r="D74" s="17" t="str">
        <f>+IF($B$3="esp","Otros resultados financieros","Other financial results")</f>
        <v>Other financial results</v>
      </c>
      <c r="F74" s="18">
        <f>+[1]GRUPO!AC74</f>
        <v>-15.437725601169809</v>
      </c>
      <c r="G74" s="19">
        <f>+[1]GRUPO!AD74</f>
        <v>-28.169866389396596</v>
      </c>
      <c r="H74" s="20">
        <f t="shared" si="24"/>
        <v>45.19773225839397</v>
      </c>
      <c r="J74" s="18">
        <f>+[1]GRUPO!AG74</f>
        <v>-15.692861488299613</v>
      </c>
      <c r="K74" s="19">
        <f>+[1]GRUPO!AH74</f>
        <v>-28.884461441257095</v>
      </c>
      <c r="L74" s="20">
        <f t="shared" si="25"/>
        <v>45.670229925475681</v>
      </c>
      <c r="Z74" s="17" t="str">
        <f>+IF($B$3="esp","España","Spain")</f>
        <v>Spain</v>
      </c>
      <c r="AB74" s="18">
        <f>+[1]RADIO!AC74</f>
        <v>15.071721170000398</v>
      </c>
      <c r="AC74" s="19">
        <f>+[1]RADIO!AD74</f>
        <v>14.383525210000029</v>
      </c>
      <c r="AD74" s="20">
        <f>IF(AC74=0,"---",IF(OR(ABS((AB74-AC74)/ABS(AC74))&gt;2,(AB74*AC74)&lt;0),"---",IF(AC74="0","---",((AB74-AC74)/ABS(AC74))*100)))</f>
        <v>4.7846126033269414</v>
      </c>
      <c r="AF74" s="18">
        <f>+[1]RADIO!AG74</f>
        <v>7.2404862800004981</v>
      </c>
      <c r="AG74" s="19">
        <f>+[1]RADIO!AH74</f>
        <v>9.1355528499999288</v>
      </c>
      <c r="AH74" s="20">
        <f>IF(AG74=0,"---",IF(OR(ABS((AF74-AG74)/ABS(AG74))&gt;2,(AF74*AG74)&lt;0),"---",IF(AG74="0","---",((AF74-AG74)/ABS(AG74))*100)))</f>
        <v>-20.743863027396809</v>
      </c>
    </row>
    <row r="75" spans="4:34" s="13" customFormat="1" ht="15" customHeight="1">
      <c r="D75" s="13" t="str">
        <f>+IF($B$3="esp","Resultado puesta en equivalencia","Result from associates")</f>
        <v>Result from associates</v>
      </c>
      <c r="F75" s="14">
        <f>+[1]GRUPO!AC75</f>
        <v>3.6567833238288201</v>
      </c>
      <c r="G75" s="15">
        <f>+[1]GRUPO!AD75</f>
        <v>3.3113797625564398</v>
      </c>
      <c r="H75" s="16">
        <f t="shared" si="24"/>
        <v>10.430804862010843</v>
      </c>
      <c r="J75" s="14">
        <f>+[1]GRUPO!AG75</f>
        <v>2.0364665859383</v>
      </c>
      <c r="K75" s="15">
        <f>+[1]GRUPO!AH75</f>
        <v>0.44740504052789998</v>
      </c>
      <c r="L75" s="16" t="str">
        <f t="shared" si="25"/>
        <v>---</v>
      </c>
      <c r="Z75" s="17" t="str">
        <f>+IF($B$3="esp","Latam","Latam")</f>
        <v>Latam</v>
      </c>
      <c r="AA75" s="1"/>
      <c r="AB75" s="18">
        <f>+[1]RADIO!AC75</f>
        <v>15.661629859174965</v>
      </c>
      <c r="AC75" s="19">
        <f>+[1]RADIO!AD75</f>
        <v>16.932712222026197</v>
      </c>
      <c r="AD75" s="20">
        <f>IF(AC75=0,"---",IF(OR(ABS((AB75-AC75)/ABS(AC75))&gt;2,(AB75*AC75)&lt;0),"---",IF(AC75="0","---",((AB75-AC75)/ABS(AC75))*100)))</f>
        <v>-7.5066672496671742</v>
      </c>
      <c r="AE75" s="1"/>
      <c r="AF75" s="18">
        <f>+[1]RADIO!AG75</f>
        <v>5.7763814247211993</v>
      </c>
      <c r="AG75" s="19">
        <f>+[1]RADIO!AH75</f>
        <v>8.2224015180904271</v>
      </c>
      <c r="AH75" s="20">
        <f>IF(AG75=0,"---",IF(OR(ABS((AF75-AG75)/ABS(AG75))&gt;2,(AF75*AG75)&lt;0),"---",IF(AG75="0","---",((AF75-AG75)/ABS(AG75))*100)))</f>
        <v>-29.748244329684496</v>
      </c>
    </row>
    <row r="76" spans="4:34" s="13" customFormat="1" ht="15" customHeight="1">
      <c r="D76" s="13" t="str">
        <f>+IF($B$3="esp","Resultado antes de impuestos","Profit before tax")</f>
        <v>Profit before tax</v>
      </c>
      <c r="F76" s="14">
        <f>+[1]GRUPO!AC76</f>
        <v>44.732666300892575</v>
      </c>
      <c r="G76" s="15">
        <f>+[1]GRUPO!AD76</f>
        <v>20.349922668958143</v>
      </c>
      <c r="H76" s="16">
        <f t="shared" si="24"/>
        <v>119.81737733641597</v>
      </c>
      <c r="J76" s="14">
        <f>+[1]GRUPO!AG76</f>
        <v>-22.400590578809812</v>
      </c>
      <c r="K76" s="15">
        <f>+[1]GRUPO!AH76</f>
        <v>-30.620062528332582</v>
      </c>
      <c r="L76" s="16">
        <f t="shared" si="25"/>
        <v>26.843419871913511</v>
      </c>
      <c r="Z76" s="17" t="str">
        <f>+IF($B$3="esp","Música","Music")</f>
        <v>Music</v>
      </c>
      <c r="AA76" s="1"/>
      <c r="AB76" s="18">
        <f>+[1]RADIO!AC76</f>
        <v>-2.5565192699387898</v>
      </c>
      <c r="AC76" s="19">
        <f>+[1]RADIO!AD76</f>
        <v>-3.1175155706316402</v>
      </c>
      <c r="AD76" s="20">
        <f>IF(AC76=0,"---",IF(OR(ABS((AB76-AC76)/ABS(AC76))&gt;2,(AB76*AC76)&lt;0),"---",IF(AC76="0","---",((AB76-AC76)/ABS(AC76))*100)))</f>
        <v>17.994979912135193</v>
      </c>
      <c r="AE76" s="1"/>
      <c r="AF76" s="18">
        <f>+[1]RADIO!AG76</f>
        <v>-0.60181850256194958</v>
      </c>
      <c r="AG76" s="19">
        <f>+[1]RADIO!AH76</f>
        <v>-0.9067764873541404</v>
      </c>
      <c r="AH76" s="20">
        <f>IF(AG76=0,"---",IF(OR(ABS((AF76-AG76)/ABS(AG76))&gt;2,(AF76*AG76)&lt;0),"---",IF(AG76="0","---",((AF76-AG76)/ABS(AG76))*100)))</f>
        <v>33.630998271913711</v>
      </c>
    </row>
    <row r="77" spans="4:34" ht="15" customHeight="1">
      <c r="D77" s="17" t="str">
        <f>+IF($B$3="esp","Impuesto sobre sociedades","Income tax expense")</f>
        <v>Income tax expense</v>
      </c>
      <c r="F77" s="18">
        <f>+[1]GRUPO!AC77</f>
        <v>51.976747263595918</v>
      </c>
      <c r="G77" s="19">
        <f>+[1]GRUPO!AD77</f>
        <v>78.092116053652461</v>
      </c>
      <c r="H77" s="20">
        <f t="shared" si="24"/>
        <v>-33.441748168424866</v>
      </c>
      <c r="J77" s="18">
        <f>+[1]GRUPO!AG77</f>
        <v>15.34149131988422</v>
      </c>
      <c r="K77" s="19">
        <f>+[1]GRUPO!AH77</f>
        <v>51.897547796605537</v>
      </c>
      <c r="L77" s="20">
        <f t="shared" si="25"/>
        <v>-70.438889752537278</v>
      </c>
      <c r="Z77" s="17" t="str">
        <f>+IF($B$3="esp","Ajustes y Otros","Adjustments &amp; others")</f>
        <v>Adjustments &amp; others</v>
      </c>
      <c r="AB77" s="18">
        <f>+[1]RADIO!AC77</f>
        <v>0.23840200000008993</v>
      </c>
      <c r="AC77" s="19">
        <f>+[1]RADIO!AD77</f>
        <v>-9.2814644858663087E-14</v>
      </c>
      <c r="AD77" s="20" t="str">
        <f>IF(AC77=0,"---",IF(OR(ABS((AB77-AC77)/ABS(AC77))&gt;2,(AB77*AC77)&lt;0),"---",IF(AC77="0","---",((AB77-AC77)/ABS(AC77))*100)))</f>
        <v>---</v>
      </c>
      <c r="AE77" s="22"/>
      <c r="AF77" s="18">
        <f>+[1]RADIO!AG77</f>
        <v>0.2384019999999496</v>
      </c>
      <c r="AG77" s="19">
        <f>+[1]RADIO!AH77</f>
        <v>2.72820000018692E-3</v>
      </c>
      <c r="AH77" s="20" t="str">
        <f>IF(AG77=0,"---",IF(OR(ABS((AF77-AG77)/ABS(AG77))&gt;2,(AF77*AG77)&lt;0),"---",IF(AG77="0","---",((AF77-AG77)/ABS(AG77))*100)))</f>
        <v>---</v>
      </c>
    </row>
    <row r="78" spans="4:34" s="13" customFormat="1" ht="15" customHeight="1">
      <c r="D78" s="13" t="str">
        <f>+IF($B$3="esp","Resultado operaciones en discontinuación","Results from discontinued activities")</f>
        <v>Results from discontinued activities</v>
      </c>
      <c r="F78" s="14">
        <f>+[1]GRUPO!AC78</f>
        <v>68.501746093028999</v>
      </c>
      <c r="G78" s="15">
        <f>+[1]GRUPO!AD78</f>
        <v>-20.083584905979599</v>
      </c>
      <c r="H78" s="16" t="str">
        <f t="shared" si="24"/>
        <v>---</v>
      </c>
      <c r="J78" s="14">
        <f>+[1]GRUPO!AG78</f>
        <v>3.0735946724020948</v>
      </c>
      <c r="K78" s="15">
        <f>+[1]GRUPO!AH78</f>
        <v>-10.440387093212898</v>
      </c>
      <c r="L78" s="16" t="str">
        <f t="shared" si="25"/>
        <v>---</v>
      </c>
      <c r="Z78" s="21" t="str">
        <f>+IF($B$3="esp","Margen EBIT ","EBIT Margin")</f>
        <v>EBIT Margin</v>
      </c>
      <c r="AA78" s="22"/>
      <c r="AB78" s="27">
        <f>+AB73/AB56</f>
        <v>0.10124201497988021</v>
      </c>
      <c r="AC78" s="28">
        <f>+AC73/AC56</f>
        <v>9.3667518030101093E-2</v>
      </c>
      <c r="AD78" s="29"/>
      <c r="AF78" s="27">
        <f>+AF73/AF56</f>
        <v>0.16254594531438527</v>
      </c>
      <c r="AG78" s="28">
        <f>+AG73/AG56</f>
        <v>0.17634657873639895</v>
      </c>
      <c r="AH78" s="29"/>
    </row>
    <row r="79" spans="4:34" s="13" customFormat="1" ht="15" customHeight="1">
      <c r="D79" s="13" t="str">
        <f>+IF($B$3="esp","Resultado atribuido a socios externos","Minority interest")</f>
        <v>Minority interest</v>
      </c>
      <c r="F79" s="14">
        <f>+[1]GRUPO!AC79</f>
        <v>-27.1681582724474</v>
      </c>
      <c r="G79" s="15">
        <f>+[1]GRUPO!AD79</f>
        <v>-30.2017869911095</v>
      </c>
      <c r="H79" s="16">
        <f t="shared" si="24"/>
        <v>10.044533853427646</v>
      </c>
      <c r="J79" s="14">
        <f>+[1]GRUPO!AG79</f>
        <v>-7.1059425665993992</v>
      </c>
      <c r="K79" s="15">
        <f>+[1]GRUPO!AH79</f>
        <v>-9.7368186180069998</v>
      </c>
      <c r="L79" s="16">
        <f t="shared" si="25"/>
        <v>27.01987327300246</v>
      </c>
      <c r="Z79" s="1"/>
      <c r="AA79" s="1"/>
      <c r="AB79" s="1"/>
      <c r="AC79" s="1"/>
      <c r="AD79" s="1"/>
      <c r="AE79" s="1"/>
      <c r="AF79" s="1"/>
      <c r="AG79" s="1"/>
      <c r="AH79" s="1"/>
    </row>
    <row r="80" spans="4:34" s="13" customFormat="1" ht="15" customHeight="1">
      <c r="D80" s="13" t="str">
        <f>+IF($B$3="esp","Resultado Neto","Net Profit")</f>
        <v>Net Profit</v>
      </c>
      <c r="F80" s="14">
        <f>+[1]GRUPO!AC80</f>
        <v>-102.914140044805</v>
      </c>
      <c r="G80" s="15">
        <f>+[1]GRUPO!AD80</f>
        <v>-67.857384320234459</v>
      </c>
      <c r="H80" s="16">
        <f t="shared" si="24"/>
        <v>-51.662403547902343</v>
      </c>
      <c r="J80" s="14">
        <f>+[1]GRUPO!AG80</f>
        <v>-47.921773727695658</v>
      </c>
      <c r="K80" s="15">
        <f>+[1]GRUPO!AH80</f>
        <v>-81.811260185870012</v>
      </c>
      <c r="L80" s="16">
        <f t="shared" si="25"/>
        <v>41.423987824144973</v>
      </c>
    </row>
    <row r="81" spans="4:47">
      <c r="Z81" s="13"/>
      <c r="AA81" s="13"/>
      <c r="AB81" s="13"/>
      <c r="AC81" s="13"/>
      <c r="AD81" s="13"/>
      <c r="AE81" s="13"/>
      <c r="AF81" s="13"/>
      <c r="AG81" s="13"/>
      <c r="AH81" s="13"/>
    </row>
    <row r="82" spans="4:47">
      <c r="Z82" s="13"/>
      <c r="AA82" s="13"/>
      <c r="AB82" s="13"/>
      <c r="AC82" s="13"/>
      <c r="AD82" s="13"/>
      <c r="AE82" s="13"/>
      <c r="AF82" s="13"/>
      <c r="AG82" s="13"/>
      <c r="AH82" s="13"/>
    </row>
    <row r="83" spans="4:47"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</row>
    <row r="86" spans="4:47">
      <c r="D86" s="9" t="str">
        <f>+IF($B$3="esp","Millones de €","€ Millions")</f>
        <v>€ Millions</v>
      </c>
      <c r="F86" s="10">
        <v>2017</v>
      </c>
      <c r="G86" s="10">
        <v>2016</v>
      </c>
      <c r="H86" s="10" t="str">
        <f>+IF($B$3="esp","Var.%","% Chg.")</f>
        <v>% Chg.</v>
      </c>
      <c r="J86" s="10">
        <v>2017</v>
      </c>
      <c r="K86" s="10">
        <v>2016</v>
      </c>
      <c r="L86" s="10" t="str">
        <f>+IF($B$3="esp","Var.%","% Chg.")</f>
        <v>% Chg.</v>
      </c>
      <c r="O86" s="9" t="str">
        <f>+IF($B$3="esp","Millones de €","€ Millions")</f>
        <v>€ Millions</v>
      </c>
      <c r="Q86" s="10">
        <v>2017</v>
      </c>
      <c r="R86" s="10">
        <v>2016</v>
      </c>
      <c r="S86" s="10" t="str">
        <f>+IF($B$3="esp","Var.%","% Chg.")</f>
        <v>% Chg.</v>
      </c>
      <c r="U86" s="10">
        <v>2017</v>
      </c>
      <c r="V86" s="10">
        <v>2016</v>
      </c>
      <c r="W86" s="10" t="str">
        <f>+IF($B$3="esp","Var.%","% Chg.")</f>
        <v>% Chg.</v>
      </c>
      <c r="Z86" s="9" t="str">
        <f>+IF($B$3="esp","Millones de €","€ Millions")</f>
        <v>€ Millions</v>
      </c>
      <c r="AB86" s="10">
        <v>2017</v>
      </c>
      <c r="AC86" s="10">
        <v>2016</v>
      </c>
      <c r="AD86" s="10" t="str">
        <f>+IF($B$3="esp","Var.%","% Chg.")</f>
        <v>% Chg.</v>
      </c>
      <c r="AF86" s="10">
        <v>2017</v>
      </c>
      <c r="AG86" s="10">
        <v>2016</v>
      </c>
      <c r="AH86" s="10" t="str">
        <f>+IF($B$3="esp","Var.%","% Chg.")</f>
        <v>% Chg.</v>
      </c>
      <c r="AK86" s="9" t="str">
        <f>+IF($B$3="esp","Millones de €","€ Millions")</f>
        <v>€ Millions</v>
      </c>
      <c r="AM86" s="10">
        <v>2017</v>
      </c>
      <c r="AN86" s="10">
        <v>2016</v>
      </c>
      <c r="AO86" s="10" t="str">
        <f>+IF($B$3="esp","Var.%","% Chg.")</f>
        <v>% Chg.</v>
      </c>
      <c r="AQ86" s="10">
        <v>2017</v>
      </c>
      <c r="AR86" s="10">
        <v>2016</v>
      </c>
      <c r="AS86" s="10" t="str">
        <f>+IF($B$3="esp","Var.%","% Chg.")</f>
        <v>% Chg.</v>
      </c>
    </row>
    <row r="87" spans="4:47" ht="15.75" customHeight="1">
      <c r="D87" s="11" t="str">
        <f>+IF($B$3="esp","Efectos Extraordinarios","Extraordinary Effects")</f>
        <v>Extraordinary Effects</v>
      </c>
      <c r="F87" s="12"/>
      <c r="G87" s="12"/>
      <c r="H87" s="12"/>
      <c r="J87" s="12"/>
      <c r="K87" s="12"/>
      <c r="L87" s="12"/>
      <c r="O87" s="11" t="str">
        <f>+IF($B$3="esp","Efectos Extraordinarios","Extraordinary Effects")</f>
        <v>Extraordinary Effects</v>
      </c>
      <c r="Q87" s="12"/>
      <c r="R87" s="12"/>
      <c r="S87" s="12"/>
      <c r="U87" s="12"/>
      <c r="V87" s="12"/>
      <c r="W87" s="12"/>
      <c r="Z87" s="11" t="str">
        <f>+IF($B$3="esp","Efectos Extraordinarios","Extraordinary Effects")</f>
        <v>Extraordinary Effects</v>
      </c>
      <c r="AB87" s="12"/>
      <c r="AC87" s="12"/>
      <c r="AD87" s="12"/>
      <c r="AF87" s="12"/>
      <c r="AG87" s="12"/>
      <c r="AH87" s="12"/>
      <c r="AK87" s="11" t="str">
        <f>+IF($B$3="esp","Efectos Extraordinarios","Extraordinary Effects")</f>
        <v>Extraordinary Effects</v>
      </c>
      <c r="AM87" s="12"/>
      <c r="AN87" s="12"/>
      <c r="AO87" s="12"/>
      <c r="AQ87" s="12"/>
      <c r="AR87" s="12"/>
      <c r="AS87" s="12"/>
    </row>
    <row r="88" spans="4:47" s="13" customFormat="1" ht="15" customHeight="1">
      <c r="D88" s="13" t="str">
        <f>+IF($B$3="esp","Efectos extraordinarios en Ingresos","One-offs in Operating Revenues")</f>
        <v>One-offs in Operating Revenues</v>
      </c>
      <c r="F88" s="14">
        <f>+[1]GRUPO!AC91</f>
        <v>-4.6335060000000006</v>
      </c>
      <c r="G88" s="15">
        <f>+[1]GRUPO!AD91</f>
        <v>-8.5949956022132383</v>
      </c>
      <c r="H88" s="16">
        <f>IF(G88=0,"---",IF(OR(ABS((F88-G88)/ABS(G88))&gt;2,(F88*G88)&lt;0),"---",IF(G88="0","---",((F88-G88)/ABS(G88))*100)))</f>
        <v>46.090653044582616</v>
      </c>
      <c r="J88" s="14">
        <f>+[1]GRUPO!AG91</f>
        <v>0</v>
      </c>
      <c r="K88" s="15">
        <f>+[1]GRUPO!AH91</f>
        <v>-8.5949956022132383</v>
      </c>
      <c r="L88" s="16">
        <f>IF(K88=0,"---",IF(OR(ABS((J88-K88)/ABS(K88))&gt;2,(J88*K88)&lt;0),"---",IF(K88="0","---",((J88-K88)/ABS(K88))*100)))</f>
        <v>100</v>
      </c>
      <c r="O88" s="13" t="str">
        <f>+IF($B$3="esp","Efectos extraordinarios en Ingresos","One-offs in Operating Revenues")</f>
        <v>One-offs in Operating Revenues</v>
      </c>
      <c r="Q88" s="14">
        <f>+[1]SANTILLANA!AC79</f>
        <v>0</v>
      </c>
      <c r="R88" s="15">
        <f>+[1]SANTILLANA!AD79</f>
        <v>-4.9269956022132382</v>
      </c>
      <c r="S88" s="16">
        <f>IF(R88=0,"---",IF(OR(ABS((Q88-R88)/ABS(R88))&gt;2,(Q88*R88)&lt;0),"---",IF(R88="0","---",((Q88-R88)/ABS(R88))*100)))</f>
        <v>100</v>
      </c>
      <c r="U88" s="14">
        <f>+[1]SANTILLANA!AG79</f>
        <v>0</v>
      </c>
      <c r="V88" s="15">
        <f>+[1]SANTILLANA!AH79</f>
        <v>-4.9269956022132382</v>
      </c>
      <c r="W88" s="16">
        <f>IF(V88=0,"---",IF(OR(ABS((U88-V88)/ABS(V88))&gt;2,(U88*V88)&lt;0),"---",IF(V88="0","---",((U88-V88)/ABS(V88))*100)))</f>
        <v>100</v>
      </c>
      <c r="Z88" s="13" t="str">
        <f>+IF($B$3="esp","Efectos extraordinarios en Ingresos","One-offs in Operating Revenues")</f>
        <v>One-offs in Operating Revenues</v>
      </c>
      <c r="AB88" s="14">
        <f>+[1]RADIO!AC86</f>
        <v>20.993566057973887</v>
      </c>
      <c r="AC88" s="15">
        <f>+[1]RADIO!AD86</f>
        <v>20.800806777983091</v>
      </c>
      <c r="AD88" s="16">
        <f>IF(AC88=0,"---",IF(OR(ABS((AB88-AC88)/ABS(AC88))&gt;2,(AB88*AC88)&lt;0),"---",IF(AC88="0","---",((AB88-AC88)/ABS(AC88))*100)))</f>
        <v>0.92669136369664451</v>
      </c>
      <c r="AF88" s="14">
        <f>+[1]RADIO!AG86</f>
        <v>6.1860756345947863</v>
      </c>
      <c r="AG88" s="15">
        <f>+[1]RADIO!AH86</f>
        <v>6.2825470886377754</v>
      </c>
      <c r="AH88" s="16">
        <f>IF(AG88=0,"---",IF(OR(ABS((AF88-AG88)/ABS(AG88))&gt;2,(AF88*AG88)&lt;0),"---",IF(AG88="0","---",((AF88-AG88)/ABS(AG88))*100)))</f>
        <v>-1.5355468519680731</v>
      </c>
      <c r="AK88" s="13" t="str">
        <f>+IF($B$3="esp","Efectos extraordinarios en Ingresos","One-offs in Operating Revenues")</f>
        <v>One-offs in Operating Revenues</v>
      </c>
      <c r="AM88" s="14">
        <f>+[1]NOTICIAS!AC38</f>
        <v>0</v>
      </c>
      <c r="AN88" s="15">
        <f>+[1]NOTICIAS!AD38</f>
        <v>0</v>
      </c>
      <c r="AO88" s="16" t="str">
        <f>IF(AN88=0,"---",IF(OR(ABS((AM88-AN88)/ABS(AN88))&gt;2,(AM88*AN88)&lt;0),"---",IF(AN88="0","---",((AM88-AN88)/ABS(AN88))*100)))</f>
        <v>---</v>
      </c>
      <c r="AQ88" s="14">
        <f>+[1]NOTICIAS!AG38</f>
        <v>0</v>
      </c>
      <c r="AR88" s="15">
        <f>+[1]NOTICIAS!AH38</f>
        <v>0</v>
      </c>
      <c r="AS88" s="16" t="str">
        <f>IF(AR88=0,"---",IF(OR(ABS((AQ88-AR88)/ABS(AR88))&gt;2,(AQ88*AR88)&lt;0),"---",IF(AR88="0","---",((AQ88-AR88)/ABS(AR88))*100)))</f>
        <v>---</v>
      </c>
    </row>
    <row r="89" spans="4:47" ht="15" customHeight="1">
      <c r="D89" s="17" t="str">
        <f>+IF($B$3="esp","Norma","Norma")</f>
        <v>Norma</v>
      </c>
      <c r="F89" s="18">
        <f>+[1]GRUPO!AC93</f>
        <v>0</v>
      </c>
      <c r="G89" s="19">
        <f>+[1]GRUPO!AD93</f>
        <v>-4.9269956022132382</v>
      </c>
      <c r="H89" s="20">
        <f t="shared" ref="H89:H91" si="26">IF(G89=0,"---",IF(OR(ABS((F89-G89)/ABS(G89))&gt;2,(F89*G89)&lt;0),"---",IF(G89="0","---",((F89-G89)/ABS(G89))*100)))</f>
        <v>100</v>
      </c>
      <c r="J89" s="18">
        <f>+[1]GRUPO!AG93</f>
        <v>0</v>
      </c>
      <c r="K89" s="19">
        <f>+[1]GRUPO!AH93</f>
        <v>-4.9269956022132382</v>
      </c>
      <c r="L89" s="20">
        <f t="shared" ref="L89:L91" si="27">IF(K89=0,"---",IF(OR(ABS((J89-K89)/ABS(K89))&gt;2,(J89*K89)&lt;0),"---",IF(K89="0","---",((J89-K89)/ABS(K89))*100)))</f>
        <v>100</v>
      </c>
      <c r="O89" s="17" t="str">
        <f>+IF($B$3="esp","Norma","Norma")</f>
        <v>Norma</v>
      </c>
      <c r="Q89" s="18">
        <f>+[1]SANTILLANA!AC80</f>
        <v>0</v>
      </c>
      <c r="R89" s="19">
        <f>+[1]SANTILLANA!AD80</f>
        <v>-4.9269956022132382</v>
      </c>
      <c r="S89" s="20">
        <f>IF(R89=0,"---",IF(OR(ABS((Q89-R89)/ABS(R89))&gt;2,(Q89*R89)&lt;0),"---",IF(R89="0","---",((Q89-R89)/ABS(R89))*100)))</f>
        <v>100</v>
      </c>
      <c r="U89" s="18">
        <f>+[1]SANTILLANA!AG80</f>
        <v>0</v>
      </c>
      <c r="V89" s="19">
        <f>+[1]SANTILLANA!AH80</f>
        <v>-4.9269956022132382</v>
      </c>
      <c r="W89" s="20">
        <f>IF(V89=0,"---",IF(OR(ABS((U89-V89)/ABS(V89))&gt;2,(U89*V89)&lt;0),"---",IF(V89="0","---",((U89-V89)/ABS(V89))*100)))</f>
        <v>100</v>
      </c>
      <c r="Z89" s="17" t="str">
        <f>+IF($B$3="esp","Ajuste perímetro consolidación MX&amp;CR","Consolidation perimeter adjustment MX&amp;CR")</f>
        <v>Consolidation perimeter adjustment MX&amp;CR</v>
      </c>
      <c r="AB89" s="18">
        <f>+[1]RADIO!AC87</f>
        <v>20.993566057973887</v>
      </c>
      <c r="AC89" s="19">
        <f>+[1]RADIO!AD87</f>
        <v>20.800806777983091</v>
      </c>
      <c r="AD89" s="20">
        <f>IF(AC89=0,"---",IF(OR(ABS((AB89-AC89)/ABS(AC89))&gt;2,(AB89*AC89)&lt;0),"---",IF(AC89="0","---",((AB89-AC89)/ABS(AC89))*100)))</f>
        <v>0.92669136369664451</v>
      </c>
      <c r="AF89" s="18">
        <f>+[1]RADIO!AG87</f>
        <v>6.1860756345947863</v>
      </c>
      <c r="AG89" s="19">
        <f>+[1]RADIO!AH87</f>
        <v>6.2825470886377754</v>
      </c>
      <c r="AH89" s="20">
        <f>IF(AG89=0,"---",IF(OR(ABS((AF89-AG89)/ABS(AG89))&gt;2,(AF89*AG89)&lt;0),"---",IF(AG89="0","---",((AF89-AG89)/ABS(AG89))*100)))</f>
        <v>-1.5355468519680731</v>
      </c>
      <c r="AK89" s="17"/>
      <c r="AM89" s="18"/>
      <c r="AN89" s="19"/>
      <c r="AO89" s="20"/>
      <c r="AQ89" s="18"/>
      <c r="AR89" s="19"/>
      <c r="AS89" s="20"/>
    </row>
    <row r="90" spans="4:47" ht="15" customHeight="1">
      <c r="D90" s="17" t="str">
        <f>+IF($B$3="esp","IVA AVS","VAT AVS")</f>
        <v>VAT AVS</v>
      </c>
      <c r="F90" s="18">
        <f>+[1]GRUPO!AC94</f>
        <v>0</v>
      </c>
      <c r="G90" s="19">
        <f>+[1]GRUPO!AD94</f>
        <v>-3.6680000000000001</v>
      </c>
      <c r="H90" s="20">
        <f t="shared" si="26"/>
        <v>100</v>
      </c>
      <c r="J90" s="18">
        <f>+[1]GRUPO!AG94</f>
        <v>0</v>
      </c>
      <c r="K90" s="19">
        <f>+[1]GRUPO!AH94</f>
        <v>-3.6680000000000001</v>
      </c>
      <c r="L90" s="20">
        <f t="shared" si="27"/>
        <v>100</v>
      </c>
      <c r="O90" s="17"/>
      <c r="Q90" s="18"/>
      <c r="R90" s="19"/>
      <c r="S90" s="20"/>
      <c r="U90" s="18"/>
      <c r="V90" s="19"/>
      <c r="W90" s="20"/>
      <c r="Z90" s="17"/>
      <c r="AB90" s="18"/>
      <c r="AC90" s="19"/>
      <c r="AD90" s="20"/>
      <c r="AF90" s="18"/>
      <c r="AG90" s="19"/>
      <c r="AH90" s="20"/>
      <c r="AK90" s="17"/>
      <c r="AM90" s="18"/>
      <c r="AN90" s="19"/>
      <c r="AO90" s="20"/>
      <c r="AQ90" s="18"/>
      <c r="AR90" s="19"/>
      <c r="AS90" s="20"/>
    </row>
    <row r="91" spans="4:47" ht="15" customHeight="1">
      <c r="D91" s="17" t="str">
        <f>+IF($B$3="esp","Actas Fiscales","Tax Effects")</f>
        <v>Tax Effects</v>
      </c>
      <c r="F91" s="18">
        <f>+[1]GRUPO!AC95</f>
        <v>-4.6335060000000006</v>
      </c>
      <c r="G91" s="19">
        <f>+[1]GRUPO!AD95</f>
        <v>0</v>
      </c>
      <c r="H91" s="20" t="str">
        <f t="shared" si="26"/>
        <v>---</v>
      </c>
      <c r="J91" s="18">
        <f>+[1]GRUPO!AG95</f>
        <v>0</v>
      </c>
      <c r="K91" s="19">
        <f>+[1]GRUPO!AH95</f>
        <v>0</v>
      </c>
      <c r="L91" s="20" t="str">
        <f t="shared" si="27"/>
        <v>---</v>
      </c>
      <c r="O91" s="17"/>
      <c r="Q91" s="18"/>
      <c r="R91" s="19"/>
      <c r="S91" s="20"/>
      <c r="U91" s="18"/>
      <c r="V91" s="19"/>
      <c r="W91" s="20"/>
      <c r="Z91" s="17"/>
      <c r="AB91" s="18"/>
      <c r="AC91" s="19"/>
      <c r="AD91" s="20"/>
      <c r="AF91" s="18"/>
      <c r="AG91" s="19"/>
      <c r="AH91" s="20"/>
      <c r="AK91" s="17"/>
      <c r="AM91" s="18"/>
      <c r="AN91" s="19"/>
      <c r="AO91" s="20"/>
      <c r="AQ91" s="18"/>
      <c r="AR91" s="19"/>
      <c r="AS91" s="20"/>
    </row>
    <row r="92" spans="4:47" ht="15" customHeight="1">
      <c r="O92" s="17"/>
      <c r="Q92" s="18"/>
      <c r="R92" s="19"/>
      <c r="S92" s="20"/>
      <c r="U92" s="18"/>
      <c r="V92" s="19"/>
      <c r="W92" s="20"/>
      <c r="Z92" s="17"/>
      <c r="AB92" s="18"/>
      <c r="AC92" s="19"/>
      <c r="AD92" s="20"/>
      <c r="AF92" s="18"/>
      <c r="AG92" s="19"/>
      <c r="AH92" s="20"/>
      <c r="AK92" s="17"/>
      <c r="AM92" s="18"/>
      <c r="AN92" s="19"/>
      <c r="AO92" s="20"/>
      <c r="AQ92" s="18"/>
      <c r="AR92" s="19"/>
      <c r="AS92" s="20"/>
    </row>
    <row r="93" spans="4:47" ht="15" customHeight="1">
      <c r="D93" s="17"/>
      <c r="F93" s="18"/>
      <c r="G93" s="19"/>
      <c r="H93" s="20"/>
      <c r="J93" s="18"/>
      <c r="K93" s="19"/>
      <c r="L93" s="20"/>
      <c r="O93" s="17"/>
      <c r="Q93" s="18"/>
      <c r="R93" s="19"/>
      <c r="S93" s="20"/>
      <c r="U93" s="18"/>
      <c r="V93" s="19"/>
      <c r="W93" s="20"/>
      <c r="Z93" s="17"/>
      <c r="AB93" s="18"/>
      <c r="AC93" s="19"/>
      <c r="AD93" s="20"/>
      <c r="AF93" s="18"/>
      <c r="AG93" s="19"/>
      <c r="AH93" s="20"/>
      <c r="AK93" s="17"/>
      <c r="AM93" s="18"/>
      <c r="AN93" s="19"/>
      <c r="AO93" s="20"/>
      <c r="AQ93" s="18"/>
      <c r="AR93" s="19"/>
      <c r="AS93" s="20"/>
    </row>
    <row r="94" spans="4:47" ht="15" customHeight="1">
      <c r="D94" s="13" t="str">
        <f>+IF($B$3="esp","Efectos extraordinarios en Gastos","One-offs in Operating Expenses")</f>
        <v>One-offs in Operating Expenses</v>
      </c>
      <c r="E94" s="13"/>
      <c r="F94" s="14">
        <f>+[1]GRUPO!AC98</f>
        <v>-27.915527760601041</v>
      </c>
      <c r="G94" s="15">
        <f>+[1]GRUPO!AD98</f>
        <v>-32.279741634347936</v>
      </c>
      <c r="H94" s="16">
        <f>IF(G94=0,"---",IF(OR(ABS((F94-G94)/ABS(G94))&gt;2,(F94*G94)&lt;0),"---",IF(G94="0","---",((F94-G94)/ABS(G94))*100)))</f>
        <v>13.51997770980627</v>
      </c>
      <c r="J94" s="14">
        <f>+[1]GRUPO!AG98</f>
        <v>-12.090451030532101</v>
      </c>
      <c r="K94" s="15">
        <f>+[1]GRUPO!AH98</f>
        <v>-22.695669077261243</v>
      </c>
      <c r="L94" s="16">
        <f>IF(K94=0,"---",IF(OR(ABS((J94-K94)/ABS(K94))&gt;2,(J94*K94)&lt;0),"---",IF(K94="0","---",((J94-K94)/ABS(K94))*100)))</f>
        <v>46.727937434347304</v>
      </c>
      <c r="O94" s="13" t="str">
        <f>+IF($B$3="esp","Efectos extraordinarios en Gastos","One-offs in Operating Expenses")</f>
        <v>One-offs in Operating Expenses</v>
      </c>
      <c r="P94" s="13"/>
      <c r="Q94" s="14">
        <f>+[1]SANTILLANA!AC85</f>
        <v>-7.7970185681752291</v>
      </c>
      <c r="R94" s="15">
        <f>+[1]SANTILLANA!AD85</f>
        <v>-14.257857915069604</v>
      </c>
      <c r="S94" s="16">
        <f>IF(R94=0,"---",IF(OR(ABS((Q94-R94)/ABS(R94))&gt;2,(Q94*R94)&lt;0),"---",IF(R94="0","---",((Q94-R94)/ABS(R94))*100)))</f>
        <v>45.314235738495462</v>
      </c>
      <c r="U94" s="14">
        <f>+[1]SANTILLANA!AG85</f>
        <v>-4.1003087196379893</v>
      </c>
      <c r="V94" s="15">
        <f>+[1]SANTILLANA!AH85</f>
        <v>-10.841768747331223</v>
      </c>
      <c r="W94" s="16">
        <f>IF(V94=0,"---",IF(OR(ABS((U94-V94)/ABS(V94))&gt;2,(U94*V94)&lt;0),"---",IF(V94="0","---",((U94-V94)/ABS(V94))*100)))</f>
        <v>62.180444766936127</v>
      </c>
      <c r="Z94" s="13" t="str">
        <f>+IF($B$3="esp","Efectos extraordinarios en Gastos","One-offs in Operating Expenses")</f>
        <v>One-offs in Operating Expenses</v>
      </c>
      <c r="AA94" s="13"/>
      <c r="AB94" s="14">
        <f>+[1]RADIO!AC92</f>
        <v>7.1759375176529625</v>
      </c>
      <c r="AC94" s="15">
        <f>+[1]RADIO!AD92</f>
        <v>7.2624382344401086</v>
      </c>
      <c r="AD94" s="16">
        <f>IF(AC94=0,"---",IF(OR(ABS((AB94-AC94)/ABS(AC94))&gt;2,(AB94*AC94)&lt;0),"---",IF(AC94="0","---",((AB94-AC94)/ABS(AC94))*100)))</f>
        <v>-1.1910699133651881</v>
      </c>
      <c r="AF94" s="14">
        <f>+[1]RADIO!AG92</f>
        <v>2.3646362660166975</v>
      </c>
      <c r="AG94" s="15">
        <f>+[1]RADIO!AH92</f>
        <v>2.1704384142328932</v>
      </c>
      <c r="AH94" s="16">
        <f>IF(AG94=0,"---",IF(OR(ABS((AF94-AG94)/ABS(AG94))&gt;2,(AF94*AG94)&lt;0),"---",IF(AG94="0","---",((AF94-AG94)/ABS(AG94))*100)))</f>
        <v>8.9474020783234458</v>
      </c>
      <c r="AK94" s="13" t="str">
        <f>+IF($B$3="esp","Efectos extraordinarios en Gastos","One-offs in Operating Expenses")</f>
        <v>One-offs in Operating Expenses</v>
      </c>
      <c r="AL94" s="13"/>
      <c r="AM94" s="14">
        <f>+[1]NOTICIAS!AC44</f>
        <v>-8.5169714500071496</v>
      </c>
      <c r="AN94" s="15">
        <f>+[1]NOTICIAS!AD44</f>
        <v>-1.57757833418251</v>
      </c>
      <c r="AO94" s="16" t="str">
        <f>IF(AN94=0,"---",IF(OR(ABS((AM94-AN94)/ABS(AN94))&gt;2,(AM94*AN94)&lt;0),"---",IF(AN94="0","---",((AM94-AN94)/ABS(AN94))*100)))</f>
        <v>---</v>
      </c>
      <c r="AQ94" s="14">
        <f>+[1]NOTICIAS!AG44</f>
        <v>-5.9494277212819897</v>
      </c>
      <c r="AR94" s="15">
        <f>+[1]NOTICIAS!AH44</f>
        <v>-1.1815282314904749</v>
      </c>
      <c r="AS94" s="16" t="str">
        <f>IF(AR94=0,"---",IF(OR(ABS((AQ94-AR94)/ABS(AR94))&gt;2,(AQ94*AR94)&lt;0),"---",IF(AR94="0","---",((AQ94-AR94)/ABS(AR94))*100)))</f>
        <v>---</v>
      </c>
    </row>
    <row r="95" spans="4:47" s="13" customFormat="1" ht="15" customHeight="1">
      <c r="D95" s="17" t="str">
        <f>+IF($B$3="esp","Indemnizaciones y otros no recurrentes","Redundancies and other non-recurrent")</f>
        <v>Redundancies and other non-recurrent</v>
      </c>
      <c r="E95" s="1"/>
      <c r="F95" s="18">
        <f>+[1]GRUPO!AC99</f>
        <v>-27.915527760601041</v>
      </c>
      <c r="G95" s="19">
        <f>+[1]GRUPO!AD99</f>
        <v>-15.8819974661769</v>
      </c>
      <c r="H95" s="20">
        <f>IF(G95=0,"---",IF(OR(ABS((F95-G95)/ABS(G95))&gt;2,(F95*G95)&lt;0),"---",IF(G95="0","---",((F95-G95)/ABS(G95))*100)))</f>
        <v>-75.76836805352319</v>
      </c>
      <c r="J95" s="18">
        <f>+[1]GRUPO!AG99</f>
        <v>-12.090451030532101</v>
      </c>
      <c r="K95" s="19">
        <f>+[1]GRUPO!AH99</f>
        <v>-6.2979249090902094</v>
      </c>
      <c r="L95" s="20">
        <f>IF(K95=0,"---",IF(OR(ABS((J95-K95)/ABS(K95))&gt;2,(J95*K95)&lt;0),"---",IF(K95="0","---",((J95-K95)/ABS(K95))*100)))</f>
        <v>-91.97515380155069</v>
      </c>
      <c r="O95" s="17" t="str">
        <f>+IF($B$3="esp","Indemnizaciones","Redundancies")</f>
        <v>Redundancies</v>
      </c>
      <c r="P95" s="1"/>
      <c r="Q95" s="18">
        <f>+[1]SANTILLANA!AC86</f>
        <v>-5.7862585681752297</v>
      </c>
      <c r="R95" s="19">
        <f>+[1]SANTILLANA!AD86</f>
        <v>-6.0911137468985697</v>
      </c>
      <c r="S95" s="20">
        <f>IF(R95=0,"---",IF(OR(ABS((Q95-R95)/ABS(R95))&gt;2,(Q95*R95)&lt;0),"---",IF(R95="0","---",((Q95-R95)/ABS(R95))*100)))</f>
        <v>5.004916857423062</v>
      </c>
      <c r="U95" s="18">
        <f>+[1]SANTILLANA!AG86</f>
        <v>-2.0895487196379898</v>
      </c>
      <c r="V95" s="19">
        <f>+[1]SANTILLANA!AH86</f>
        <v>-2.6750245791601897</v>
      </c>
      <c r="W95" s="20">
        <f>IF(V95=0,"---",IF(OR(ABS((U95-V95)/ABS(V95))&gt;2,(U95*V95)&lt;0),"---",IF(V95="0","---",((U95-V95)/ABS(V95))*100)))</f>
        <v>21.886746913780023</v>
      </c>
      <c r="Z95" s="17" t="str">
        <f>+IF($B$3="esp","Indemnizaciones","Redundancies")</f>
        <v>Redundancies</v>
      </c>
      <c r="AA95" s="1"/>
      <c r="AB95" s="18">
        <f>+[1]RADIO!AC93</f>
        <v>-5.2037158875555898</v>
      </c>
      <c r="AC95" s="19">
        <f>+[1]RADIO!AD93</f>
        <v>-5.4072744351599402</v>
      </c>
      <c r="AD95" s="20">
        <f>IF(AC95=0,"---",IF(OR(ABS((AB95-AC95)/ABS(AC95))&gt;2,(AB95*AC95)&lt;0),"---",IF(AC95="0","---",((AB95-AC95)/ABS(AC95))*100)))</f>
        <v>3.7645314667356891</v>
      </c>
      <c r="AF95" s="18">
        <f>+[1]RADIO!AG93</f>
        <v>-0.85395989477660983</v>
      </c>
      <c r="AG95" s="19">
        <f>+[1]RADIO!AH93</f>
        <v>-1.3024897150690604</v>
      </c>
      <c r="AH95" s="20">
        <f>IF(AG95=0,"---",IF(OR(ABS((AF95-AG95)/ABS(AG95))&gt;2,(AF95*AG95)&lt;0),"---",IF(AG95="0","---",((AF95-AG95)/ABS(AG95))*100)))</f>
        <v>34.436342575547222</v>
      </c>
      <c r="AK95" s="17" t="str">
        <f>+IF($B$3="esp","Indemnizaciones y otros no recurrentes","Redundancies and other non-recurrent")</f>
        <v>Redundancies and other non-recurrent</v>
      </c>
      <c r="AL95" s="1"/>
      <c r="AM95" s="18">
        <f>+[1]NOTICIAS!AC45</f>
        <v>-8.5169714500071496</v>
      </c>
      <c r="AN95" s="19">
        <f>+[1]NOTICIAS!AD45</f>
        <v>-1.57757833418251</v>
      </c>
      <c r="AO95" s="20" t="str">
        <f>IF(AN95=0,"---",IF(OR(ABS((AM95-AN95)/ABS(AN95))&gt;2,(AM95*AN95)&lt;0),"---",IF(AN95="0","---",((AM95-AN95)/ABS(AN95))*100)))</f>
        <v>---</v>
      </c>
      <c r="AQ95" s="18">
        <f>+[1]NOTICIAS!AG45</f>
        <v>-5.9494277212819897</v>
      </c>
      <c r="AR95" s="19">
        <f>+[1]NOTICIAS!AH45</f>
        <v>-1.1815282314904749</v>
      </c>
      <c r="AS95" s="20" t="str">
        <f>IF(AR95=0,"---",IF(OR(ABS((AQ95-AR95)/ABS(AR95))&gt;2,(AQ95*AR95)&lt;0),"---",IF(AR95="0","---",((AQ95-AR95)/ABS(AR95))*100)))</f>
        <v>---</v>
      </c>
    </row>
    <row r="96" spans="4:47" ht="15" customHeight="1">
      <c r="D96" s="17" t="str">
        <f>+IF($B$3="esp","Norma","Norma")</f>
        <v>Norma</v>
      </c>
      <c r="F96" s="18">
        <f>+[1]GRUPO!AC101</f>
        <v>0</v>
      </c>
      <c r="G96" s="19">
        <f>+[1]GRUPO!AD101</f>
        <v>-8.1667441681710358</v>
      </c>
      <c r="H96" s="20">
        <f>IF(G96=0,"---",IF(OR(ABS((F96-G96)/ABS(G96))&gt;2,(F96*G96)&lt;0),"---",IF(G96="0","---",((F96-G96)/ABS(G96))*100)))</f>
        <v>100</v>
      </c>
      <c r="J96" s="18">
        <f>+[1]GRUPO!AG101</f>
        <v>0</v>
      </c>
      <c r="K96" s="19">
        <f>+[1]GRUPO!AH101</f>
        <v>-8.1667441681710358</v>
      </c>
      <c r="L96" s="20">
        <f>IF(K96=0,"---",IF(OR(ABS((J96-K96)/ABS(K96))&gt;2,(J96*K96)&lt;0),"---",IF(K96="0","---",((J96-K96)/ABS(K96))*100)))</f>
        <v>100</v>
      </c>
      <c r="O96" s="17" t="str">
        <f>+IF($B$3="esp","Norma","Norma")</f>
        <v>Norma</v>
      </c>
      <c r="Q96" s="18">
        <f>+[1]SANTILLANA!AC87</f>
        <v>0</v>
      </c>
      <c r="R96" s="19">
        <f>+[1]SANTILLANA!AD87</f>
        <v>-7.4167441681710349</v>
      </c>
      <c r="S96" s="20">
        <f t="shared" ref="S96:S98" si="28">IF(R96=0,"---",IF(OR(ABS((Q96-R96)/ABS(R96))&gt;2,(Q96*R96)&lt;0),"---",IF(R96="0","---",((Q96-R96)/ABS(R96))*100)))</f>
        <v>100</v>
      </c>
      <c r="T96" s="13"/>
      <c r="U96" s="18">
        <f>+[1]SANTILLANA!AG87</f>
        <v>0</v>
      </c>
      <c r="V96" s="19">
        <f>+[1]SANTILLANA!AH87</f>
        <v>-7.4167441681710349</v>
      </c>
      <c r="W96" s="20">
        <f t="shared" ref="W96:W98" si="29">IF(V96=0,"---",IF(OR(ABS((U96-V96)/ABS(V96))&gt;2,(U96*V96)&lt;0),"---",IF(V96="0","---",((U96-V96)/ABS(V96))*100)))</f>
        <v>100</v>
      </c>
      <c r="Z96" s="17" t="str">
        <f>+IF($B$3="esp","Ajuste perímetro consolidación MX&amp;CR","Consolidation perimeter adjustment MX&amp;CR")</f>
        <v>Consolidation perimeter adjustment MX&amp;CR</v>
      </c>
      <c r="AB96" s="18">
        <f>+[1]RADIO!AC94</f>
        <v>12.379653405208552</v>
      </c>
      <c r="AC96" s="19">
        <f>+[1]RADIO!AD94</f>
        <v>12.669712669600049</v>
      </c>
      <c r="AD96" s="20">
        <f>IF(AC96=0,"---",IF(OR(ABS((AB96-AC96)/ABS(AC96))&gt;2,(AB96*AC96)&lt;0),"---",IF(AC96="0","---",((AB96-AC96)/ABS(AC96))*100)))</f>
        <v>-2.2893910221616176</v>
      </c>
      <c r="AF96" s="18">
        <f>+[1]RADIO!AG94</f>
        <v>3.2185961607933073</v>
      </c>
      <c r="AG96" s="19">
        <f>+[1]RADIO!AH94</f>
        <v>3.4729281293019536</v>
      </c>
      <c r="AH96" s="20">
        <f>IF(AG96=0,"---",IF(OR(ABS((AF96-AG96)/ABS(AG96))&gt;2,(AF96*AG96)&lt;0),"---",IF(AG96="0","---",((AF96-AG96)/ABS(AG96))*100)))</f>
        <v>-7.3232718628060436</v>
      </c>
      <c r="AK96" s="17"/>
      <c r="AM96" s="18"/>
      <c r="AN96" s="19"/>
      <c r="AO96" s="20"/>
      <c r="AQ96" s="18"/>
      <c r="AR96" s="19"/>
      <c r="AS96" s="20"/>
    </row>
    <row r="97" spans="1:47" ht="15" customHeight="1">
      <c r="D97" s="17" t="str">
        <f>+IF($B$3="esp","Impactos Fiscales","Fiscal impacts")</f>
        <v>Fiscal impacts</v>
      </c>
      <c r="F97" s="18">
        <f>+[1]GRUPO!AC102</f>
        <v>0</v>
      </c>
      <c r="G97" s="19">
        <f>+[1]GRUPO!AD102</f>
        <v>-8.2309999999999999</v>
      </c>
      <c r="H97" s="20">
        <f>IF(G97=0,"---",IF(OR(ABS((F97-G97)/ABS(G97))&gt;2,(F97*G97)&lt;0),"---",IF(G97="0","---",((F97-G97)/ABS(G97))*100)))</f>
        <v>100</v>
      </c>
      <c r="J97" s="18">
        <f>+[1]GRUPO!AG102</f>
        <v>0</v>
      </c>
      <c r="K97" s="19">
        <f>+[1]GRUPO!AH102</f>
        <v>-8.2309999999999999</v>
      </c>
      <c r="L97" s="20">
        <f>IF(K97=0,"---",IF(OR(ABS((J97-K97)/ABS(K97))&gt;2,(J97*K97)&lt;0),"---",IF(K97="0","---",((J97-K97)/ABS(K97))*100)))</f>
        <v>100</v>
      </c>
      <c r="O97" s="17" t="str">
        <f>+IF($B$3="esp","Gastos operación Norma","Norma operation expenses")</f>
        <v>Norma operation expenses</v>
      </c>
      <c r="Q97" s="18">
        <f>+[1]SANTILLANA!AC88</f>
        <v>0</v>
      </c>
      <c r="R97" s="19">
        <f>+[1]SANTILLANA!AD88</f>
        <v>-0.75</v>
      </c>
      <c r="S97" s="20">
        <f t="shared" si="28"/>
        <v>100</v>
      </c>
      <c r="T97" s="13"/>
      <c r="U97" s="18">
        <f>+[1]SANTILLANA!AG88</f>
        <v>0</v>
      </c>
      <c r="V97" s="19">
        <f>+[1]SANTILLANA!AH88</f>
        <v>-0.75</v>
      </c>
      <c r="W97" s="20">
        <f t="shared" si="29"/>
        <v>100</v>
      </c>
      <c r="Z97" s="17"/>
      <c r="AB97" s="18"/>
      <c r="AC97" s="19"/>
      <c r="AD97" s="20"/>
      <c r="AF97" s="18"/>
      <c r="AG97" s="19"/>
      <c r="AH97" s="20"/>
      <c r="AK97" s="17"/>
      <c r="AM97" s="18"/>
      <c r="AN97" s="19"/>
      <c r="AO97" s="20"/>
      <c r="AQ97" s="18"/>
      <c r="AR97" s="19"/>
      <c r="AS97" s="20"/>
    </row>
    <row r="98" spans="1:47" ht="15" customHeight="1">
      <c r="O98" s="17" t="str">
        <f>+IF($B$3="esp","Otros","Other")</f>
        <v>Other</v>
      </c>
      <c r="Q98" s="18">
        <f>+[1]SANTILLANA!AC89</f>
        <v>-2.0107599999999999</v>
      </c>
      <c r="R98" s="19">
        <f>+[1]SANTILLANA!AD89</f>
        <v>0</v>
      </c>
      <c r="S98" s="20" t="str">
        <f t="shared" si="28"/>
        <v>---</v>
      </c>
      <c r="T98" s="13"/>
      <c r="U98" s="18">
        <f>+[1]SANTILLANA!AG89</f>
        <v>-2.0107599999999999</v>
      </c>
      <c r="V98" s="19">
        <f>+[1]SANTILLANA!AH89</f>
        <v>0</v>
      </c>
      <c r="W98" s="20" t="str">
        <f t="shared" si="29"/>
        <v>---</v>
      </c>
      <c r="Z98" s="17"/>
      <c r="AB98" s="18"/>
      <c r="AC98" s="19"/>
      <c r="AD98" s="20"/>
      <c r="AF98" s="18"/>
      <c r="AG98" s="19"/>
      <c r="AH98" s="20"/>
      <c r="AK98" s="17"/>
      <c r="AM98" s="18"/>
      <c r="AN98" s="19"/>
      <c r="AO98" s="20"/>
      <c r="AQ98" s="18"/>
      <c r="AR98" s="19"/>
      <c r="AS98" s="20"/>
    </row>
    <row r="99" spans="1:47" ht="15" customHeight="1">
      <c r="A99" s="44"/>
      <c r="D99" s="17"/>
      <c r="F99" s="18"/>
      <c r="G99" s="19"/>
      <c r="H99" s="20"/>
      <c r="J99" s="18"/>
      <c r="K99" s="19"/>
      <c r="L99" s="20"/>
      <c r="O99" s="17"/>
      <c r="Q99" s="18"/>
      <c r="R99" s="19"/>
      <c r="S99" s="20"/>
      <c r="U99" s="18"/>
      <c r="V99" s="19"/>
      <c r="W99" s="20"/>
      <c r="Z99" s="17"/>
      <c r="AB99" s="18"/>
      <c r="AC99" s="19"/>
      <c r="AD99" s="20"/>
      <c r="AF99" s="18"/>
      <c r="AG99" s="19"/>
      <c r="AH99" s="20"/>
      <c r="AK99" s="17"/>
      <c r="AM99" s="18"/>
      <c r="AN99" s="19"/>
      <c r="AO99" s="20"/>
      <c r="AQ99" s="18"/>
      <c r="AR99" s="19"/>
      <c r="AS99" s="20"/>
    </row>
    <row r="100" spans="1:47" ht="15" customHeight="1">
      <c r="D100" s="13" t="str">
        <f>+IF($B$3="esp","Efectos extraordinarios en Amort.y Provisiones","One-offs in Amortization&amp;Provisions")</f>
        <v>One-offs in Amortization&amp;Provisions</v>
      </c>
      <c r="E100" s="13"/>
      <c r="F100" s="14">
        <f>+[1]GRUPO!AC105</f>
        <v>-11.854030000000002</v>
      </c>
      <c r="G100" s="15">
        <f>+[1]GRUPO!AD105</f>
        <v>-9.6703654170408928</v>
      </c>
      <c r="H100" s="16">
        <f>IF(G100=0,"---",IF(OR(ABS((F100-G100)/ABS(G100))&gt;2,(F100*G100)&lt;0),"---",IF(G100="0","---",((F100-G100)/ABS(G100))*100)))</f>
        <v>-22.580993465987394</v>
      </c>
      <c r="J100" s="14">
        <f>+[1]GRUPO!AG105</f>
        <v>-10.637370477304602</v>
      </c>
      <c r="K100" s="15">
        <f>+[1]GRUPO!AH105</f>
        <v>-10.067104417040893</v>
      </c>
      <c r="L100" s="16">
        <f>IF(K100=0,"---",IF(OR(ABS((J100-K100)/ABS(K100))&gt;2,(J100*K100)&lt;0),"---",IF(K100="0","---",((J100-K100)/ABS(K100))*100)))</f>
        <v>-5.6646483103761414</v>
      </c>
      <c r="O100" s="13" t="str">
        <f>+IF($B$3="esp","Efectos extraordinarios en Amort.y Provisiones","One-offs in Amortization&amp;Provisions")</f>
        <v>One-offs in Amortization&amp;Provisions</v>
      </c>
      <c r="P100" s="13"/>
      <c r="Q100" s="14">
        <f>+[1]SANTILLANA!AC91</f>
        <v>0</v>
      </c>
      <c r="R100" s="15">
        <f>+[1]SANTILLANA!AD91</f>
        <v>-0.87236541704089354</v>
      </c>
      <c r="S100" s="16">
        <f>IF(R100=0,"---",IF(OR(ABS((Q100-R100)/ABS(R100))&gt;2,(Q100*R100)&lt;0),"---",IF(R100="0","---",((Q100-R100)/ABS(R100))*100)))</f>
        <v>100</v>
      </c>
      <c r="U100" s="14">
        <f>+[1]SANTILLANA!AG91</f>
        <v>0</v>
      </c>
      <c r="V100" s="15">
        <f>+[1]SANTILLANA!AH91</f>
        <v>-0.87236541704089354</v>
      </c>
      <c r="W100" s="16">
        <f>IF(V100=0,"---",IF(OR(ABS((U100-V100)/ABS(V100))&gt;2,(U100*V100)&lt;0),"---",IF(V100="0","---",((U100-V100)/ABS(V100))*100)))</f>
        <v>100</v>
      </c>
      <c r="Z100" s="13" t="str">
        <f>+IF($B$3="esp","Efectos extraordinarios en Amort.y Provisiones","One-offs in Amortization&amp;Provisions")</f>
        <v>One-offs in Amortization&amp;Provisions</v>
      </c>
      <c r="AA100" s="13"/>
      <c r="AB100" s="14">
        <f>+[1]RADIO!AC98</f>
        <v>-1.7273043779885833</v>
      </c>
      <c r="AC100" s="15">
        <f>+[1]RADIO!AD98</f>
        <v>0.74668012247067761</v>
      </c>
      <c r="AD100" s="16" t="str">
        <f>IF(AC100=0,"---",IF(OR(ABS((AB100-AC100)/ABS(AC100))&gt;2,(AB100*AC100)&lt;0),"---",IF(AC100="0","---",((AB100-AC100)/ABS(AC100))*100)))</f>
        <v>---</v>
      </c>
      <c r="AF100" s="14">
        <f>+[1]RADIO!AG98</f>
        <v>-1.2089016528795018</v>
      </c>
      <c r="AG100" s="15">
        <f>+[1]RADIO!AH98</f>
        <v>8.5136027789315172E-2</v>
      </c>
      <c r="AH100" s="16" t="str">
        <f>IF(AG100=0,"---",IF(OR(ABS((AF100-AG100)/ABS(AG100))&gt;2,(AF100*AG100)&lt;0),"---",IF(AG100="0","---",((AF100-AG100)/ABS(AG100))*100)))</f>
        <v>---</v>
      </c>
      <c r="AK100" s="13" t="str">
        <f>+IF($B$3="esp","Efectos extraordinarios en Amort.y Provisiones","One-offs in Amortization&amp;Provisions")</f>
        <v>One-offs in Amortization&amp;Provisions</v>
      </c>
      <c r="AL100" s="13"/>
      <c r="AM100" s="14">
        <f>+[1]NOTICIAS!AC50</f>
        <v>-8.7036700000000007</v>
      </c>
      <c r="AN100" s="15">
        <f>+[1]NOTICIAS!AD50</f>
        <v>0</v>
      </c>
      <c r="AO100" s="16" t="str">
        <f>IF(AN100=0,"---",IF(OR(ABS((AM100-AN100)/ABS(AN100))&gt;2,(AM100*AN100)&lt;0),"---",IF(AN100="0","---",((AM100-AN100)/ABS(AN100))*100)))</f>
        <v>---</v>
      </c>
      <c r="AQ100" s="14">
        <f>+[1]NOTICIAS!AG50</f>
        <v>-8.7036700000000007</v>
      </c>
      <c r="AR100" s="15">
        <f>+[1]NOTICIAS!AH50</f>
        <v>0</v>
      </c>
      <c r="AS100" s="16" t="str">
        <f>IF(AR100=0,"---",IF(OR(ABS((AQ100-AR100)/ABS(AR100))&gt;2,(AQ100*AR100)&lt;0),"---",IF(AR100="0","---",((AQ100-AR100)/ABS(AR100))*100)))</f>
        <v>---</v>
      </c>
    </row>
    <row r="101" spans="1:47" ht="15" customHeight="1">
      <c r="D101" s="17" t="str">
        <f>+IF($B$3="esp","Otros deterioros","Other impairments")</f>
        <v>Other impairments</v>
      </c>
      <c r="F101" s="18">
        <f>+[1]GRUPO!AC107</f>
        <v>-11.854030000000002</v>
      </c>
      <c r="G101" s="19">
        <f>+[1]GRUPO!AD107</f>
        <v>-8.798</v>
      </c>
      <c r="H101" s="20">
        <f>IF(G101=0,"---",IF(OR(ABS((F101-G101)/ABS(G101))&gt;2,(F101*G101)&lt;0),"---",IF(G101="0","---",((F101-G101)/ABS(G101))*100)))</f>
        <v>-34.735508070015932</v>
      </c>
      <c r="I101" s="13"/>
      <c r="J101" s="18">
        <f>+[1]GRUPO!AG107</f>
        <v>-10.637370477304602</v>
      </c>
      <c r="K101" s="19">
        <f>+[1]GRUPO!AH107</f>
        <v>-9.1947390000000002</v>
      </c>
      <c r="L101" s="20">
        <f>IF(K101=0,"---",IF(OR(ABS((J101-K101)/ABS(K101))&gt;2,(J101*K101)&lt;0),"---",IF(K101="0","---",((J101-K101)/ABS(K101))*100)))</f>
        <v>-15.689749076124961</v>
      </c>
      <c r="O101" s="17" t="str">
        <f>+IF($B$3="esp","Norma","Norma")</f>
        <v>Norma</v>
      </c>
      <c r="Q101" s="18">
        <f>+[1]SANTILLANA!AC92</f>
        <v>0</v>
      </c>
      <c r="R101" s="19">
        <f>+[1]SANTILLANA!AD92</f>
        <v>-0.87236541704089354</v>
      </c>
      <c r="S101" s="20">
        <f t="shared" ref="S101:S102" si="30">IF(R101=0,"---",IF(OR(ABS((Q101-R101)/ABS(R101))&gt;2,(Q101*R101)&lt;0),"---",IF(R101="0","---",((Q101-R101)/ABS(R101))*100)))</f>
        <v>100</v>
      </c>
      <c r="U101" s="18">
        <f>+[1]SANTILLANA!AG92</f>
        <v>0</v>
      </c>
      <c r="V101" s="19">
        <f>+[1]SANTILLANA!AH92</f>
        <v>-0.87236541704089354</v>
      </c>
      <c r="W101" s="20">
        <f t="shared" ref="W101:W102" si="31">IF(V101=0,"---",IF(OR(ABS((U101-V101)/ABS(V101))&gt;2,(U101*V101)&lt;0),"---",IF(V101="0","---",((U101-V101)/ABS(V101))*100)))</f>
        <v>100</v>
      </c>
      <c r="Z101" s="17" t="str">
        <f>+IF($B$3="esp","Ajuste perímetro consolidación MX&amp;CR","Consolidation perimeter adjustment MX&amp;CR")</f>
        <v>Consolidation perimeter adjustment MX&amp;CR</v>
      </c>
      <c r="AB101" s="18">
        <f>+[1]RADIO!AC99</f>
        <v>0.80505562201141689</v>
      </c>
      <c r="AC101" s="19">
        <f>+[1]RADIO!AD99</f>
        <v>0.74668012247067761</v>
      </c>
      <c r="AD101" s="20">
        <f>IF(AC101=0,"---",IF(OR(ABS((AB101-AC101)/ABS(AC101))&gt;2,(AB101*AC101)&lt;0),"---",IF(AC101="0","---",((AB101-AC101)/ABS(AC101))*100)))</f>
        <v>7.8180063703291776</v>
      </c>
      <c r="AF101" s="18">
        <f>+[1]RADIO!AG99</f>
        <v>0.10679882310817845</v>
      </c>
      <c r="AG101" s="19">
        <f>+[1]RADIO!AH99</f>
        <v>8.5136027789315172E-2</v>
      </c>
      <c r="AH101" s="20">
        <f>IF(AG101=0,"---",IF(OR(ABS((AF101-AG101)/ABS(AG101))&gt;2,(AF101*AG101)&lt;0),"---",IF(AG101="0","---",((AF101-AG101)/ABS(AG101))*100)))</f>
        <v>25.444921358642514</v>
      </c>
      <c r="AK101" s="17" t="str">
        <f>+IF($B$3="esp","Deterioros y Pérdidas de inmovilizado","Impairment &amp; Losses from fixed assets")</f>
        <v>Impairment &amp; Losses from fixed assets</v>
      </c>
      <c r="AM101" s="18">
        <f>+[1]NOTICIAS!AC51</f>
        <v>-8.7036700000000007</v>
      </c>
      <c r="AN101" s="19">
        <f>+[1]NOTICIAS!AD51</f>
        <v>0</v>
      </c>
      <c r="AO101" s="20" t="str">
        <f>IF(AN101=0,"---",IF(OR(ABS((AM101-AN101)/ABS(AN101))&gt;2,(AM101*AN101)&lt;0),"---",IF(AN101="0","---",((AM101-AN101)/ABS(AN101))*100)))</f>
        <v>---</v>
      </c>
      <c r="AQ101" s="18">
        <f>+[1]NOTICIAS!AG51</f>
        <v>-8.7036700000000007</v>
      </c>
      <c r="AR101" s="19">
        <f>+[1]NOTICIAS!AH51</f>
        <v>0</v>
      </c>
      <c r="AS101" s="20" t="str">
        <f>IF(AR101=0,"---",IF(OR(ABS((AQ101-AR101)/ABS(AR101))&gt;2,(AQ101*AR101)&lt;0),"---",IF(AR101="0","---",((AQ101-AR101)/ABS(AR101))*100)))</f>
        <v>---</v>
      </c>
    </row>
    <row r="102" spans="1:47" s="13" customFormat="1" ht="15" customHeight="1">
      <c r="D102" s="17" t="str">
        <f>+IF($B$3="esp","Norma","Norma")</f>
        <v>Norma</v>
      </c>
      <c r="E102" s="1"/>
      <c r="F102" s="18">
        <f>+[1]GRUPO!AC108</f>
        <v>0</v>
      </c>
      <c r="G102" s="19">
        <f>+[1]GRUPO!AD108</f>
        <v>-0.87236541704089354</v>
      </c>
      <c r="H102" s="20">
        <f>IF(G102=0,"---",IF(OR(ABS((F102-G102)/ABS(G102))&gt;2,(F102*G102)&lt;0),"---",IF(G102="0","---",((F102-G102)/ABS(G102))*100)))</f>
        <v>100</v>
      </c>
      <c r="I102" s="1"/>
      <c r="J102" s="18">
        <f>+[1]GRUPO!AG108</f>
        <v>0</v>
      </c>
      <c r="K102" s="19">
        <f>+[1]GRUPO!AH108</f>
        <v>-0.87236541704089354</v>
      </c>
      <c r="L102" s="20">
        <f>IF(K102=0,"---",IF(OR(ABS((J102-K102)/ABS(K102))&gt;2,(J102*K102)&lt;0),"---",IF(K102="0","---",((J102-K102)/ABS(K102))*100)))</f>
        <v>100</v>
      </c>
      <c r="O102" s="17" t="str">
        <f>+IF($B$3="esp","Otros","Other")</f>
        <v>Other</v>
      </c>
      <c r="P102" s="1"/>
      <c r="Q102" s="18">
        <f>+[1]SANTILLANA!AC93</f>
        <v>0</v>
      </c>
      <c r="R102" s="19">
        <f>+[1]SANTILLANA!AD93</f>
        <v>0</v>
      </c>
      <c r="S102" s="20" t="str">
        <f t="shared" si="30"/>
        <v>---</v>
      </c>
      <c r="U102" s="18">
        <f>+[1]SANTILLANA!AG93</f>
        <v>0</v>
      </c>
      <c r="V102" s="19">
        <f>+[1]SANTILLANA!AH93</f>
        <v>0</v>
      </c>
      <c r="W102" s="20" t="str">
        <f t="shared" si="31"/>
        <v>---</v>
      </c>
      <c r="Z102" s="17" t="str">
        <f>+IF($B$3="esp","Deterioros y Pérdidas de inmovilizado","Impairment &amp; Losses from fixed assets")</f>
        <v>Impairment &amp; Losses from fixed assets</v>
      </c>
      <c r="AA102" s="1"/>
      <c r="AB102" s="18">
        <f>+[1]RADIO!AC100</f>
        <v>-2.5323600000000002</v>
      </c>
      <c r="AC102" s="19">
        <f>+[1]RADIO!AD100</f>
        <v>0</v>
      </c>
      <c r="AD102" s="20" t="str">
        <f>IF(AC102=0,"---",IF(OR(ABS((AB102-AC102)/ABS(AC102))&gt;2,(AB102*AC102)&lt;0),"---",IF(AC102="0","---",((AB102-AC102)/ABS(AC102))*100)))</f>
        <v>---</v>
      </c>
      <c r="AF102" s="18">
        <f>+[1]RADIO!AG100</f>
        <v>-1.3157004759876803</v>
      </c>
      <c r="AG102" s="19">
        <f>+[1]RADIO!AH100</f>
        <v>0</v>
      </c>
      <c r="AH102" s="20" t="str">
        <f>IF(AG102=0,"---",IF(OR(ABS((AF102-AG102)/ABS(AG102))&gt;2,(AF102*AG102)&lt;0),"---",IF(AG102="0","---",((AF102-AG102)/ABS(AG102))*100)))</f>
        <v>---</v>
      </c>
      <c r="AK102" s="17"/>
      <c r="AL102" s="1"/>
      <c r="AM102" s="18"/>
      <c r="AN102" s="19"/>
      <c r="AO102" s="20"/>
      <c r="AQ102" s="18"/>
      <c r="AR102" s="19"/>
      <c r="AS102" s="20"/>
    </row>
    <row r="103" spans="1:47" ht="15" customHeight="1">
      <c r="O103" s="17"/>
      <c r="Q103" s="18"/>
      <c r="R103" s="19"/>
      <c r="S103" s="20"/>
      <c r="U103" s="18"/>
      <c r="V103" s="19"/>
      <c r="W103" s="20"/>
      <c r="Z103" s="17"/>
      <c r="AB103" s="18"/>
      <c r="AC103" s="19"/>
      <c r="AD103" s="20"/>
      <c r="AF103" s="18"/>
      <c r="AG103" s="19"/>
      <c r="AH103" s="20"/>
      <c r="AK103" s="17"/>
      <c r="AM103" s="18"/>
      <c r="AN103" s="19"/>
      <c r="AO103" s="20"/>
      <c r="AQ103" s="18"/>
      <c r="AR103" s="19"/>
      <c r="AS103" s="20"/>
    </row>
    <row r="104" spans="1:47" ht="15" customHeight="1">
      <c r="A104" s="44"/>
      <c r="D104" s="17"/>
      <c r="F104" s="19"/>
      <c r="G104" s="19"/>
      <c r="H104" s="20"/>
      <c r="J104" s="19"/>
      <c r="K104" s="19"/>
      <c r="L104" s="20"/>
      <c r="O104" s="17"/>
      <c r="Q104" s="18"/>
      <c r="R104" s="19"/>
      <c r="S104" s="20"/>
      <c r="U104" s="18"/>
      <c r="V104" s="19"/>
      <c r="W104" s="20"/>
      <c r="Z104" s="17"/>
      <c r="AB104" s="18"/>
      <c r="AC104" s="19"/>
      <c r="AD104" s="20"/>
      <c r="AF104" s="18"/>
      <c r="AG104" s="19"/>
      <c r="AH104" s="20"/>
      <c r="AK104" s="17"/>
      <c r="AM104" s="18"/>
      <c r="AN104" s="19"/>
      <c r="AO104" s="20"/>
      <c r="AQ104" s="18"/>
      <c r="AR104" s="19"/>
      <c r="AS104" s="20"/>
    </row>
    <row r="105" spans="1:47" ht="15" customHeight="1">
      <c r="O105" s="17"/>
      <c r="Q105" s="18"/>
      <c r="R105" s="19"/>
      <c r="S105" s="20"/>
      <c r="U105" s="18"/>
      <c r="V105" s="19"/>
      <c r="W105" s="20"/>
      <c r="Z105" s="17"/>
      <c r="AB105" s="18"/>
      <c r="AC105" s="19"/>
      <c r="AD105" s="20"/>
      <c r="AF105" s="18"/>
      <c r="AG105" s="19"/>
      <c r="AH105" s="20"/>
      <c r="AK105" s="17"/>
      <c r="AM105" s="18"/>
      <c r="AN105" s="19"/>
      <c r="AO105" s="20"/>
      <c r="AQ105" s="18"/>
      <c r="AR105" s="19"/>
      <c r="AS105" s="20"/>
    </row>
    <row r="106" spans="1:47" ht="15" customHeight="1">
      <c r="D106" s="17"/>
      <c r="F106" s="19"/>
      <c r="G106" s="19"/>
      <c r="H106" s="20"/>
      <c r="J106" s="19"/>
      <c r="K106" s="19"/>
      <c r="L106" s="20"/>
    </row>
    <row r="107" spans="1:47" ht="15" customHeight="1"/>
    <row r="108" spans="1:47" ht="15" customHeight="1">
      <c r="D108" s="17"/>
      <c r="F108" s="19"/>
      <c r="G108" s="19"/>
      <c r="H108" s="20"/>
      <c r="J108" s="19"/>
      <c r="K108" s="19"/>
      <c r="L108" s="20"/>
    </row>
    <row r="111" spans="1:47"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</row>
    <row r="114" spans="4:45">
      <c r="D114" s="9" t="str">
        <f>+IF($B$3="esp","Millones de €","€ Millions")</f>
        <v>€ Millions</v>
      </c>
      <c r="F114" s="7" t="str">
        <f>+F6</f>
        <v>ENERO - DICIEMBRE</v>
      </c>
      <c r="G114" s="8"/>
      <c r="H114" s="8"/>
      <c r="J114" s="7" t="str">
        <f>+J6</f>
        <v>OCTUBRE - DICIEMBRE</v>
      </c>
      <c r="K114" s="8"/>
      <c r="L114" s="8"/>
      <c r="O114" s="9" t="str">
        <f>+IF($B$3="esp","Millones de €","€ Millions")</f>
        <v>€ Millions</v>
      </c>
      <c r="Q114" s="7" t="str">
        <f>+Q6</f>
        <v>ENERO - DICIEMBRE</v>
      </c>
      <c r="R114" s="8"/>
      <c r="S114" s="8"/>
      <c r="U114" s="7" t="str">
        <f>+U6</f>
        <v>OCTUBRE - DICIEMBRE</v>
      </c>
      <c r="V114" s="8"/>
      <c r="W114" s="8"/>
      <c r="Z114" s="9" t="str">
        <f>+IF($B$3="esp","Millones de €","€ Millions")</f>
        <v>€ Millions</v>
      </c>
      <c r="AB114" s="7" t="str">
        <f>+AB6</f>
        <v>ENERO - DICIEMBRE</v>
      </c>
      <c r="AC114" s="8"/>
      <c r="AD114" s="8"/>
      <c r="AF114" s="7" t="str">
        <f>+AF6</f>
        <v>OCTUBRE - DICIEMBRE</v>
      </c>
      <c r="AG114" s="8"/>
      <c r="AH114" s="8"/>
      <c r="AK114" s="9" t="str">
        <f>+IF($B$3="esp","Millones de €","€ Millions")</f>
        <v>€ Millions</v>
      </c>
      <c r="AM114" s="7" t="str">
        <f>+IF($B$3="esp","ENERO - MARZO","JANUARY - MARCH")</f>
        <v>JANUARY - MARCH</v>
      </c>
      <c r="AN114" s="8"/>
      <c r="AO114" s="8"/>
      <c r="AQ114" s="7" t="str">
        <f>+IF($B$3="esp","ENERO - MARZO","JANUARY - MARCH")</f>
        <v>JANUARY - MARCH</v>
      </c>
      <c r="AR114" s="8"/>
      <c r="AS114" s="8"/>
    </row>
    <row r="115" spans="4:45" ht="6.75" customHeight="1">
      <c r="D115" s="9"/>
    </row>
    <row r="116" spans="4:45" ht="15">
      <c r="D116" s="45" t="str">
        <f>+IF($B$3="esp","GRUPO","GROUP")</f>
        <v>GROUP</v>
      </c>
      <c r="F116" s="10">
        <v>2017</v>
      </c>
      <c r="G116" s="10">
        <v>2016</v>
      </c>
      <c r="H116" s="10" t="str">
        <f>+IF($B$3="esp","Var.%","% Chg.")</f>
        <v>% Chg.</v>
      </c>
      <c r="J116" s="10">
        <v>2017</v>
      </c>
      <c r="K116" s="10">
        <v>2016</v>
      </c>
      <c r="L116" s="10" t="str">
        <f>+IF($B$3="esp","Var.%","% Chg.")</f>
        <v>% Chg.</v>
      </c>
      <c r="O116" s="45" t="str">
        <f>+IF($B$3="esp","EDUCACIÓN","EDUCATION")</f>
        <v>EDUCATION</v>
      </c>
      <c r="Q116" s="10">
        <v>2017</v>
      </c>
      <c r="R116" s="10">
        <v>2016</v>
      </c>
      <c r="S116" s="10" t="str">
        <f>+IF($B$3="esp","Var.%","% Chg.")</f>
        <v>% Chg.</v>
      </c>
      <c r="U116" s="10">
        <v>2017</v>
      </c>
      <c r="V116" s="10">
        <v>2016</v>
      </c>
      <c r="W116" s="10" t="str">
        <f>+IF($B$3="esp","Var.%","% Chg.")</f>
        <v>% Chg.</v>
      </c>
      <c r="Z116" s="45" t="str">
        <f>+IF($B$3="esp","RADIO","RADIO")</f>
        <v>RADIO</v>
      </c>
      <c r="AB116" s="10">
        <v>2017</v>
      </c>
      <c r="AC116" s="10">
        <v>2016</v>
      </c>
      <c r="AD116" s="10" t="str">
        <f>+IF($B$3="esp","Var.%","% Chg.")</f>
        <v>% Chg.</v>
      </c>
      <c r="AF116" s="10">
        <v>2017</v>
      </c>
      <c r="AG116" s="10">
        <v>2016</v>
      </c>
      <c r="AH116" s="10" t="str">
        <f>+IF($B$3="esp","Var.%","% Chg.")</f>
        <v>% Chg.</v>
      </c>
      <c r="AK116" s="45" t="str">
        <f>+IF($B$3="esp","PRENSA","PRESS")</f>
        <v>PRESS</v>
      </c>
      <c r="AM116" s="10">
        <v>2017</v>
      </c>
      <c r="AN116" s="10">
        <v>2016</v>
      </c>
      <c r="AO116" s="10" t="str">
        <f>+IF($B$3="esp","Var.%","% Chg.")</f>
        <v>% Chg.</v>
      </c>
      <c r="AQ116" s="10">
        <v>2017</v>
      </c>
      <c r="AR116" s="10">
        <v>2016</v>
      </c>
      <c r="AS116" s="10" t="str">
        <f>+IF($B$3="esp","Var.%","% Chg.")</f>
        <v>% Chg.</v>
      </c>
    </row>
    <row r="117" spans="4:45" ht="15.75" customHeight="1">
      <c r="D117" s="11"/>
      <c r="F117" s="12"/>
      <c r="G117" s="12"/>
      <c r="H117" s="12"/>
      <c r="J117" s="12"/>
      <c r="K117" s="12"/>
      <c r="L117" s="12"/>
      <c r="O117" s="11"/>
      <c r="Q117" s="12"/>
      <c r="R117" s="12"/>
      <c r="S117" s="12"/>
      <c r="U117" s="12"/>
      <c r="V117" s="12"/>
      <c r="W117" s="12"/>
      <c r="Z117" s="11"/>
      <c r="AB117" s="12"/>
      <c r="AC117" s="12"/>
      <c r="AD117" s="12"/>
      <c r="AF117" s="12"/>
      <c r="AG117" s="12"/>
      <c r="AH117" s="12"/>
      <c r="AK117" s="11"/>
      <c r="AM117" s="12"/>
      <c r="AN117" s="12"/>
      <c r="AO117" s="12"/>
      <c r="AQ117" s="12"/>
      <c r="AR117" s="12"/>
      <c r="AS117" s="12"/>
    </row>
    <row r="118" spans="4:45" s="13" customFormat="1" ht="15" customHeight="1">
      <c r="D118" s="13" t="str">
        <f>+IF($B$3="esp","EBITDA","EBITDA")</f>
        <v>EBITDA</v>
      </c>
      <c r="F118" s="14">
        <f>+[1]GRUPO!AC151</f>
        <v>206.97805235411099</v>
      </c>
      <c r="G118" s="15">
        <f>+[1]GRUPO!AD151</f>
        <v>205.94106186829998</v>
      </c>
      <c r="H118" s="16">
        <f>IF(G118=0,"---",IF(OR(ABS((F118-G118)/ABS(G118))&gt;2,(F118*G118)&lt;0),"---",IF(G118="0","---",((F118-G118)/ABS(G118))*100)))</f>
        <v>0.50353750553843524</v>
      </c>
      <c r="J118" s="14">
        <f>+[1]GRUPO!AG151</f>
        <v>28.92780155844099</v>
      </c>
      <c r="K118" s="15">
        <f>+[1]GRUPO!AH151</f>
        <v>30.433295223189987</v>
      </c>
      <c r="L118" s="16">
        <f>IF(K118=0,"---",IF(OR(ABS((J118-K118)/ABS(K118))&gt;2,(J118*K118)&lt;0),"---",IF(K118="0","---",((J118-K118)/ABS(K118))*100)))</f>
        <v>-4.9468638006765024</v>
      </c>
      <c r="O118" s="13" t="str">
        <f>+IF($B$3="esp","EBITDA","EBITDA")</f>
        <v>EBITDA</v>
      </c>
      <c r="Q118" s="14">
        <f>+[1]SANTILLANA!AC156</f>
        <v>179.327627385673</v>
      </c>
      <c r="R118" s="15">
        <f>+[1]SANTILLANA!AD156</f>
        <v>170.912680695517</v>
      </c>
      <c r="S118" s="16">
        <f>IF(R118=0,"---",IF(OR(ABS((Q118-R118)/ABS(R118))&gt;2,(Q118*R118)&lt;0),"---",IF(R118="0","---",((Q118-R118)/ABS(R118))*100)))</f>
        <v>4.9235356065518214</v>
      </c>
      <c r="U118" s="14">
        <f>+[1]SANTILLANA!AG156</f>
        <v>15.434212022760022</v>
      </c>
      <c r="V118" s="15">
        <f>+[1]SANTILLANA!AH156</f>
        <v>7.0920613601419973</v>
      </c>
      <c r="W118" s="16">
        <f>IF(V118=0,"---",IF(OR(ABS((U118-V118)/ABS(V118))&gt;2,(U118*V118)&lt;0),"---",IF(V118="0","---",((U118-V118)/ABS(V118))*100)))</f>
        <v>117.62660020825028</v>
      </c>
      <c r="Z118" s="13" t="str">
        <f>+IF($B$3="esp","EBITDA","EBITDA")</f>
        <v>EBITDA</v>
      </c>
      <c r="AB118" s="14">
        <f>+[1]RADIO!AC113</f>
        <v>41.3523095926707</v>
      </c>
      <c r="AC118" s="15">
        <f>+[1]RADIO!AD113</f>
        <v>41.266236446025303</v>
      </c>
      <c r="AD118" s="16">
        <f t="shared" ref="AD118:AD124" si="32">IF(AC118=0,"---",IF(OR(ABS((AB118-AC118)/ABS(AC118))&gt;2,(AB118*AC118)&lt;0),"---",IF(AC118="0","---",((AB118-AC118)/ABS(AC118))*100)))</f>
        <v>0.20858007431324024</v>
      </c>
      <c r="AF118" s="14">
        <f>+[1]RADIO!AG113</f>
        <v>17.235411319299203</v>
      </c>
      <c r="AG118" s="15">
        <f>+[1]RADIO!AH113</f>
        <v>21.237715904715003</v>
      </c>
      <c r="AH118" s="16">
        <f t="shared" ref="AH118:AH124" si="33">IF(AG118=0,"---",IF(OR(ABS((AF118-AG118)/ABS(AG118))&gt;2,(AF118*AG118)&lt;0),"---",IF(AG118="0","---",((AF118-AG118)/ABS(AG118))*100)))</f>
        <v>-18.845268499552933</v>
      </c>
      <c r="AK118" s="13" t="str">
        <f>+IF($B$3="esp","EBITDA","EBITDA")</f>
        <v>EBITDA</v>
      </c>
      <c r="AM118" s="14">
        <f>+[1]NOTICIAS!AC65</f>
        <v>3.9615303281895398</v>
      </c>
      <c r="AN118" s="15">
        <f>+[1]NOTICIAS!AD65</f>
        <v>15.235658278664999</v>
      </c>
      <c r="AO118" s="16">
        <f>IF(AN118=0,"---",IF(OR(ABS((AM118-AN118)/ABS(AN118))&gt;2,(AM118*AN118)&lt;0),"---",IF(AN118="0","---",((AM118-AN118)/ABS(AN118))*100)))</f>
        <v>-73.998298887177043</v>
      </c>
      <c r="AQ118" s="14">
        <f>+[1]NOTICIAS!AG65</f>
        <v>2.01634355744127</v>
      </c>
      <c r="AR118" s="15">
        <f>+[1]NOTICIAS!AH65</f>
        <v>8.14464066183813</v>
      </c>
      <c r="AS118" s="16">
        <f>IF(AR118=0,"---",IF(OR(ABS((AQ118-AR118)/ABS(AR118))&gt;2,(AQ118*AR118)&lt;0),"---",IF(AR118="0","---",((AQ118-AR118)/ABS(AR118))*100)))</f>
        <v>-75.243308561310911</v>
      </c>
    </row>
    <row r="119" spans="4:45" ht="15" customHeight="1">
      <c r="D119" s="17" t="str">
        <f>+IF($B$3="esp","Radio México y Costa Rica","Radio Mexico and Costa Rica")</f>
        <v>Radio Mexico and Costa Rica</v>
      </c>
      <c r="F119" s="18">
        <f>+[1]GRUPO!AC152</f>
        <v>0</v>
      </c>
      <c r="G119" s="19">
        <f>+[1]GRUPO!AD152</f>
        <v>0</v>
      </c>
      <c r="H119" s="20" t="str">
        <f t="shared" ref="H119:H125" si="34">IF(G119=0,"---",IF(OR(ABS((F119-G119)/ABS(G119))&gt;2,(F119*G119)&lt;0),"---",IF(G119="0","---",((F119-G119)/ABS(G119))*100)))</f>
        <v>---</v>
      </c>
      <c r="J119" s="18">
        <f>+[1]GRUPO!AG152</f>
        <v>0</v>
      </c>
      <c r="K119" s="19">
        <f>+[1]GRUPO!AH152</f>
        <v>0</v>
      </c>
      <c r="L119" s="20" t="str">
        <f t="shared" ref="L119:L125" si="35">IF(K119=0,"---",IF(OR(ABS((J119-K119)/ABS(K119))&gt;2,(J119*K119)&lt;0),"---",IF(K119="0","---",((J119-K119)/ABS(K119))*100)))</f>
        <v>---</v>
      </c>
      <c r="O119" s="17" t="str">
        <f>+IF($B$3="esp","Efectos extraordinarios","Extraordinary effects")</f>
        <v>Extraordinary effects</v>
      </c>
      <c r="Q119" s="18">
        <f>+[1]SANTILLANA!AC157</f>
        <v>7.7970185681752291</v>
      </c>
      <c r="R119" s="19">
        <f>+[1]SANTILLANA!AD157</f>
        <v>14.257857915069604</v>
      </c>
      <c r="S119" s="20">
        <f t="shared" ref="S119:S124" si="36">IF(R119=0,"---",IF(OR(ABS((Q119-R119)/ABS(R119))&gt;2,(Q119*R119)&lt;0),"---",IF(R119="0","---",((Q119-R119)/ABS(R119))*100)))</f>
        <v>-45.314235738495462</v>
      </c>
      <c r="U119" s="18">
        <f>+[1]SANTILLANA!AG157</f>
        <v>4.1003087196379893</v>
      </c>
      <c r="V119" s="19">
        <f>+[1]SANTILLANA!AH157</f>
        <v>10.841768747331223</v>
      </c>
      <c r="W119" s="20">
        <f t="shared" ref="W119:W124" si="37">IF(V119=0,"---",IF(OR(ABS((U119-V119)/ABS(V119))&gt;2,(U119*V119)&lt;0),"---",IF(V119="0","---",((U119-V119)/ABS(V119))*100)))</f>
        <v>-62.180444766936127</v>
      </c>
      <c r="Z119" s="17" t="str">
        <f>+IF($B$3="esp","Efectos extraordinarios","Extraordinary effects")</f>
        <v>Extraordinary effects</v>
      </c>
      <c r="AB119" s="18">
        <f>+[1]RADIO!AC115</f>
        <v>5.2037158875555898</v>
      </c>
      <c r="AC119" s="19">
        <f>+[1]RADIO!AD115</f>
        <v>5.4072744351599402</v>
      </c>
      <c r="AD119" s="20">
        <f t="shared" si="32"/>
        <v>-3.7645314667356891</v>
      </c>
      <c r="AF119" s="18">
        <f>+[1]RADIO!AG115</f>
        <v>0.85395989477660983</v>
      </c>
      <c r="AG119" s="19">
        <f>+[1]RADIO!AH115</f>
        <v>1.3024897150690604</v>
      </c>
      <c r="AH119" s="20">
        <f t="shared" si="33"/>
        <v>-34.436342575547222</v>
      </c>
      <c r="AK119" s="17" t="str">
        <f>+IF($B$3="esp","Efectos extraordinarios","Extraordinary effects")</f>
        <v>Extraordinary effects</v>
      </c>
      <c r="AM119" s="18">
        <f>+[1]NOTICIAS!AC66</f>
        <v>8.5169714500071496</v>
      </c>
      <c r="AN119" s="19">
        <f>+[1]NOTICIAS!AD66</f>
        <v>1.57757833418251</v>
      </c>
      <c r="AO119" s="20" t="str">
        <f t="shared" ref="AO119:AO124" si="38">IF(AN119=0,"---",IF(OR(ABS((AM119-AN119)/ABS(AN119))&gt;2,(AM119*AN119)&lt;0),"---",IF(AN119="0","---",((AM119-AN119)/ABS(AN119))*100)))</f>
        <v>---</v>
      </c>
      <c r="AQ119" s="18">
        <f>+[1]NOTICIAS!AG66</f>
        <v>5.9494277212819897</v>
      </c>
      <c r="AR119" s="19">
        <f>+[1]NOTICIAS!AH66</f>
        <v>1.1815282314904749</v>
      </c>
      <c r="AS119" s="20" t="str">
        <f t="shared" ref="AS119:AS124" si="39">IF(AR119=0,"---",IF(OR(ABS((AQ119-AR119)/ABS(AR119))&gt;2,(AQ119*AR119)&lt;0),"---",IF(AR119="0","---",((AQ119-AR119)/ABS(AR119))*100)))</f>
        <v>---</v>
      </c>
    </row>
    <row r="120" spans="4:45" ht="15" customHeight="1">
      <c r="D120" s="17" t="str">
        <f>+IF($B$3="esp","Efectos extraordinarios","Extraordinary effects")</f>
        <v>Extraordinary effects</v>
      </c>
      <c r="F120" s="18">
        <f>+[1]GRUPO!AC153</f>
        <v>23.28202176060104</v>
      </c>
      <c r="G120" s="19">
        <f>+[1]GRUPO!AD153</f>
        <v>23.684746032134697</v>
      </c>
      <c r="H120" s="20">
        <f t="shared" si="34"/>
        <v>-1.7003529233003121</v>
      </c>
      <c r="J120" s="18">
        <f>+[1]GRUPO!AG153</f>
        <v>12.090451030532101</v>
      </c>
      <c r="K120" s="19">
        <f>+[1]GRUPO!AH153</f>
        <v>14.100673475048007</v>
      </c>
      <c r="L120" s="20">
        <f t="shared" si="35"/>
        <v>-14.256215833045957</v>
      </c>
      <c r="O120" s="13" t="str">
        <f>+IF($B$3="esp","EBITDA Ajustado","Adjusted EBITDA")</f>
        <v>Adjusted EBITDA</v>
      </c>
      <c r="P120" s="13"/>
      <c r="Q120" s="14">
        <f>+[1]SANTILLANA!AC158</f>
        <v>187.12464595384824</v>
      </c>
      <c r="R120" s="15">
        <f>+[1]SANTILLANA!AD158</f>
        <v>180.24354300837336</v>
      </c>
      <c r="S120" s="16">
        <f t="shared" si="36"/>
        <v>3.8176695989354865</v>
      </c>
      <c r="U120" s="14">
        <f>+[1]SANTILLANA!AG158</f>
        <v>19.53452074239803</v>
      </c>
      <c r="V120" s="15">
        <f>+[1]SANTILLANA!AH158</f>
        <v>13.006834505259974</v>
      </c>
      <c r="W120" s="16">
        <f t="shared" si="37"/>
        <v>50.186586401927805</v>
      </c>
      <c r="Z120" s="13" t="str">
        <f>+IF($B$3="esp","EBITDA Ajustado","Adjusted EBITDA")</f>
        <v>Adjusted EBITDA</v>
      </c>
      <c r="AA120" s="13"/>
      <c r="AB120" s="14">
        <f>+[1]RADIO!AC116</f>
        <v>46.556025480226296</v>
      </c>
      <c r="AC120" s="15">
        <f>+[1]RADIO!AD116</f>
        <v>46.673510881185237</v>
      </c>
      <c r="AD120" s="16">
        <f t="shared" si="32"/>
        <v>-0.25171751329789305</v>
      </c>
      <c r="AF120" s="14">
        <f>+[1]RADIO!AG116</f>
        <v>18.089371214075818</v>
      </c>
      <c r="AG120" s="15">
        <f>+[1]RADIO!AH116</f>
        <v>22.540205619784057</v>
      </c>
      <c r="AH120" s="16">
        <f t="shared" si="33"/>
        <v>-19.746201435720884</v>
      </c>
      <c r="AK120" s="13" t="str">
        <f>+IF($B$3="esp","EBITDA Ajustado","Adjusted EBITDA")</f>
        <v>Adjusted EBITDA</v>
      </c>
      <c r="AL120" s="13"/>
      <c r="AM120" s="14">
        <f>+[1]NOTICIAS!AC67</f>
        <v>12.478501778196689</v>
      </c>
      <c r="AN120" s="15">
        <f>+[1]NOTICIAS!AD67</f>
        <v>16.813236612847511</v>
      </c>
      <c r="AO120" s="16">
        <f t="shared" si="38"/>
        <v>-25.781679842288774</v>
      </c>
      <c r="AQ120" s="14">
        <f>+[1]NOTICIAS!AG67</f>
        <v>7.9657712787232597</v>
      </c>
      <c r="AR120" s="15">
        <f>+[1]NOTICIAS!AH67</f>
        <v>9.3261688933286067</v>
      </c>
      <c r="AS120" s="16">
        <f t="shared" si="39"/>
        <v>-14.586885892432159</v>
      </c>
    </row>
    <row r="121" spans="4:45" ht="15" customHeight="1">
      <c r="D121" s="13" t="str">
        <f>+IF($B$3="esp","EBITDA Ajustado","Adjusted EBITDA")</f>
        <v>Adjusted EBITDA</v>
      </c>
      <c r="E121" s="13"/>
      <c r="F121" s="14">
        <f>+[1]GRUPO!AC154</f>
        <v>230.26007411471201</v>
      </c>
      <c r="G121" s="15">
        <f>+[1]GRUPO!AD154</f>
        <v>229.62580790043469</v>
      </c>
      <c r="H121" s="16">
        <f t="shared" si="34"/>
        <v>0.27621730330605282</v>
      </c>
      <c r="J121" s="14">
        <f>+[1]GRUPO!AG154</f>
        <v>41.018252588973098</v>
      </c>
      <c r="K121" s="15">
        <f>+[1]GRUPO!AH154</f>
        <v>44.533968698237999</v>
      </c>
      <c r="L121" s="16">
        <f t="shared" si="35"/>
        <v>-7.8944594700000339</v>
      </c>
      <c r="O121" s="17" t="str">
        <f>+IF($B$3="esp","Amortizaciones","Amortizations")</f>
        <v>Amortizations</v>
      </c>
      <c r="Q121" s="18">
        <f>+[1]SANTILLANA!AC159</f>
        <v>52.997736901822101</v>
      </c>
      <c r="R121" s="19">
        <f>+[1]SANTILLANA!AD159</f>
        <v>55.151739341302878</v>
      </c>
      <c r="S121" s="20">
        <f t="shared" si="36"/>
        <v>-3.9055929426828699</v>
      </c>
      <c r="U121" s="18">
        <f>+[1]SANTILLANA!AG159</f>
        <v>13.385861291666401</v>
      </c>
      <c r="V121" s="19">
        <f>+[1]SANTILLANA!AH159</f>
        <v>13.624150253868478</v>
      </c>
      <c r="W121" s="20">
        <f t="shared" si="37"/>
        <v>-1.7490188948438568</v>
      </c>
      <c r="Z121" s="17" t="str">
        <f>+IF($B$3="esp","Amortizaciones","Amortizations")</f>
        <v>Amortizations</v>
      </c>
      <c r="AB121" s="18">
        <f>+[1]RADIO!AC117</f>
        <v>8.231843585829159</v>
      </c>
      <c r="AC121" s="19">
        <f>+[1]RADIO!AD117</f>
        <v>7.7792299569322303</v>
      </c>
      <c r="AD121" s="20">
        <f t="shared" si="32"/>
        <v>5.8182317710456095</v>
      </c>
      <c r="AF121" s="18">
        <f>+[1]RADIO!AG117</f>
        <v>2.3015952381075593</v>
      </c>
      <c r="AG121" s="19">
        <f>+[1]RADIO!AH117</f>
        <v>2.0194383326983205</v>
      </c>
      <c r="AH121" s="20">
        <f t="shared" si="33"/>
        <v>13.972048605823389</v>
      </c>
      <c r="AK121" s="17" t="str">
        <f>+IF($B$3="esp","Amortizaciones","Amortizations")</f>
        <v>Amortizations</v>
      </c>
      <c r="AM121" s="18">
        <f>+[1]NOTICIAS!AC68</f>
        <v>7.4892728268243101</v>
      </c>
      <c r="AN121" s="19">
        <f>+[1]NOTICIAS!AD68</f>
        <v>7.3977528600868201</v>
      </c>
      <c r="AO121" s="20">
        <f t="shared" si="38"/>
        <v>1.2371319841092379</v>
      </c>
      <c r="AQ121" s="18">
        <f>+[1]NOTICIAS!AG68</f>
        <v>1.8112460440453502</v>
      </c>
      <c r="AR121" s="19">
        <f>+[1]NOTICIAS!AH68</f>
        <v>1.9362430429770701</v>
      </c>
      <c r="AS121" s="20">
        <f t="shared" si="39"/>
        <v>-6.4556461227889441</v>
      </c>
    </row>
    <row r="122" spans="4:45" ht="15" customHeight="1">
      <c r="D122" s="17" t="str">
        <f>+IF($B$3="esp","Amortizaciones","Amortizations")</f>
        <v>Amortizations</v>
      </c>
      <c r="F122" s="18">
        <f>+[1]GRUPO!AC155</f>
        <v>69.652924162308906</v>
      </c>
      <c r="G122" s="19">
        <f>+[1]GRUPO!AD155</f>
        <v>74.692020846271177</v>
      </c>
      <c r="H122" s="20">
        <f t="shared" si="34"/>
        <v>-6.7464993273292002</v>
      </c>
      <c r="J122" s="18">
        <f>+[1]GRUPO!AG155</f>
        <v>17.694584276489508</v>
      </c>
      <c r="K122" s="19">
        <f>+[1]GRUPO!AH155</f>
        <v>18.24432127589268</v>
      </c>
      <c r="L122" s="20">
        <f t="shared" si="35"/>
        <v>-3.0131951257050789</v>
      </c>
      <c r="O122" s="17" t="str">
        <f>+IF($B$3="esp","Provisiones","Provisions")</f>
        <v>Provisions</v>
      </c>
      <c r="Q122" s="18">
        <f>+[1]SANTILLANA!AC160</f>
        <v>14.102087821749699</v>
      </c>
      <c r="R122" s="19">
        <f>+[1]SANTILLANA!AD160</f>
        <v>14.148493307232425</v>
      </c>
      <c r="S122" s="20">
        <f t="shared" si="36"/>
        <v>-0.32798888528296155</v>
      </c>
      <c r="U122" s="18">
        <f>+[1]SANTILLANA!AG160</f>
        <v>-4.8199472363274012</v>
      </c>
      <c r="V122" s="19">
        <f>+[1]SANTILLANA!AH160</f>
        <v>-11.729679626861472</v>
      </c>
      <c r="W122" s="20">
        <f t="shared" si="37"/>
        <v>58.908108408267914</v>
      </c>
      <c r="Z122" s="17" t="str">
        <f>+IF($B$3="esp","Provisiones","Provisions")</f>
        <v>Provisions</v>
      </c>
      <c r="AB122" s="18">
        <f>+[1]RADIO!AC118</f>
        <v>2.3931647762419601</v>
      </c>
      <c r="AC122" s="19">
        <f>+[1]RADIO!AD118</f>
        <v>4.5812721876986497</v>
      </c>
      <c r="AD122" s="20">
        <f t="shared" si="32"/>
        <v>-47.76200412916004</v>
      </c>
      <c r="AF122" s="18">
        <f>+[1]RADIO!AG118</f>
        <v>1.0169662603640302</v>
      </c>
      <c r="AG122" s="19">
        <f>+[1]RADIO!AH118</f>
        <v>1.8893683812804296</v>
      </c>
      <c r="AH122" s="20">
        <f t="shared" si="33"/>
        <v>-46.174273347644913</v>
      </c>
      <c r="AK122" s="17" t="str">
        <f>+IF($B$3="esp","Provisiones","Provisions")</f>
        <v>Provisions</v>
      </c>
      <c r="AM122" s="18">
        <f>+[1]NOTICIAS!AC69</f>
        <v>1.0885887354550901</v>
      </c>
      <c r="AN122" s="19">
        <f>+[1]NOTICIAS!AD69</f>
        <v>0.67700622452636794</v>
      </c>
      <c r="AO122" s="20">
        <f t="shared" si="38"/>
        <v>60.79449435146099</v>
      </c>
      <c r="AQ122" s="18">
        <f>+[1]NOTICIAS!AG69</f>
        <v>0.17965343503686904</v>
      </c>
      <c r="AR122" s="19">
        <f>+[1]NOTICIAS!AH69</f>
        <v>0.42938193534294794</v>
      </c>
      <c r="AS122" s="20">
        <f t="shared" si="39"/>
        <v>-58.15999224714016</v>
      </c>
    </row>
    <row r="123" spans="4:45" ht="15" customHeight="1">
      <c r="D123" s="17" t="str">
        <f>+IF($B$3="esp","Provisiones","Provisions")</f>
        <v>Provisions</v>
      </c>
      <c r="F123" s="18">
        <f>+[1]GRUPO!AC156</f>
        <v>17.910976450668098</v>
      </c>
      <c r="G123" s="19">
        <f>+[1]GRUPO!AD156</f>
        <v>19.581937919374024</v>
      </c>
      <c r="H123" s="20">
        <f t="shared" si="34"/>
        <v>-8.5331772349901378</v>
      </c>
      <c r="J123" s="18">
        <f>+[1]GRUPO!AG156</f>
        <v>-3.5487789797994012</v>
      </c>
      <c r="K123" s="19">
        <f>+[1]GRUPO!AH156</f>
        <v>-9.3328828152062755</v>
      </c>
      <c r="L123" s="20">
        <f t="shared" si="35"/>
        <v>61.975532640168851</v>
      </c>
      <c r="O123" s="17" t="str">
        <f>+IF($B$3="esp","Pérdidas de inmovilizado","Impairment from fixed assets")</f>
        <v>Impairment from fixed assets</v>
      </c>
      <c r="Q123" s="18">
        <f>+[1]SANTILLANA!AC161</f>
        <v>2.034999502278211</v>
      </c>
      <c r="R123" s="19">
        <f>+[1]SANTILLANA!AD161</f>
        <v>2.158513974031802</v>
      </c>
      <c r="S123" s="20">
        <f t="shared" si="36"/>
        <v>-5.7221993111716216</v>
      </c>
      <c r="U123" s="18">
        <f>+[1]SANTILLANA!AG161</f>
        <v>0.9526793009570369</v>
      </c>
      <c r="V123" s="19">
        <f>+[1]SANTILLANA!AH161</f>
        <v>1.2946397445475846</v>
      </c>
      <c r="W123" s="20">
        <f t="shared" si="37"/>
        <v>-26.413559836296134</v>
      </c>
      <c r="Z123" s="17" t="str">
        <f>+IF($B$3="esp","Pérdidas de inmovilizado","Impairment from fixed assets")</f>
        <v>Impairment from fixed assets</v>
      </c>
      <c r="AB123" s="18">
        <f>+[1]RADIO!AC119</f>
        <v>-0.22029252863707249</v>
      </c>
      <c r="AC123" s="19">
        <f>+[1]RADIO!AD119</f>
        <v>0.27601243999992242</v>
      </c>
      <c r="AD123" s="20" t="str">
        <f t="shared" si="32"/>
        <v>---</v>
      </c>
      <c r="AF123" s="18">
        <f>+[1]RADIO!AG119</f>
        <v>-5.2301858636675691E-2</v>
      </c>
      <c r="AG123" s="19">
        <f>+[1]RADIO!AH119</f>
        <v>0.44400310999984249</v>
      </c>
      <c r="AH123" s="20" t="str">
        <f t="shared" si="33"/>
        <v>---</v>
      </c>
      <c r="AK123" s="17" t="str">
        <f>+IF($B$3="esp","Pérdidas de inmovilizado","Impairment from fixed assets")</f>
        <v>Impairment from fixed assets</v>
      </c>
      <c r="AM123" s="18">
        <f>+[1]NOTICIAS!AC70</f>
        <v>5.0090574353967021E-4</v>
      </c>
      <c r="AN123" s="19">
        <f>+[1]NOTICIAS!AD70</f>
        <v>0.10123029000000705</v>
      </c>
      <c r="AO123" s="20">
        <f t="shared" si="38"/>
        <v>-99.50518195340581</v>
      </c>
      <c r="AQ123" s="18">
        <f>+[1]NOTICIAS!AG70</f>
        <v>-1.1239159017393252E-3</v>
      </c>
      <c r="AR123" s="19">
        <f>+[1]NOTICIAS!AH70</f>
        <v>6.7949519999997599E-2</v>
      </c>
      <c r="AS123" s="20" t="str">
        <f t="shared" si="39"/>
        <v>---</v>
      </c>
    </row>
    <row r="124" spans="4:45" ht="15" customHeight="1">
      <c r="D124" s="17" t="str">
        <f>+IF($B$3="esp","Pérdidas de inmovilizado","Impairment from fixed assets")</f>
        <v>Impairment from fixed assets</v>
      </c>
      <c r="F124" s="18">
        <f>+[1]GRUPO!AC157</f>
        <v>1.8152078793863105</v>
      </c>
      <c r="G124" s="19">
        <f>+[1]GRUPO!AD157</f>
        <v>2.535756704031801</v>
      </c>
      <c r="H124" s="20">
        <f t="shared" si="34"/>
        <v>-28.415534640994256</v>
      </c>
      <c r="J124" s="18">
        <f>+[1]GRUPO!AG157</f>
        <v>0.89925352641829903</v>
      </c>
      <c r="K124" s="19">
        <f>+[1]GRUPO!AH157</f>
        <v>1.8065923745483801</v>
      </c>
      <c r="L124" s="20">
        <f t="shared" si="35"/>
        <v>-50.223772717788741</v>
      </c>
      <c r="O124" s="13" t="str">
        <f>+IF($B$3="esp","Resultado de Explotación","Operating Result")</f>
        <v>Operating Result</v>
      </c>
      <c r="P124" s="13"/>
      <c r="Q124" s="14">
        <f>+[1]SANTILLANA!AC162</f>
        <v>117.98982172799823</v>
      </c>
      <c r="R124" s="15">
        <f>+[1]SANTILLANA!AD162</f>
        <v>108.78479638580626</v>
      </c>
      <c r="S124" s="16">
        <f t="shared" si="36"/>
        <v>8.461683661700544</v>
      </c>
      <c r="U124" s="14">
        <f>+[1]SANTILLANA!AG162</f>
        <v>10.015927386101993</v>
      </c>
      <c r="V124" s="15">
        <f>+[1]SANTILLANA!AH162</f>
        <v>9.8177241337053829</v>
      </c>
      <c r="W124" s="16">
        <f t="shared" si="37"/>
        <v>2.0188309398117537</v>
      </c>
      <c r="Z124" s="13" t="str">
        <f>+IF($B$3="esp","Resultado de Explotación","Operating Result")</f>
        <v>Operating Result</v>
      </c>
      <c r="AA124" s="13"/>
      <c r="AB124" s="14">
        <f>+[1]RADIO!AC120</f>
        <v>36.151309646792249</v>
      </c>
      <c r="AC124" s="15">
        <f>+[1]RADIO!AD120</f>
        <v>34.036996296554435</v>
      </c>
      <c r="AD124" s="16">
        <f t="shared" si="32"/>
        <v>6.211809443513812</v>
      </c>
      <c r="AF124" s="14">
        <f>+[1]RADIO!AG120</f>
        <v>14.823111574240905</v>
      </c>
      <c r="AG124" s="15">
        <f>+[1]RADIO!AH120</f>
        <v>18.187395795805465</v>
      </c>
      <c r="AH124" s="16">
        <f t="shared" si="33"/>
        <v>-18.497888644071082</v>
      </c>
      <c r="AK124" s="13" t="str">
        <f>+IF($B$3="esp","Resultado de Explotación","Operating Result")</f>
        <v>Operating Result</v>
      </c>
      <c r="AL124" s="13"/>
      <c r="AM124" s="14">
        <f>+[1]NOTICIAS!AC71</f>
        <v>3.9001393101737487</v>
      </c>
      <c r="AN124" s="15">
        <f>+[1]NOTICIAS!AD71</f>
        <v>8.6372472382343162</v>
      </c>
      <c r="AO124" s="16">
        <f t="shared" si="38"/>
        <v>-54.845112075649673</v>
      </c>
      <c r="AQ124" s="14">
        <f>+[1]NOTICIAS!AG71</f>
        <v>5.9759957155427799</v>
      </c>
      <c r="AR124" s="15">
        <f>+[1]NOTICIAS!AH71</f>
        <v>6.8925943950085911</v>
      </c>
      <c r="AS124" s="16">
        <f t="shared" si="39"/>
        <v>-13.298311592650574</v>
      </c>
    </row>
    <row r="125" spans="4:45" ht="15" customHeight="1">
      <c r="D125" s="13" t="str">
        <f>+IF($B$3="esp","Resultado de Explotación","Operating Result")</f>
        <v>Operating Result</v>
      </c>
      <c r="E125" s="13"/>
      <c r="F125" s="14">
        <f>+[1]GRUPO!AC158</f>
        <v>140.8809656223487</v>
      </c>
      <c r="G125" s="15">
        <f>+[1]GRUPO!AD158</f>
        <v>132.81609243075769</v>
      </c>
      <c r="H125" s="16">
        <f t="shared" si="34"/>
        <v>6.0722108623964699</v>
      </c>
      <c r="J125" s="14">
        <f>+[1]GRUPO!AG158</f>
        <v>25.973193765864693</v>
      </c>
      <c r="K125" s="15">
        <f>+[1]GRUPO!AH158</f>
        <v>33.815937863003214</v>
      </c>
      <c r="L125" s="16">
        <f t="shared" si="35"/>
        <v>-23.192448865122213</v>
      </c>
    </row>
    <row r="128" spans="4:45" ht="14.25" customHeight="1">
      <c r="D128" s="9"/>
      <c r="F128" s="7" t="str">
        <f>+F114</f>
        <v>ENERO - DICIEMBRE</v>
      </c>
      <c r="G128" s="8"/>
      <c r="H128" s="8"/>
      <c r="J128" s="7" t="str">
        <f>+J114</f>
        <v>OCTUBRE - DICIEMBRE</v>
      </c>
      <c r="K128" s="8"/>
      <c r="L128" s="8"/>
    </row>
    <row r="130" spans="4:47" ht="15.75" customHeight="1">
      <c r="D130" s="45" t="str">
        <f>+IF($B$3="esp","OTROS","OTHERS")</f>
        <v>OTHERS</v>
      </c>
      <c r="F130" s="10">
        <v>2017</v>
      </c>
      <c r="G130" s="10">
        <v>2016</v>
      </c>
      <c r="H130" s="10" t="str">
        <f>+IF($B$3="esp","Var.%","% Chg.")</f>
        <v>% Chg.</v>
      </c>
      <c r="J130" s="10">
        <v>2017</v>
      </c>
      <c r="K130" s="10">
        <v>2016</v>
      </c>
      <c r="L130" s="10" t="str">
        <f>+IF($B$3="esp","Var.%","% Chg.")</f>
        <v>% Chg.</v>
      </c>
    </row>
    <row r="131" spans="4:47" s="13" customFormat="1" ht="15" customHeight="1">
      <c r="D131" s="11"/>
      <c r="E131" s="1"/>
      <c r="F131" s="12"/>
      <c r="G131" s="12"/>
      <c r="H131" s="12"/>
      <c r="J131" s="12"/>
      <c r="K131" s="12"/>
      <c r="L131" s="12"/>
    </row>
    <row r="132" spans="4:47" ht="15" customHeight="1">
      <c r="D132" s="13" t="str">
        <f>+IF($B$3="esp","EBITDA","EBITDA")</f>
        <v>EBITDA</v>
      </c>
      <c r="E132" s="13"/>
      <c r="F132" s="14">
        <f>+[1]GRUPO!AC165</f>
        <v>-15.818731672422251</v>
      </c>
      <c r="G132" s="15">
        <f>+[1]GRUPO!AD165</f>
        <v>-19.111836901907317</v>
      </c>
      <c r="H132" s="16">
        <f>IF(G132=0,"---",IF(OR(ABS((F132-G132)/ABS(G132))&gt;2,(F132*G132)&lt;0),"---",IF(G132="0","---",((F132-G132)/ABS(G132))*100)))</f>
        <v>17.230710194876256</v>
      </c>
      <c r="J132" s="14">
        <f>+[1]GRUPO!AG165</f>
        <v>-5.402093051059504</v>
      </c>
      <c r="K132" s="15">
        <f>+[1]GRUPO!AH165</f>
        <v>-4.7874452735051438</v>
      </c>
      <c r="L132" s="16">
        <f>IF(K132=0,"---",IF(OR(ABS((J132-K132)/ABS(K132))&gt;2,(J132*K132)&lt;0),"---",IF(K132="0","---",((J132-K132)/ABS(K132))*100)))</f>
        <v>-12.838742637037893</v>
      </c>
    </row>
    <row r="133" spans="4:47" ht="15" customHeight="1">
      <c r="D133" s="17" t="str">
        <f>+IF($B$3="esp","Efectos extraordinarios","Extraordinary effects")</f>
        <v>Extraordinary effects</v>
      </c>
      <c r="F133" s="18">
        <f>+[1]GRUPO!AC166</f>
        <v>1.6608777548630336</v>
      </c>
      <c r="G133" s="19">
        <f>+[1]GRUPO!AD166</f>
        <v>6.966231749935897</v>
      </c>
      <c r="H133" s="20">
        <f t="shared" ref="H133:H138" si="40">IF(G133=0,"---",IF(OR(ABS((F133-G133)/ABS(G133))&gt;2,(F133*G133)&lt;0),"---",IF(G133="0","---",((F133-G133)/ABS(G133))*100)))</f>
        <v>-76.158161047709655</v>
      </c>
      <c r="J133" s="18">
        <f>+[1]GRUPO!AG166</f>
        <v>1.0867546948354949</v>
      </c>
      <c r="K133" s="19">
        <f>+[1]GRUPO!AH166</f>
        <v>5.3018713433705038</v>
      </c>
      <c r="L133" s="20">
        <f t="shared" ref="L133:L138" si="41">IF(K133=0,"---",IF(OR(ABS((J133-K133)/ABS(K133))&gt;2,(J133*K133)&lt;0),"---",IF(K133="0","---",((J133-K133)/ABS(K133))*100)))</f>
        <v>-79.502431793363286</v>
      </c>
    </row>
    <row r="134" spans="4:47" ht="15" customHeight="1">
      <c r="D134" s="13" t="str">
        <f>+IF($B$3="esp","EBITDA Ajustado","Adjusted EBITDA")</f>
        <v>Adjusted EBITDA</v>
      </c>
      <c r="E134" s="13"/>
      <c r="F134" s="14">
        <f>+[1]GRUPO!AC167</f>
        <v>-14.157853917559217</v>
      </c>
      <c r="G134" s="15">
        <f>+[1]GRUPO!AD167</f>
        <v>-12.14560515197142</v>
      </c>
      <c r="H134" s="16">
        <f t="shared" si="40"/>
        <v>-16.56771103958684</v>
      </c>
      <c r="J134" s="14">
        <f>+[1]GRUPO!AG167</f>
        <v>-4.3153383562240091</v>
      </c>
      <c r="K134" s="15">
        <f>+[1]GRUPO!AH167</f>
        <v>0.51442606986535999</v>
      </c>
      <c r="L134" s="16" t="str">
        <f t="shared" si="41"/>
        <v>---</v>
      </c>
    </row>
    <row r="135" spans="4:47" ht="15" customHeight="1">
      <c r="D135" s="17" t="str">
        <f>+IF($B$3="esp","Amortizaciones","Amortizations")</f>
        <v>Amortizations</v>
      </c>
      <c r="F135" s="18">
        <f>+[1]GRUPO!AC168</f>
        <v>0.92211597783333621</v>
      </c>
      <c r="G135" s="19">
        <f>+[1]GRUPO!AD168</f>
        <v>4.359026377949248</v>
      </c>
      <c r="H135" s="20">
        <f t="shared" si="40"/>
        <v>-78.845827075101198</v>
      </c>
      <c r="J135" s="18">
        <f>+[1]GRUPO!AG168</f>
        <v>0.19230468267019674</v>
      </c>
      <c r="K135" s="19">
        <f>+[1]GRUPO!AH168</f>
        <v>0.66289422634881046</v>
      </c>
      <c r="L135" s="20">
        <f t="shared" si="41"/>
        <v>-70.990140654957628</v>
      </c>
    </row>
    <row r="136" spans="4:47" ht="15" customHeight="1">
      <c r="D136" s="17" t="str">
        <f>+IF($B$3="esp","Provisiones","Provisions")</f>
        <v>Provisions</v>
      </c>
      <c r="F136" s="18">
        <f>+[1]GRUPO!AC169</f>
        <v>0.32648301722134948</v>
      </c>
      <c r="G136" s="19">
        <f>+[1]GRUPO!AD169</f>
        <v>0.17375729991658168</v>
      </c>
      <c r="H136" s="20">
        <f t="shared" si="40"/>
        <v>87.896000558301239</v>
      </c>
      <c r="J136" s="18">
        <f>+[1]GRUPO!AG169</f>
        <v>7.4358811127100854E-2</v>
      </c>
      <c r="K136" s="19">
        <f>+[1]GRUPO!AH169</f>
        <v>7.6637595031818995E-2</v>
      </c>
      <c r="L136" s="20">
        <f t="shared" si="41"/>
        <v>-2.973454351969183</v>
      </c>
    </row>
    <row r="137" spans="4:47" ht="15" customHeight="1">
      <c r="D137" s="17" t="str">
        <f>+IF($B$3="esp","Pérdidas de inmovilizado","Impairment from fixed assets")</f>
        <v>Impairment from fixed assets</v>
      </c>
      <c r="F137" s="18">
        <f>+[1]GRUPO!AC170</f>
        <v>1.6319723350477489E-12</v>
      </c>
      <c r="G137" s="19">
        <f>+[1]GRUPO!AD170</f>
        <v>6.7335026443515744E-14</v>
      </c>
      <c r="H137" s="20" t="str">
        <f t="shared" si="40"/>
        <v>---</v>
      </c>
      <c r="J137" s="18">
        <f>+[1]GRUPO!AG170</f>
        <v>-3.2329694477084558E-13</v>
      </c>
      <c r="K137" s="19">
        <f>+[1]GRUPO!AH170</f>
        <v>9.5146113210375916E-13</v>
      </c>
      <c r="L137" s="20" t="str">
        <f t="shared" si="41"/>
        <v>---</v>
      </c>
    </row>
    <row r="138" spans="4:47" ht="15" customHeight="1">
      <c r="D138" s="13" t="str">
        <f>+IF($B$3="esp","Resultado de Explotación","Operating Result")</f>
        <v>Operating Result</v>
      </c>
      <c r="E138" s="13"/>
      <c r="F138" s="14">
        <f>+[1]GRUPO!AC171</f>
        <v>-15.406452912615535</v>
      </c>
      <c r="G138" s="15">
        <f>+[1]GRUPO!AD171</f>
        <v>-16.678388829837317</v>
      </c>
      <c r="H138" s="16">
        <f t="shared" si="40"/>
        <v>7.6262517332988011</v>
      </c>
      <c r="J138" s="14">
        <f>+[1]GRUPO!AG171</f>
        <v>-4.5820018500209834</v>
      </c>
      <c r="K138" s="15">
        <f>+[1]GRUPO!AH171</f>
        <v>-0.22510575151622092</v>
      </c>
      <c r="L138" s="16" t="str">
        <f t="shared" si="41"/>
        <v>---</v>
      </c>
    </row>
    <row r="139" spans="4:47" ht="15" customHeight="1"/>
    <row r="140" spans="4:47" ht="15" customHeight="1"/>
    <row r="141" spans="4:47" ht="15" customHeight="1"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</row>
    <row r="142" spans="4:47" ht="15" customHeight="1"/>
    <row r="143" spans="4:47" ht="15" customHeight="1">
      <c r="F143" s="7" t="str">
        <f>+F128</f>
        <v>ENERO - DICIEMBRE</v>
      </c>
      <c r="G143" s="8"/>
      <c r="H143" s="8"/>
      <c r="J143" s="7" t="str">
        <f>+J128</f>
        <v>OCTUBRE - DICIEMBRE</v>
      </c>
      <c r="K143" s="8"/>
      <c r="L143" s="8"/>
      <c r="Q143" s="7" t="str">
        <f>+Q6</f>
        <v>ENERO - DICIEMBRE</v>
      </c>
      <c r="R143" s="8"/>
      <c r="S143" s="8"/>
      <c r="U143" s="7" t="str">
        <f>+U6</f>
        <v>OCTUBRE - DICIEMBRE</v>
      </c>
      <c r="V143" s="8"/>
      <c r="W143" s="8"/>
    </row>
    <row r="144" spans="4:47" ht="4.5" customHeight="1"/>
    <row r="145" spans="4:23" ht="15" customHeight="1">
      <c r="D145" s="9" t="str">
        <f>+IF($B$3="esp","Millones de €","€ Millions")</f>
        <v>€ Millions</v>
      </c>
      <c r="F145" s="10">
        <v>2017</v>
      </c>
      <c r="G145" s="10">
        <v>2016</v>
      </c>
      <c r="H145" s="10" t="str">
        <f>+IF($B$3="esp","Var.%","% Chg.")</f>
        <v>% Chg.</v>
      </c>
      <c r="J145" s="10">
        <v>2017</v>
      </c>
      <c r="K145" s="10">
        <v>2016</v>
      </c>
      <c r="L145" s="10" t="str">
        <f>+IF($B$3="esp","Var.%","% Chg.")</f>
        <v>% Chg.</v>
      </c>
      <c r="O145" s="9" t="str">
        <f>+IF($B$3="esp","Millones de €","€ Millions")</f>
        <v>€ Millions</v>
      </c>
      <c r="Q145" s="10">
        <v>2017</v>
      </c>
      <c r="R145" s="10">
        <v>2016</v>
      </c>
      <c r="S145" s="10" t="str">
        <f>+IF($B$3="esp","Var.%","% Chg.")</f>
        <v>% Chg.</v>
      </c>
      <c r="U145" s="10">
        <v>2017</v>
      </c>
      <c r="V145" s="10">
        <v>2016</v>
      </c>
      <c r="W145" s="10" t="str">
        <f>+IF($B$3="esp","Var.%","% Chg.")</f>
        <v>% Chg.</v>
      </c>
    </row>
    <row r="146" spans="4:23" ht="15" customHeight="1">
      <c r="D146" s="11" t="str">
        <f>+IF($B$3="esp","Ingresos de Explotación Ajustados","Operating Adjusted Revenues")</f>
        <v>Operating Adjusted Revenues</v>
      </c>
      <c r="F146" s="12"/>
      <c r="G146" s="12"/>
      <c r="H146" s="12"/>
      <c r="J146" s="12"/>
      <c r="K146" s="12"/>
      <c r="L146" s="12"/>
      <c r="O146" s="11" t="str">
        <f>+IF($B$3="esp","Ingresos de Explotación","Operating Revenues")</f>
        <v>Operating Revenues</v>
      </c>
      <c r="Q146" s="12"/>
      <c r="R146" s="12"/>
      <c r="S146" s="12"/>
      <c r="U146" s="12"/>
      <c r="V146" s="12"/>
      <c r="W146" s="12"/>
    </row>
    <row r="147" spans="4:23" ht="15" customHeight="1">
      <c r="D147" s="13" t="str">
        <f>+IF($B$3="esp","GRUPO","GROUP")</f>
        <v>GROUP</v>
      </c>
      <c r="E147" s="13"/>
      <c r="F147" s="14">
        <f>+[1]GRUPO!AC121</f>
        <v>1166.0714728490698</v>
      </c>
      <c r="G147" s="15">
        <f>+[1]GRUPO!AD121</f>
        <v>1175.8870385656267</v>
      </c>
      <c r="H147" s="16">
        <f t="shared" ref="H147:H152" si="42">IF(G147=0,"---",IF(OR(ABS((F147-G147)/ABS(G147))&gt;2,(F147*G147)&lt;0),"---",IF(G147="0","---",((F147-G147)/ABS(G147))*100)))</f>
        <v>-0.83473712989728355</v>
      </c>
      <c r="J147" s="14">
        <f>+[1]GRUPO!AG121</f>
        <v>277.10391840573789</v>
      </c>
      <c r="K147" s="15">
        <f>+[1]GRUPO!AH121</f>
        <v>278.48066630740368</v>
      </c>
      <c r="L147" s="16">
        <f t="shared" ref="L147:L152" si="43">IF(K147=0,"---",IF(OR(ABS((J147-K147)/ABS(K147))&gt;2,(J147*K147)&lt;0),"---",IF(K147="0","---",((J147-K147)/ABS(K147))*100)))</f>
        <v>-0.49437827046350769</v>
      </c>
      <c r="O147" s="13" t="str">
        <f>+IF($B$3="esp","Total Santillana","Total Santillana")</f>
        <v>Total Santillana</v>
      </c>
      <c r="P147" s="13"/>
      <c r="Q147" s="14">
        <f>+[1]SANTILLANA!AC106</f>
        <v>656.20281064317601</v>
      </c>
      <c r="R147" s="15">
        <f>+[1]SANTILLANA!AD106</f>
        <v>632.60800148140481</v>
      </c>
      <c r="S147" s="16">
        <f>IF(R147=0,"---",IF(OR(ABS((Q147-R147)/ABS(R147))&gt;2,(Q147*R147)&lt;0),"---",IF(R147="0","---",((Q147-R147)/ABS(R147))*100)))</f>
        <v>3.7297677402938683</v>
      </c>
      <c r="U147" s="14">
        <f>+[1]SANTILLANA!AG106</f>
        <v>133.59365224861506</v>
      </c>
      <c r="V147" s="15">
        <f>+[1]SANTILLANA!AH106</f>
        <v>119.07318307506182</v>
      </c>
      <c r="W147" s="16">
        <f>IF(V147=0,"---",IF(OR(ABS((U147-V147)/ABS(V147))&gt;2,(U147*V147)&lt;0),"---",IF(V147="0","---",((U147-V147)/ABS(V147))*100)))</f>
        <v>12.194575469104381</v>
      </c>
    </row>
    <row r="148" spans="4:23" s="13" customFormat="1" ht="15" customHeight="1">
      <c r="D148" s="17" t="str">
        <f>+IF($B$3="esp","Educación","Education")</f>
        <v>Education</v>
      </c>
      <c r="E148" s="1"/>
      <c r="F148" s="18">
        <f>+[1]GRUPO!AC122</f>
        <v>656.20281064317601</v>
      </c>
      <c r="G148" s="19">
        <f>+[1]GRUPO!AD122</f>
        <v>632.60800148140481</v>
      </c>
      <c r="H148" s="20">
        <f t="shared" si="42"/>
        <v>3.7297677402938683</v>
      </c>
      <c r="J148" s="18">
        <f>+[1]GRUPO!AG122</f>
        <v>133.59365224861506</v>
      </c>
      <c r="K148" s="19">
        <f>+[1]GRUPO!AH122</f>
        <v>119.07318307506182</v>
      </c>
      <c r="L148" s="20">
        <f t="shared" si="43"/>
        <v>12.194575469104381</v>
      </c>
      <c r="O148" s="17" t="str">
        <f>+IF($B$3="esp","Educación Tradicional y Compartir","Traditional Education and Compartir")</f>
        <v>Traditional Education and Compartir</v>
      </c>
      <c r="P148" s="1"/>
      <c r="Q148" s="18">
        <f>+[1]SANTILLANA!AC107</f>
        <v>592.47257158654543</v>
      </c>
      <c r="R148" s="19">
        <f>+[1]SANTILLANA!AD107</f>
        <v>568.95013342332072</v>
      </c>
      <c r="S148" s="20">
        <f>IF(R148=0,"---",IF(OR(ABS((Q148-R148)/ABS(R148))&gt;2,(Q148*R148)&lt;0),"---",IF(R148="0","---",((Q148-R148)/ABS(R148))*100)))</f>
        <v>4.1343584931938331</v>
      </c>
      <c r="U148" s="18">
        <f>+[1]SANTILLANA!AG107</f>
        <v>110.99569648818567</v>
      </c>
      <c r="V148" s="19">
        <f>+[1]SANTILLANA!AH107</f>
        <v>98.422172339721669</v>
      </c>
      <c r="W148" s="20">
        <f>IF(V148=0,"---",IF(OR(ABS((U148-V148)/ABS(V148))&gt;2,(U148*V148)&lt;0),"---",IF(V148="0","---",((U148-V148)/ABS(V148))*100)))</f>
        <v>12.775093101038498</v>
      </c>
    </row>
    <row r="149" spans="4:23" ht="15" customHeight="1">
      <c r="D149" s="17" t="str">
        <f>+IF($B$3="esp","Radio","Radio")</f>
        <v>Radio</v>
      </c>
      <c r="F149" s="18">
        <f>+[1]GRUPO!AC123</f>
        <v>280.66641862949501</v>
      </c>
      <c r="G149" s="19">
        <f>+[1]GRUPO!AD123</f>
        <v>301.051233708707</v>
      </c>
      <c r="H149" s="20">
        <f t="shared" si="42"/>
        <v>-6.7712112746018684</v>
      </c>
      <c r="J149" s="18">
        <f>+[1]GRUPO!AG123</f>
        <v>77.845381979145998</v>
      </c>
      <c r="K149" s="19">
        <f>+[1]GRUPO!AH123</f>
        <v>93.30436801573299</v>
      </c>
      <c r="L149" s="20">
        <f t="shared" si="43"/>
        <v>-16.568341188464291</v>
      </c>
      <c r="O149" s="26" t="str">
        <f>+IF($B$3="esp","Campaña Sur","South Campaign")</f>
        <v>South Campaign</v>
      </c>
      <c r="Q149" s="18">
        <f>+[1]SANTILLANA!AC108</f>
        <v>347.65482391049943</v>
      </c>
      <c r="R149" s="19">
        <f>+[1]SANTILLANA!AD108</f>
        <v>303.67586060555919</v>
      </c>
      <c r="S149" s="20">
        <f>IF(R149=0,"---",IF(OR(ABS((Q149-R149)/ABS(R149))&gt;2,(Q149*R149)&lt;0),"---",IF(R149="0","---",((Q149-R149)/ABS(R149))*100)))</f>
        <v>14.48220586820497</v>
      </c>
      <c r="U149" s="18">
        <f>+[1]SANTILLANA!AG108</f>
        <v>125.96024405768645</v>
      </c>
      <c r="V149" s="19">
        <f>+[1]SANTILLANA!AH108</f>
        <v>105.10224153352462</v>
      </c>
      <c r="W149" s="20">
        <f>IF(V149=0,"---",IF(OR(ABS((U149-V149)/ABS(V149))&gt;2,(U149*V149)&lt;0),"---",IF(V149="0","---",((U149-V149)/ABS(V149))*100)))</f>
        <v>19.845440230224515</v>
      </c>
    </row>
    <row r="150" spans="4:23" ht="15" customHeight="1">
      <c r="D150" s="17" t="str">
        <f>+IF($B$3="esp","Prensa","Press")</f>
        <v>Press</v>
      </c>
      <c r="F150" s="18">
        <f>+[1]GRUPO!AC124</f>
        <v>220.57753956794599</v>
      </c>
      <c r="G150" s="19">
        <f>+[1]GRUPO!AD124</f>
        <v>239.895761417221</v>
      </c>
      <c r="H150" s="20">
        <f t="shared" si="42"/>
        <v>-8.0527566369449985</v>
      </c>
      <c r="J150" s="18">
        <f>+[1]GRUPO!AG124</f>
        <v>63.156584846401017</v>
      </c>
      <c r="K150" s="19">
        <f>+[1]GRUPO!AH124</f>
        <v>65.82335325206401</v>
      </c>
      <c r="L150" s="20">
        <f t="shared" si="43"/>
        <v>-4.0514016286147969</v>
      </c>
      <c r="O150" s="26" t="str">
        <f>+IF($B$3="esp","Campaña Norte","North Campaign")</f>
        <v>North Campaign</v>
      </c>
      <c r="Q150" s="18">
        <f>+[1]SANTILLANA!AC109</f>
        <v>244.78572991047278</v>
      </c>
      <c r="R150" s="19">
        <f>+[1]SANTILLANA!AD109</f>
        <v>265.34424492882192</v>
      </c>
      <c r="S150" s="20">
        <f>IF(R150=0,"---",IF(OR(ABS((Q150-R150)/ABS(R150))&gt;2,(Q150*R150)&lt;0),"---",IF(R150="0","---",((Q150-R150)/ABS(R150))*100)))</f>
        <v>-7.7478654281210897</v>
      </c>
      <c r="U150" s="18">
        <f>+[1]SANTILLANA!AG109</f>
        <v>-14.992686242437827</v>
      </c>
      <c r="V150" s="19">
        <f>+[1]SANTILLANA!AH109</f>
        <v>-6.6387839625625134</v>
      </c>
      <c r="W150" s="20">
        <f>IF(V150=0,"---",IF(OR(ABS((U150-V150)/ABS(V150))&gt;2,(U150*V150)&lt;0),"---",IF(V150="0","---",((U150-V150)/ABS(V150))*100)))</f>
        <v>-125.83482648305338</v>
      </c>
    </row>
    <row r="151" spans="4:23" s="13" customFormat="1" ht="15" customHeight="1">
      <c r="D151" s="17" t="str">
        <f>+IF($B$3="esp","Audiovisual","Audiovisual")</f>
        <v>Audiovisual</v>
      </c>
      <c r="E151" s="1"/>
      <c r="F151" s="18">
        <f>+[1]GRUPO!AC125</f>
        <v>2.4995663399999999</v>
      </c>
      <c r="G151" s="19">
        <f>+[1]GRUPO!AD125</f>
        <v>1.31980678</v>
      </c>
      <c r="H151" s="20">
        <f t="shared" si="42"/>
        <v>89.388808867916254</v>
      </c>
      <c r="I151" s="1"/>
      <c r="J151" s="18">
        <f>+[1]GRUPO!AG125</f>
        <v>0.95699892999999969</v>
      </c>
      <c r="K151" s="19">
        <f>+[1]GRUPO!AH125</f>
        <v>7.7402680000000057E-2</v>
      </c>
      <c r="L151" s="20" t="str">
        <f t="shared" si="43"/>
        <v>---</v>
      </c>
      <c r="O151" s="17" t="str">
        <f>+IF($B$3="esp","Sistema UNO","UNO System")</f>
        <v>UNO System</v>
      </c>
      <c r="P151" s="1"/>
      <c r="Q151" s="18">
        <f>+[1]SANTILLANA!AC110</f>
        <v>63.730239056630523</v>
      </c>
      <c r="R151" s="19">
        <f>+[1]SANTILLANA!AD110</f>
        <v>63.657868058084112</v>
      </c>
      <c r="S151" s="20">
        <f>IF(R151=0,"---",IF(OR(ABS((Q151-R151)/ABS(R151))&gt;2,(Q151*R151)&lt;0),"---",IF(R151="0","---",((Q151-R151)/ABS(R151))*100)))</f>
        <v>0.11368743684657617</v>
      </c>
      <c r="U151" s="18">
        <f>+[1]SANTILLANA!AG110</f>
        <v>22.597955760429329</v>
      </c>
      <c r="V151" s="19">
        <f>+[1]SANTILLANA!AH110</f>
        <v>20.651010735340158</v>
      </c>
      <c r="W151" s="20">
        <f>IF(V151=0,"---",IF(OR(ABS((U151-V151)/ABS(V151))&gt;2,(U151*V151)&lt;0),"---",IF(V151="0","---",((U151-V151)/ABS(V151))*100)))</f>
        <v>9.4278437508017774</v>
      </c>
    </row>
    <row r="152" spans="4:23" ht="15" customHeight="1">
      <c r="D152" s="17" t="str">
        <f>+IF($B$3="esp","Otros","Others")</f>
        <v>Others</v>
      </c>
      <c r="F152" s="18">
        <f>+[1]GRUPO!AC126</f>
        <v>6.1251376684527674</v>
      </c>
      <c r="G152" s="19">
        <f>+[1]GRUPO!AD126</f>
        <v>1.0122351782938428</v>
      </c>
      <c r="H152" s="20" t="str">
        <f t="shared" si="42"/>
        <v>---</v>
      </c>
      <c r="J152" s="18">
        <f>+[1]GRUPO!AG126</f>
        <v>1.5513004015758138</v>
      </c>
      <c r="K152" s="19">
        <f>+[1]GRUPO!AH126</f>
        <v>0.20235928454486052</v>
      </c>
      <c r="L152" s="20" t="str">
        <f t="shared" si="43"/>
        <v>---</v>
      </c>
      <c r="O152" s="17"/>
      <c r="Q152" s="19"/>
      <c r="R152" s="19"/>
      <c r="S152" s="20"/>
      <c r="U152" s="19"/>
      <c r="V152" s="19"/>
      <c r="W152" s="20"/>
    </row>
    <row r="153" spans="4:23" ht="15" customHeight="1"/>
    <row r="154" spans="4:23" ht="15" customHeight="1">
      <c r="D154" s="17"/>
      <c r="F154" s="19"/>
      <c r="G154" s="19"/>
      <c r="H154" s="20"/>
      <c r="I154" s="13"/>
      <c r="J154" s="19"/>
      <c r="K154" s="19"/>
      <c r="L154" s="20"/>
      <c r="Q154" s="7" t="str">
        <f>+Q143</f>
        <v>ENERO - DICIEMBRE</v>
      </c>
      <c r="R154" s="8"/>
      <c r="S154" s="8"/>
      <c r="U154" s="7" t="str">
        <f>+U143</f>
        <v>OCTUBRE - DICIEMBRE</v>
      </c>
      <c r="V154" s="8"/>
      <c r="W154" s="8"/>
    </row>
    <row r="155" spans="4:23" s="13" customFormat="1" ht="4.5" customHeight="1">
      <c r="D155" s="17"/>
      <c r="E155" s="1"/>
      <c r="F155" s="19"/>
      <c r="G155" s="19"/>
      <c r="H155" s="20"/>
      <c r="I155" s="1"/>
      <c r="J155" s="19"/>
      <c r="K155" s="19"/>
      <c r="L155" s="20"/>
      <c r="O155" s="1"/>
      <c r="P155" s="1"/>
      <c r="Q155" s="1"/>
      <c r="R155" s="1"/>
      <c r="S155" s="1"/>
      <c r="U155" s="1"/>
      <c r="V155" s="1"/>
      <c r="W155" s="1"/>
    </row>
    <row r="156" spans="4:23" ht="15" customHeight="1">
      <c r="O156" s="9" t="str">
        <f>+IF($B$3="esp","Millones de €","€ Millions")</f>
        <v>€ Millions</v>
      </c>
      <c r="Q156" s="10">
        <v>2017</v>
      </c>
      <c r="R156" s="10">
        <v>2016</v>
      </c>
      <c r="S156" s="10" t="str">
        <f>+IF($B$3="esp","Var.%","% Chg.")</f>
        <v>% Chg.</v>
      </c>
      <c r="U156" s="10">
        <v>2017</v>
      </c>
      <c r="V156" s="10">
        <v>2016</v>
      </c>
      <c r="W156" s="10" t="str">
        <f>+IF($B$3="esp","Var.%","% Chg.")</f>
        <v>% Chg.</v>
      </c>
    </row>
    <row r="157" spans="4:23" ht="15" customHeight="1">
      <c r="F157" s="7" t="str">
        <f>+F143</f>
        <v>ENERO - DICIEMBRE</v>
      </c>
      <c r="G157" s="8"/>
      <c r="H157" s="8"/>
      <c r="J157" s="7" t="str">
        <f>+J143</f>
        <v>OCTUBRE - DICIEMBRE</v>
      </c>
      <c r="K157" s="8"/>
      <c r="L157" s="8"/>
      <c r="O157" s="11" t="str">
        <f>+IF($B$3="esp","Ingresos de Explotación ajustados a tipo constante","Operating Revenues at constant currency")</f>
        <v>Operating Revenues at constant currency</v>
      </c>
      <c r="Q157" s="12"/>
      <c r="R157" s="12"/>
      <c r="S157" s="12"/>
      <c r="U157" s="12"/>
      <c r="V157" s="12"/>
      <c r="W157" s="12"/>
    </row>
    <row r="158" spans="4:23" ht="15" customHeight="1">
      <c r="I158" s="13"/>
      <c r="O158" s="13" t="str">
        <f>+IF($B$3="esp","Total Santillana","Total Santillana")</f>
        <v>Total Santillana</v>
      </c>
      <c r="P158" s="13"/>
      <c r="Q158" s="14">
        <f>+[1]SANTILLANA!AC117</f>
        <v>647.94682018204219</v>
      </c>
      <c r="R158" s="15">
        <f>+[1]SANTILLANA!AD117</f>
        <v>632.60800148140481</v>
      </c>
      <c r="S158" s="16">
        <f>IF(R158=0,"---",IF(OR(ABS((Q158-R158)/ABS(R158))&gt;2,(Q158*R158)&lt;0),"---",IF(R158="0","---",((Q158-R158)/ABS(R158))*100)))</f>
        <v>2.4246956511327422</v>
      </c>
      <c r="U158" s="14">
        <f>+[1]SANTILLANA!AG117</f>
        <v>143.4201713281866</v>
      </c>
      <c r="V158" s="15">
        <f>+[1]SANTILLANA!AH117</f>
        <v>119.07318307506182</v>
      </c>
      <c r="W158" s="16">
        <f>IF(V158=0,"---",IF(OR(ABS((U158-V158)/ABS(V158))&gt;2,(U158*V158)&lt;0),"---",IF(V158="0","---",((U158-V158)/ABS(V158))*100)))</f>
        <v>20.447079371160196</v>
      </c>
    </row>
    <row r="159" spans="4:23" ht="15" customHeight="1">
      <c r="D159" s="9" t="str">
        <f>+IF($B$3="esp","Millones de €","€ Millions")</f>
        <v>€ Millions</v>
      </c>
      <c r="F159" s="10">
        <v>2017</v>
      </c>
      <c r="G159" s="10">
        <v>2016</v>
      </c>
      <c r="H159" s="10" t="str">
        <f>+IF($B$3="esp","Var.%","% Chg.")</f>
        <v>% Chg.</v>
      </c>
      <c r="J159" s="10">
        <v>2017</v>
      </c>
      <c r="K159" s="10">
        <v>2016</v>
      </c>
      <c r="L159" s="10" t="str">
        <f>+IF($B$3="esp","Var.%","% Chg.")</f>
        <v>% Chg.</v>
      </c>
      <c r="O159" s="17" t="str">
        <f>+IF($B$3="esp","Educación Tradicional y Compartir","Traditional Education and Compartir")</f>
        <v>Traditional Education and Compartir</v>
      </c>
      <c r="Q159" s="18">
        <f>+[1]SANTILLANA!AC118</f>
        <v>585.19675280703495</v>
      </c>
      <c r="R159" s="19">
        <f>+[1]SANTILLANA!AD118</f>
        <v>568.95013342332072</v>
      </c>
      <c r="S159" s="20">
        <f>IF(R159=0,"---",IF(OR(ABS((Q159-R159)/ABS(R159))&gt;2,(Q159*R159)&lt;0),"---",IF(R159="0","---",((Q159-R159)/ABS(R159))*100)))</f>
        <v>2.8555436459711885</v>
      </c>
      <c r="U159" s="18">
        <f>+[1]SANTILLANA!AG118</f>
        <v>119.5202050987732</v>
      </c>
      <c r="V159" s="19">
        <f>+[1]SANTILLANA!AH118</f>
        <v>98.422172339721669</v>
      </c>
      <c r="W159" s="20">
        <f>IF(V159=0,"---",IF(OR(ABS((U159-V159)/ABS(V159))&gt;2,(U159*V159)&lt;0),"---",IF(V159="0","---",((U159-V159)/ABS(V159))*100)))</f>
        <v>21.436259998639244</v>
      </c>
    </row>
    <row r="160" spans="4:23" ht="15" customHeight="1">
      <c r="D160" s="11" t="str">
        <f>+IF($B$3="esp","EBITDA Ajustado","Adjusted EBITDA")</f>
        <v>Adjusted EBITDA</v>
      </c>
      <c r="F160" s="12"/>
      <c r="G160" s="12"/>
      <c r="H160" s="12"/>
      <c r="J160" s="12"/>
      <c r="K160" s="12"/>
      <c r="L160" s="12"/>
      <c r="O160" s="26" t="str">
        <f>+IF($B$3="esp","Campaña Sur","South Campaign")</f>
        <v>South Campaign</v>
      </c>
      <c r="Q160" s="18">
        <f>+[1]SANTILLANA!AC119</f>
        <v>339.13579378241968</v>
      </c>
      <c r="R160" s="19">
        <f>+[1]SANTILLANA!AD119</f>
        <v>303.67586060555919</v>
      </c>
      <c r="S160" s="20">
        <f>IF(R160=0,"---",IF(OR(ABS((Q160-R160)/ABS(R160))&gt;2,(Q160*R160)&lt;0),"---",IF(R160="0","---",((Q160-R160)/ABS(R160))*100)))</f>
        <v>11.676902176600382</v>
      </c>
      <c r="U160" s="18">
        <f>+[1]SANTILLANA!AG119</f>
        <v>133.92687876927164</v>
      </c>
      <c r="V160" s="19">
        <f>+[1]SANTILLANA!AH119</f>
        <v>105.10224153352462</v>
      </c>
      <c r="W160" s="20">
        <f>IF(V160=0,"---",IF(OR(ABS((U160-V160)/ABS(V160))&gt;2,(U160*V160)&lt;0),"---",IF(V160="0","---",((U160-V160)/ABS(V160))*100)))</f>
        <v>27.425330625848527</v>
      </c>
    </row>
    <row r="161" spans="4:23" ht="15" customHeight="1">
      <c r="D161" s="13" t="str">
        <f>+IF($B$3="esp","GRUPO","GROUP")</f>
        <v>GROUP</v>
      </c>
      <c r="E161" s="13"/>
      <c r="F161" s="14">
        <f>+[1]GRUPO!AC134</f>
        <v>230.26007411471201</v>
      </c>
      <c r="G161" s="15">
        <f>+[1]GRUPO!AD134</f>
        <v>229.62580790043469</v>
      </c>
      <c r="H161" s="16">
        <f t="shared" ref="H161:H166" si="44">IF(G161=0,"---",IF(OR(ABS((F161-G161)/ABS(G161))&gt;2,(F161*G161)&lt;0),"---",IF(G161="0","---",((F161-G161)/ABS(G161))*100)))</f>
        <v>0.27621730330605282</v>
      </c>
      <c r="J161" s="14">
        <f>+[1]GRUPO!AG134</f>
        <v>41.018252588973098</v>
      </c>
      <c r="K161" s="15">
        <f>+[1]GRUPO!AH134</f>
        <v>44.533968698237999</v>
      </c>
      <c r="L161" s="16">
        <f t="shared" ref="L161:L166" si="45">IF(K161=0,"---",IF(OR(ABS((J161-K161)/ABS(K161))&gt;2,(J161*K161)&lt;0),"---",IF(K161="0","---",((J161-K161)/ABS(K161))*100)))</f>
        <v>-7.8944594700000339</v>
      </c>
      <c r="O161" s="26" t="str">
        <f>+IF($B$3="esp","Campaña Norte","North Campaign")</f>
        <v>North Campaign</v>
      </c>
      <c r="Q161" s="18">
        <f>+[1]SANTILLANA!AC120</f>
        <v>246.028941259042</v>
      </c>
      <c r="R161" s="19">
        <f>+[1]SANTILLANA!AD120</f>
        <v>265.34424492882192</v>
      </c>
      <c r="S161" s="20">
        <f>IF(R161=0,"---",IF(OR(ABS((Q161-R161)/ABS(R161))&gt;2,(Q161*R161)&lt;0),"---",IF(R161="0","---",((Q161-R161)/ABS(R161))*100)))</f>
        <v>-7.2793377052369141</v>
      </c>
      <c r="U161" s="18">
        <f>+[1]SANTILLANA!AG120</f>
        <v>-14.434812343435595</v>
      </c>
      <c r="V161" s="19">
        <f>+[1]SANTILLANA!AH120</f>
        <v>-6.6387839625625134</v>
      </c>
      <c r="W161" s="20">
        <f>IF(V161=0,"---",IF(OR(ABS((U161-V161)/ABS(V161))&gt;2,(U161*V161)&lt;0),"---",IF(V161="0","---",((U161-V161)/ABS(V161))*100)))</f>
        <v>-117.43157218003344</v>
      </c>
    </row>
    <row r="162" spans="4:23" s="13" customFormat="1" ht="15" customHeight="1">
      <c r="D162" s="17" t="str">
        <f>+IF($B$3="esp","Educación","Education")</f>
        <v>Education</v>
      </c>
      <c r="E162" s="1"/>
      <c r="F162" s="18">
        <f>+[1]GRUPO!AC135</f>
        <v>187.12464595384824</v>
      </c>
      <c r="G162" s="19">
        <f>+[1]GRUPO!AD135</f>
        <v>180.24354300837336</v>
      </c>
      <c r="H162" s="20">
        <f t="shared" si="44"/>
        <v>3.8176695989354865</v>
      </c>
      <c r="I162" s="1"/>
      <c r="J162" s="18">
        <f>+[1]GRUPO!AG135</f>
        <v>19.53452074239803</v>
      </c>
      <c r="K162" s="19">
        <f>+[1]GRUPO!AH135</f>
        <v>13.006834505259974</v>
      </c>
      <c r="L162" s="20">
        <f t="shared" si="45"/>
        <v>50.186586401927805</v>
      </c>
      <c r="O162" s="17" t="str">
        <f>+IF($B$3="esp","Sistema UNO","UNO System")</f>
        <v>UNO System</v>
      </c>
      <c r="P162" s="1"/>
      <c r="Q162" s="18">
        <f>+[1]SANTILLANA!AC121</f>
        <v>62.750067375007255</v>
      </c>
      <c r="R162" s="19">
        <f>+[1]SANTILLANA!AD121</f>
        <v>63.657868058084112</v>
      </c>
      <c r="S162" s="20">
        <f>IF(R162=0,"---",IF(OR(ABS((Q162-R162)/ABS(R162))&gt;2,(Q162*R162)&lt;0),"---",IF(R162="0","---",((Q162-R162)/ABS(R162))*100)))</f>
        <v>-1.4260620262188828</v>
      </c>
      <c r="U162" s="18">
        <f>+[1]SANTILLANA!AG121</f>
        <v>23.89996622941343</v>
      </c>
      <c r="V162" s="19">
        <f>+[1]SANTILLANA!AH121</f>
        <v>20.651010735340158</v>
      </c>
      <c r="W162" s="20">
        <f>IF(V162=0,"---",IF(OR(ABS((U162-V162)/ABS(V162))&gt;2,(U162*V162)&lt;0),"---",IF(V162="0","---",((U162-V162)/ABS(V162))*100)))</f>
        <v>15.73267059763482</v>
      </c>
    </row>
    <row r="163" spans="4:23" ht="15" customHeight="1">
      <c r="D163" s="17" t="str">
        <f>+IF($B$3="esp","Radio","Radio")</f>
        <v>Radio</v>
      </c>
      <c r="F163" s="18">
        <f>+[1]GRUPO!AC136</f>
        <v>46.556025480226296</v>
      </c>
      <c r="G163" s="19">
        <f>+[1]GRUPO!AD136</f>
        <v>46.673510881185237</v>
      </c>
      <c r="H163" s="20">
        <f t="shared" si="44"/>
        <v>-0.25171751329789305</v>
      </c>
      <c r="J163" s="18">
        <f>+[1]GRUPO!AG136</f>
        <v>18.089371214075818</v>
      </c>
      <c r="K163" s="19">
        <f>+[1]GRUPO!AH136</f>
        <v>22.540205619784057</v>
      </c>
      <c r="L163" s="20">
        <f t="shared" si="45"/>
        <v>-19.746201435720884</v>
      </c>
      <c r="O163" s="17"/>
      <c r="Q163" s="19"/>
      <c r="R163" s="19"/>
      <c r="S163" s="20"/>
      <c r="U163" s="19"/>
      <c r="V163" s="19"/>
      <c r="W163" s="20"/>
    </row>
    <row r="164" spans="4:23" s="13" customFormat="1" ht="15" customHeight="1">
      <c r="D164" s="17" t="str">
        <f>+IF($B$3="esp","Prensa","Press")</f>
        <v>Press</v>
      </c>
      <c r="E164" s="1"/>
      <c r="F164" s="18">
        <f>+[1]GRUPO!AC137</f>
        <v>12.478501778196689</v>
      </c>
      <c r="G164" s="19">
        <f>+[1]GRUPO!AD137</f>
        <v>16.813236612847511</v>
      </c>
      <c r="H164" s="20">
        <f t="shared" si="44"/>
        <v>-25.781679842288774</v>
      </c>
      <c r="I164" s="1"/>
      <c r="J164" s="18">
        <f>+[1]GRUPO!AG137</f>
        <v>7.9657712787232597</v>
      </c>
      <c r="K164" s="19">
        <f>+[1]GRUPO!AH137</f>
        <v>9.3261688933286067</v>
      </c>
      <c r="L164" s="20">
        <f t="shared" si="45"/>
        <v>-14.586885892432159</v>
      </c>
      <c r="O164" s="1"/>
      <c r="P164" s="1"/>
      <c r="Q164" s="1"/>
      <c r="R164" s="1"/>
      <c r="S164" s="1"/>
      <c r="U164" s="1"/>
      <c r="V164" s="1"/>
      <c r="W164" s="1"/>
    </row>
    <row r="165" spans="4:23" ht="15" customHeight="1">
      <c r="D165" s="17" t="str">
        <f>+IF($B$3="esp","Audiovisual","Audiovisual")</f>
        <v>Audiovisual</v>
      </c>
      <c r="F165" s="18">
        <f>+[1]GRUPO!AC138</f>
        <v>-1.7412451799999999</v>
      </c>
      <c r="G165" s="19">
        <f>+[1]GRUPO!AD138</f>
        <v>-1.9588774499999999</v>
      </c>
      <c r="H165" s="20">
        <f t="shared" si="44"/>
        <v>11.11005029947126</v>
      </c>
      <c r="J165" s="18">
        <f>+[1]GRUPO!AG138</f>
        <v>-0.25607229000000009</v>
      </c>
      <c r="K165" s="19">
        <f>+[1]GRUPO!AH138</f>
        <v>-0.85366639000000011</v>
      </c>
      <c r="L165" s="20">
        <f t="shared" si="45"/>
        <v>70.003236275941461</v>
      </c>
    </row>
    <row r="166" spans="4:23" ht="15" customHeight="1">
      <c r="D166" s="17" t="str">
        <f>+IF($B$3="esp","Otros","Others")</f>
        <v>Others</v>
      </c>
      <c r="F166" s="18">
        <f>+[1]GRUPO!AC139</f>
        <v>-14.157853917559217</v>
      </c>
      <c r="G166" s="19">
        <f>+[1]GRUPO!AD139</f>
        <v>-12.14560515197142</v>
      </c>
      <c r="H166" s="20">
        <f t="shared" si="44"/>
        <v>-16.56771103958684</v>
      </c>
      <c r="J166" s="18">
        <f>+[1]GRUPO!AG139</f>
        <v>-4.3153383562240091</v>
      </c>
      <c r="K166" s="19">
        <f>+[1]GRUPO!AH139</f>
        <v>0.51442606986535999</v>
      </c>
      <c r="L166" s="20" t="str">
        <f t="shared" si="45"/>
        <v>---</v>
      </c>
    </row>
    <row r="167" spans="4:23" ht="15" customHeight="1">
      <c r="Q167" s="7" t="str">
        <f>+Q154</f>
        <v>ENERO - DICIEMBRE</v>
      </c>
      <c r="R167" s="8"/>
      <c r="S167" s="8"/>
      <c r="U167" s="7" t="str">
        <f>+U154</f>
        <v>OCTUBRE - DICIEMBRE</v>
      </c>
      <c r="V167" s="8"/>
      <c r="W167" s="8"/>
    </row>
    <row r="168" spans="4:23" s="13" customFormat="1" ht="15" customHeight="1">
      <c r="D168" s="17"/>
      <c r="E168" s="1"/>
      <c r="F168" s="19"/>
      <c r="G168" s="19"/>
      <c r="H168" s="20"/>
      <c r="J168" s="19"/>
      <c r="K168" s="19"/>
      <c r="L168" s="20"/>
      <c r="O168" s="1"/>
      <c r="P168" s="1"/>
      <c r="Q168" s="1"/>
      <c r="R168" s="1"/>
      <c r="S168" s="1"/>
      <c r="U168" s="1"/>
      <c r="V168" s="1"/>
      <c r="W168" s="1"/>
    </row>
    <row r="169" spans="4:23" ht="15" customHeight="1">
      <c r="D169" s="17"/>
      <c r="F169" s="19"/>
      <c r="G169" s="19"/>
      <c r="H169" s="20"/>
      <c r="J169" s="19"/>
      <c r="K169" s="19"/>
      <c r="L169" s="20"/>
      <c r="O169" s="9" t="str">
        <f>+IF($B$3="esp","Millones de €","€ Millions")</f>
        <v>€ Millions</v>
      </c>
      <c r="Q169" s="10">
        <v>2017</v>
      </c>
      <c r="R169" s="10">
        <v>2016</v>
      </c>
      <c r="S169" s="10" t="str">
        <f>+IF($B$3="esp","Var.%","% Chg.")</f>
        <v>% Chg.</v>
      </c>
      <c r="U169" s="10">
        <v>2017</v>
      </c>
      <c r="V169" s="10">
        <v>2016</v>
      </c>
      <c r="W169" s="10" t="str">
        <f>+IF($B$3="esp","Var.%","% Chg.")</f>
        <v>% Chg.</v>
      </c>
    </row>
    <row r="170" spans="4:23" ht="15" customHeight="1">
      <c r="O170" s="11" t="str">
        <f>+IF($B$3="esp","EBITDA Ajustado","Adjusted EBITDA")</f>
        <v>Adjusted EBITDA</v>
      </c>
      <c r="Q170" s="12"/>
      <c r="R170" s="12"/>
      <c r="S170" s="12"/>
      <c r="U170" s="12"/>
      <c r="V170" s="12"/>
      <c r="W170" s="12"/>
    </row>
    <row r="171" spans="4:23" ht="15" customHeight="1">
      <c r="O171" s="13" t="str">
        <f>+IF($B$3="esp","Total Santillana","Total Santillana")</f>
        <v>Total Santillana</v>
      </c>
      <c r="P171" s="13"/>
      <c r="Q171" s="14">
        <f>+[1]SANTILLANA!AC130</f>
        <v>187.12464595384824</v>
      </c>
      <c r="R171" s="15">
        <f>+[1]SANTILLANA!AD130</f>
        <v>180.24354300837336</v>
      </c>
      <c r="S171" s="16">
        <f>IF(R171=0,"---",IF(OR(ABS((Q171-R171)/ABS(R171))&gt;2,(Q171*R171)&lt;0),"---",IF(R171="0","---",((Q171-R171)/ABS(R171))*100)))</f>
        <v>3.8176695989354865</v>
      </c>
      <c r="U171" s="14">
        <f>+[1]SANTILLANA!AG130</f>
        <v>19.53452074239803</v>
      </c>
      <c r="V171" s="15">
        <f>+[1]SANTILLANA!AH130</f>
        <v>13.006834505259974</v>
      </c>
      <c r="W171" s="16">
        <f>IF(V171=0,"---",IF(OR(ABS((U171-V171)/ABS(V171))&gt;2,(U171*V171)&lt;0),"---",IF(V171="0","---",((U171-V171)/ABS(V171))*100)))</f>
        <v>50.186586401927805</v>
      </c>
    </row>
    <row r="172" spans="4:23" ht="15" customHeight="1">
      <c r="O172" s="17" t="str">
        <f>+IF($B$3="esp","Educación Tradicional y Compartir","Traditional Education and Compartir")</f>
        <v>Traditional Education and Compartir</v>
      </c>
      <c r="Q172" s="18">
        <f>+[1]SANTILLANA!AC131</f>
        <v>167.00172305514064</v>
      </c>
      <c r="R172" s="19">
        <f>+[1]SANTILLANA!AD131</f>
        <v>158.15568286151864</v>
      </c>
      <c r="S172" s="20">
        <f>IF(R172=0,"---",IF(OR(ABS((Q172-R172)/ABS(R172))&gt;2,(Q172*R172)&lt;0),"---",IF(R172="0","---",((Q172-R172)/ABS(R172))*100)))</f>
        <v>5.5932483952332008</v>
      </c>
      <c r="U172" s="18">
        <f>+[1]SANTILLANA!AG131</f>
        <v>8.8279379836515943</v>
      </c>
      <c r="V172" s="19">
        <f>+[1]SANTILLANA!AH131</f>
        <v>3.3635259213878612</v>
      </c>
      <c r="W172" s="20">
        <f>IF(V172=0,"---",IF(OR(ABS((U172-V172)/ABS(V172))&gt;2,(U172*V172)&lt;0),"---",IF(V172="0","---",((U172-V172)/ABS(V172))*100)))</f>
        <v>162.46082801136856</v>
      </c>
    </row>
    <row r="173" spans="4:23" ht="15" customHeight="1">
      <c r="O173" s="26" t="str">
        <f>+IF($B$3="esp","Campaña Sur","South Campaign")</f>
        <v>South Campaign</v>
      </c>
      <c r="Q173" s="18">
        <f>+[1]SANTILLANA!AC132</f>
        <v>113.06413967313787</v>
      </c>
      <c r="R173" s="19">
        <f>+[1]SANTILLANA!AD132</f>
        <v>92.396091502909712</v>
      </c>
      <c r="S173" s="20">
        <f>IF(R173=0,"---",IF(OR(ABS((Q173-R173)/ABS(R173))&gt;2,(Q173*R173)&lt;0),"---",IF(R173="0","---",((Q173-R173)/ABS(R173))*100)))</f>
        <v>22.36896370186534</v>
      </c>
      <c r="U173" s="18">
        <f>+[1]SANTILLANA!AG132</f>
        <v>53.493343363173956</v>
      </c>
      <c r="V173" s="19">
        <f>+[1]SANTILLANA!AH132</f>
        <v>45.283373013692021</v>
      </c>
      <c r="W173" s="20">
        <f>IF(V173=0,"---",IF(OR(ABS((U173-V173)/ABS(V173))&gt;2,(U173*V173)&lt;0),"---",IF(V173="0","---",((U173-V173)/ABS(V173))*100)))</f>
        <v>18.130209397165583</v>
      </c>
    </row>
    <row r="174" spans="4:23" ht="15" customHeight="1">
      <c r="O174" s="26" t="str">
        <f>+IF($B$3="esp","Campaña Norte","North Campaign")</f>
        <v>North Campaign</v>
      </c>
      <c r="Q174" s="18">
        <f>+[1]SANTILLANA!AC133</f>
        <v>53.923796206253812</v>
      </c>
      <c r="R174" s="19">
        <f>+[1]SANTILLANA!AD133</f>
        <v>65.760656125217579</v>
      </c>
      <c r="S174" s="20">
        <f>IF(R174=0,"---",IF(OR(ABS((Q174-R174)/ABS(R174))&gt;2,(Q174*R174)&lt;0),"---",IF(R174="0","---",((Q174-R174)/ABS(R174))*100)))</f>
        <v>-17.999911522209747</v>
      </c>
      <c r="U174" s="18">
        <f>+[1]SANTILLANA!AG133</f>
        <v>-44.667315007747177</v>
      </c>
      <c r="V174" s="19">
        <f>+[1]SANTILLANA!AH133</f>
        <v>-41.986325222090471</v>
      </c>
      <c r="W174" s="20">
        <f>IF(V174=0,"---",IF(OR(ABS((U174-V174)/ABS(V174))&gt;2,(U174*V174)&lt;0),"---",IF(V174="0","---",((U174-V174)/ABS(V174))*100)))</f>
        <v>-6.3853880316397493</v>
      </c>
    </row>
    <row r="175" spans="4:23" ht="15" customHeight="1">
      <c r="O175" s="17" t="str">
        <f>+IF($B$3="esp","Sistema UNO","UNO System")</f>
        <v>UNO System</v>
      </c>
      <c r="Q175" s="18">
        <f>+[1]SANTILLANA!AC134</f>
        <v>20.122922898707603</v>
      </c>
      <c r="R175" s="19">
        <f>+[1]SANTILLANA!AD134</f>
        <v>22.087860146854727</v>
      </c>
      <c r="S175" s="20">
        <f>IF(R175=0,"---",IF(OR(ABS((Q175-R175)/ABS(R175))&gt;2,(Q175*R175)&lt;0),"---",IF(R175="0","---",((Q175-R175)/ABS(R175))*100)))</f>
        <v>-8.8960054757813509</v>
      </c>
      <c r="U175" s="18">
        <f>+[1]SANTILLANA!AG134</f>
        <v>10.706582758746427</v>
      </c>
      <c r="V175" s="19">
        <f>+[1]SANTILLANA!AH134</f>
        <v>9.6433085838721073</v>
      </c>
      <c r="W175" s="20">
        <f>IF(V175=0,"---",IF(OR(ABS((U175-V175)/ABS(V175))&gt;2,(U175*V175)&lt;0),"---",IF(V175="0","---",((U175-V175)/ABS(V175))*100)))</f>
        <v>11.026030802878026</v>
      </c>
    </row>
    <row r="176" spans="4:23" ht="15" customHeight="1">
      <c r="O176" s="17"/>
      <c r="Q176" s="19"/>
      <c r="R176" s="19"/>
      <c r="S176" s="20"/>
      <c r="U176" s="19"/>
      <c r="V176" s="19"/>
      <c r="W176" s="20"/>
    </row>
    <row r="177" spans="15:23" ht="15" customHeight="1"/>
    <row r="178" spans="15:23" ht="15" customHeight="1">
      <c r="Q178" s="7" t="str">
        <f>+Q167</f>
        <v>ENERO - DICIEMBRE</v>
      </c>
      <c r="R178" s="8"/>
      <c r="S178" s="8"/>
      <c r="U178" s="7" t="str">
        <f>+U167</f>
        <v>OCTUBRE - DICIEMBRE</v>
      </c>
      <c r="V178" s="8"/>
      <c r="W178" s="8"/>
    </row>
    <row r="179" spans="15:23" ht="15" customHeight="1"/>
    <row r="180" spans="15:23" ht="15" customHeight="1">
      <c r="O180" s="9" t="str">
        <f>+IF($B$3="esp","Millones de €","€ Millions")</f>
        <v>€ Millions</v>
      </c>
      <c r="Q180" s="10">
        <v>2017</v>
      </c>
      <c r="R180" s="10">
        <v>2016</v>
      </c>
      <c r="S180" s="10" t="str">
        <f>+IF($B$3="esp","Var.%","% Chg.")</f>
        <v>% Chg.</v>
      </c>
      <c r="U180" s="10">
        <v>2017</v>
      </c>
      <c r="V180" s="10">
        <v>2016</v>
      </c>
      <c r="W180" s="10" t="str">
        <f>+IF($B$3="esp","Var.%","% Chg.")</f>
        <v>% Chg.</v>
      </c>
    </row>
    <row r="181" spans="15:23" ht="15" customHeight="1">
      <c r="O181" s="11" t="str">
        <f>+IF($B$3="esp","EBITDA Ajustado a tipo constante","Adjusted EBITDA at constant currency")</f>
        <v>Adjusted EBITDA at constant currency</v>
      </c>
      <c r="Q181" s="12"/>
      <c r="R181" s="12"/>
      <c r="S181" s="12"/>
      <c r="U181" s="12"/>
      <c r="V181" s="12"/>
      <c r="W181" s="12"/>
    </row>
    <row r="182" spans="15:23" ht="15" customHeight="1">
      <c r="O182" s="13" t="str">
        <f>+IF($B$3="esp","Total Santillana","Total Santillana")</f>
        <v>Total Santillana</v>
      </c>
      <c r="P182" s="13"/>
      <c r="Q182" s="14">
        <f>+[1]SANTILLANA!AC141</f>
        <v>181.33676956618893</v>
      </c>
      <c r="R182" s="15">
        <f>+[1]SANTILLANA!AD141</f>
        <v>180.24354300837336</v>
      </c>
      <c r="S182" s="16">
        <f>IF(R182=0,"---",IF(OR(ABS((Q182-R182)/ABS(R182))&gt;2,(Q182*R182)&lt;0),"---",IF(R182="0","---",((Q182-R182)/ABS(R182))*100)))</f>
        <v>0.60652744590400254</v>
      </c>
      <c r="U182" s="14">
        <f>+[1]SANTILLANA!AG141</f>
        <v>22.733579515724301</v>
      </c>
      <c r="V182" s="15">
        <f>+[1]SANTILLANA!AH141</f>
        <v>13.006834505259974</v>
      </c>
      <c r="W182" s="16">
        <f>IF(V182=0,"---",IF(OR(ABS((U182-V182)/ABS(V182))&gt;2,(U182*V182)&lt;0),"---",IF(V182="0","---",((U182-V182)/ABS(V182))*100)))</f>
        <v>74.781800341434533</v>
      </c>
    </row>
    <row r="183" spans="15:23" ht="15" customHeight="1">
      <c r="O183" s="17" t="str">
        <f>+IF($B$3="esp","Educación Tradicional y Compartir","Traditional Education and Compartir")</f>
        <v>Traditional Education and Compartir</v>
      </c>
      <c r="Q183" s="18">
        <f>+[1]SANTILLANA!AC142</f>
        <v>161.4932639324316</v>
      </c>
      <c r="R183" s="19">
        <f>+[1]SANTILLANA!AD142</f>
        <v>158.15568286151864</v>
      </c>
      <c r="S183" s="20">
        <f>IF(R183=0,"---",IF(OR(ABS((Q183-R183)/ABS(R183))&gt;2,(Q183*R183)&lt;0),"---",IF(R183="0","---",((Q183-R183)/ABS(R183))*100)))</f>
        <v>2.1103137178038378</v>
      </c>
      <c r="U183" s="18">
        <f>+[1]SANTILLANA!AG142</f>
        <v>11.424813315278016</v>
      </c>
      <c r="V183" s="19">
        <f>+[1]SANTILLANA!AH142</f>
        <v>3.3635259213878612</v>
      </c>
      <c r="W183" s="20" t="str">
        <f>IF(V183=0,"---",IF(OR(ABS((U183-V183)/ABS(V183))&gt;2,(U183*V183)&lt;0),"---",IF(V183="0","---",((U183-V183)/ABS(V183))*100)))</f>
        <v>---</v>
      </c>
    </row>
    <row r="184" spans="15:23" ht="15" customHeight="1">
      <c r="O184" s="26" t="str">
        <f>+IF($B$3="esp","Campaña Sur","South Campaign")</f>
        <v>South Campaign</v>
      </c>
      <c r="Q184" s="18">
        <f>+[1]SANTILLANA!AC143</f>
        <v>108.02592755458575</v>
      </c>
      <c r="R184" s="19">
        <f>+[1]SANTILLANA!AD143</f>
        <v>92.396091502909712</v>
      </c>
      <c r="S184" s="20">
        <f>IF(R184=0,"---",IF(OR(ABS((Q184-R184)/ABS(R184))&gt;2,(Q184*R184)&lt;0),"---",IF(R184="0","---",((Q184-R184)/ABS(R184))*100)))</f>
        <v>16.916122530122205</v>
      </c>
      <c r="U184" s="18">
        <f>+[1]SANTILLANA!AG143</f>
        <v>56.536964776850915</v>
      </c>
      <c r="V184" s="19">
        <f>+[1]SANTILLANA!AH143</f>
        <v>45.283373013692021</v>
      </c>
      <c r="W184" s="20">
        <f>IF(V184=0,"---",IF(OR(ABS((U184-V184)/ABS(V184))&gt;2,(U184*V184)&lt;0),"---",IF(V184="0","---",((U184-V184)/ABS(V184))*100)))</f>
        <v>24.851487453808318</v>
      </c>
    </row>
    <row r="185" spans="15:23" ht="15" customHeight="1">
      <c r="O185" s="26" t="str">
        <f>+IF($B$3="esp","Campaña Norte","North Campaign")</f>
        <v>North Campaign</v>
      </c>
      <c r="Q185" s="18">
        <f>+[1]SANTILLANA!AC144</f>
        <v>53.453549202096909</v>
      </c>
      <c r="R185" s="19">
        <f>+[1]SANTILLANA!AD144</f>
        <v>65.760656125217579</v>
      </c>
      <c r="S185" s="20">
        <f>IF(R185=0,"---",IF(OR(ABS((Q185-R185)/ABS(R185))&gt;2,(Q185*R185)&lt;0),"---",IF(R185="0","---",((Q185-R185)/ABS(R185))*100)))</f>
        <v>-18.715000196601142</v>
      </c>
      <c r="U185" s="18">
        <f>+[1]SANTILLANA!AG144</f>
        <v>-45.114061089797687</v>
      </c>
      <c r="V185" s="19">
        <f>+[1]SANTILLANA!AH144</f>
        <v>-41.986325222090471</v>
      </c>
      <c r="W185" s="20">
        <f>IF(V185=0,"---",IF(OR(ABS((U185-V185)/ABS(V185))&gt;2,(U185*V185)&lt;0),"---",IF(V185="0","---",((U185-V185)/ABS(V185))*100)))</f>
        <v>-7.449415616067312</v>
      </c>
    </row>
    <row r="186" spans="15:23" ht="15" customHeight="1">
      <c r="O186" s="17" t="str">
        <f>+IF($B$3="esp","Sistema UNO","UNO System")</f>
        <v>UNO System</v>
      </c>
      <c r="Q186" s="18">
        <f>+[1]SANTILLANA!AC145</f>
        <v>19.843505633757339</v>
      </c>
      <c r="R186" s="19">
        <f>+[1]SANTILLANA!AD145</f>
        <v>22.087860146854727</v>
      </c>
      <c r="S186" s="20">
        <f>IF(R186=0,"---",IF(OR(ABS((Q186-R186)/ABS(R186))&gt;2,(Q186*R186)&lt;0),"---",IF(R186="0","---",((Q186-R186)/ABS(R186))*100)))</f>
        <v>-10.161031888899299</v>
      </c>
      <c r="U186" s="18">
        <f>+[1]SANTILLANA!AG145</f>
        <v>11.308766200446286</v>
      </c>
      <c r="V186" s="19">
        <f>+[1]SANTILLANA!AH145</f>
        <v>9.6433085838721073</v>
      </c>
      <c r="W186" s="20">
        <f>IF(V186=0,"---",IF(OR(ABS((U186-V186)/ABS(V186))&gt;2,(U186*V186)&lt;0),"---",IF(V186="0","---",((U186-V186)/ABS(V186))*100)))</f>
        <v>17.270603777624235</v>
      </c>
    </row>
    <row r="187" spans="15:23" ht="15" customHeight="1">
      <c r="O187" s="17"/>
      <c r="Q187" s="19"/>
      <c r="R187" s="19"/>
      <c r="S187" s="20"/>
      <c r="U187" s="19"/>
      <c r="V187" s="19"/>
      <c r="W187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Guelbenzu Robles, Belen</dc:creator>
  <cp:lastModifiedBy>Guelbenzu Robles, Belen</cp:lastModifiedBy>
  <dcterms:created xsi:type="dcterms:W3CDTF">2018-02-28T15:29:17Z</dcterms:created>
  <dcterms:modified xsi:type="dcterms:W3CDTF">2018-02-28T15:32:26Z</dcterms:modified>
</cp:coreProperties>
</file>