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25"/>
  </bookViews>
  <sheets>
    <sheet name="Hoja1" sheetId="1" r:id="rId1"/>
  </sheets>
  <externalReferences>
    <externalReference r:id="rId2"/>
  </externalReferences>
  <calcPr calcId="145621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70" i="1"/>
  <c r="D63" i="1"/>
  <c r="D64" i="1"/>
  <c r="D58" i="1"/>
  <c r="D59" i="1"/>
  <c r="D53" i="1"/>
  <c r="D54" i="1"/>
  <c r="D44" i="1"/>
  <c r="D45" i="1"/>
  <c r="D38" i="1"/>
  <c r="D39" i="1"/>
  <c r="D33" i="1"/>
  <c r="D34" i="1"/>
  <c r="D24" i="1"/>
  <c r="D25" i="1"/>
  <c r="D18" i="1"/>
  <c r="D19" i="1"/>
  <c r="Y186" i="1" l="1"/>
  <c r="Z186" i="1" s="1"/>
  <c r="X186" i="1"/>
  <c r="T186" i="1"/>
  <c r="U186" i="1" s="1"/>
  <c r="S186" i="1"/>
  <c r="Q186" i="1"/>
  <c r="Z185" i="1"/>
  <c r="Y185" i="1"/>
  <c r="X185" i="1"/>
  <c r="T185" i="1"/>
  <c r="S185" i="1"/>
  <c r="Q185" i="1"/>
  <c r="Y184" i="1"/>
  <c r="Z184" i="1" s="1"/>
  <c r="X184" i="1"/>
  <c r="T184" i="1"/>
  <c r="S184" i="1"/>
  <c r="Q184" i="1"/>
  <c r="Y183" i="1"/>
  <c r="X183" i="1"/>
  <c r="T183" i="1"/>
  <c r="U183" i="1" s="1"/>
  <c r="S183" i="1"/>
  <c r="Q183" i="1"/>
  <c r="Z182" i="1"/>
  <c r="Y182" i="1"/>
  <c r="X182" i="1"/>
  <c r="U182" i="1"/>
  <c r="T182" i="1"/>
  <c r="S182" i="1"/>
  <c r="Q182" i="1"/>
  <c r="Q181" i="1"/>
  <c r="Z180" i="1"/>
  <c r="U180" i="1"/>
  <c r="Q180" i="1"/>
  <c r="Y175" i="1"/>
  <c r="X175" i="1"/>
  <c r="U175" i="1"/>
  <c r="T175" i="1"/>
  <c r="S175" i="1"/>
  <c r="Q175" i="1"/>
  <c r="Y174" i="1"/>
  <c r="Z174" i="1" s="1"/>
  <c r="X174" i="1"/>
  <c r="T174" i="1"/>
  <c r="U174" i="1" s="1"/>
  <c r="S174" i="1"/>
  <c r="Q174" i="1"/>
  <c r="Z173" i="1"/>
  <c r="Y173" i="1"/>
  <c r="X173" i="1"/>
  <c r="T173" i="1"/>
  <c r="S173" i="1"/>
  <c r="Q173" i="1"/>
  <c r="Y172" i="1"/>
  <c r="Z172" i="1" s="1"/>
  <c r="X172" i="1"/>
  <c r="T172" i="1"/>
  <c r="S172" i="1"/>
  <c r="Q172" i="1"/>
  <c r="Y171" i="1"/>
  <c r="X171" i="1"/>
  <c r="T171" i="1"/>
  <c r="U171" i="1" s="1"/>
  <c r="S171" i="1"/>
  <c r="Q171" i="1"/>
  <c r="Q170" i="1"/>
  <c r="Z169" i="1"/>
  <c r="U169" i="1"/>
  <c r="Q169" i="1"/>
  <c r="L165" i="1"/>
  <c r="K165" i="1"/>
  <c r="G165" i="1"/>
  <c r="F165" i="1"/>
  <c r="D165" i="1"/>
  <c r="L164" i="1"/>
  <c r="K164" i="1"/>
  <c r="H164" i="1"/>
  <c r="G164" i="1"/>
  <c r="F164" i="1"/>
  <c r="D164" i="1"/>
  <c r="L163" i="1"/>
  <c r="M163" i="1" s="1"/>
  <c r="K163" i="1"/>
  <c r="G163" i="1"/>
  <c r="H163" i="1" s="1"/>
  <c r="F163" i="1"/>
  <c r="D163" i="1"/>
  <c r="Z162" i="1"/>
  <c r="Y162" i="1"/>
  <c r="X162" i="1"/>
  <c r="T162" i="1"/>
  <c r="S162" i="1"/>
  <c r="Q162" i="1"/>
  <c r="L162" i="1"/>
  <c r="M162" i="1" s="1"/>
  <c r="K162" i="1"/>
  <c r="G162" i="1"/>
  <c r="H162" i="1" s="1"/>
  <c r="F162" i="1"/>
  <c r="D162" i="1"/>
  <c r="Y161" i="1"/>
  <c r="X161" i="1"/>
  <c r="T161" i="1"/>
  <c r="U161" i="1" s="1"/>
  <c r="S161" i="1"/>
  <c r="Q161" i="1"/>
  <c r="M161" i="1"/>
  <c r="L161" i="1"/>
  <c r="K161" i="1"/>
  <c r="H161" i="1"/>
  <c r="G161" i="1"/>
  <c r="F161" i="1"/>
  <c r="D161" i="1"/>
  <c r="Y160" i="1"/>
  <c r="Z160" i="1" s="1"/>
  <c r="X160" i="1"/>
  <c r="T160" i="1"/>
  <c r="U160" i="1" s="1"/>
  <c r="S160" i="1"/>
  <c r="Q160" i="1"/>
  <c r="D160" i="1"/>
  <c r="Y159" i="1"/>
  <c r="Z159" i="1" s="1"/>
  <c r="X159" i="1"/>
  <c r="U159" i="1"/>
  <c r="T159" i="1"/>
  <c r="S159" i="1"/>
  <c r="Q159" i="1"/>
  <c r="M159" i="1"/>
  <c r="H159" i="1"/>
  <c r="D159" i="1"/>
  <c r="Y158" i="1"/>
  <c r="X158" i="1"/>
  <c r="T158" i="1"/>
  <c r="U158" i="1" s="1"/>
  <c r="S158" i="1"/>
  <c r="Q158" i="1"/>
  <c r="Q157" i="1"/>
  <c r="Z156" i="1"/>
  <c r="U156" i="1"/>
  <c r="Q156" i="1"/>
  <c r="S154" i="1"/>
  <c r="S167" i="1" s="1"/>
  <c r="S178" i="1" s="1"/>
  <c r="Y151" i="1"/>
  <c r="X151" i="1"/>
  <c r="Z151" i="1" s="1"/>
  <c r="U151" i="1"/>
  <c r="T151" i="1"/>
  <c r="S151" i="1"/>
  <c r="Q151" i="1"/>
  <c r="M151" i="1"/>
  <c r="L151" i="1"/>
  <c r="K151" i="1"/>
  <c r="H151" i="1"/>
  <c r="G151" i="1"/>
  <c r="F151" i="1"/>
  <c r="D151" i="1"/>
  <c r="Y150" i="1"/>
  <c r="X150" i="1"/>
  <c r="T150" i="1"/>
  <c r="U150" i="1" s="1"/>
  <c r="S150" i="1"/>
  <c r="Q150" i="1"/>
  <c r="L150" i="1"/>
  <c r="K150" i="1"/>
  <c r="G150" i="1"/>
  <c r="F150" i="1"/>
  <c r="H150" i="1" s="1"/>
  <c r="D150" i="1"/>
  <c r="Y149" i="1"/>
  <c r="Z149" i="1" s="1"/>
  <c r="X149" i="1"/>
  <c r="T149" i="1"/>
  <c r="U149" i="1" s="1"/>
  <c r="S149" i="1"/>
  <c r="Q149" i="1"/>
  <c r="M149" i="1"/>
  <c r="L149" i="1"/>
  <c r="K149" i="1"/>
  <c r="G149" i="1"/>
  <c r="H149" i="1" s="1"/>
  <c r="F149" i="1"/>
  <c r="D149" i="1"/>
  <c r="Y148" i="1"/>
  <c r="Z148" i="1" s="1"/>
  <c r="X148" i="1"/>
  <c r="T148" i="1"/>
  <c r="U148" i="1" s="1"/>
  <c r="S148" i="1"/>
  <c r="Q148" i="1"/>
  <c r="L148" i="1"/>
  <c r="K148" i="1"/>
  <c r="G148" i="1"/>
  <c r="H148" i="1" s="1"/>
  <c r="F148" i="1"/>
  <c r="D148" i="1"/>
  <c r="Z147" i="1"/>
  <c r="Y147" i="1"/>
  <c r="X147" i="1"/>
  <c r="U147" i="1"/>
  <c r="T147" i="1"/>
  <c r="S147" i="1"/>
  <c r="Q147" i="1"/>
  <c r="L147" i="1"/>
  <c r="M147" i="1" s="1"/>
  <c r="K147" i="1"/>
  <c r="H147" i="1"/>
  <c r="G147" i="1"/>
  <c r="F147" i="1"/>
  <c r="D147" i="1"/>
  <c r="Q146" i="1"/>
  <c r="D146" i="1"/>
  <c r="Z145" i="1"/>
  <c r="U145" i="1"/>
  <c r="Q145" i="1"/>
  <c r="M145" i="1"/>
  <c r="H145" i="1"/>
  <c r="D145" i="1"/>
  <c r="S143" i="1"/>
  <c r="M137" i="1"/>
  <c r="L137" i="1"/>
  <c r="K137" i="1"/>
  <c r="G137" i="1"/>
  <c r="F137" i="1"/>
  <c r="D137" i="1"/>
  <c r="L136" i="1"/>
  <c r="K136" i="1"/>
  <c r="G136" i="1"/>
  <c r="H136" i="1" s="1"/>
  <c r="F136" i="1"/>
  <c r="D136" i="1"/>
  <c r="L135" i="1"/>
  <c r="K135" i="1"/>
  <c r="M135" i="1" s="1"/>
  <c r="H135" i="1"/>
  <c r="G135" i="1"/>
  <c r="F135" i="1"/>
  <c r="D135" i="1"/>
  <c r="L134" i="1"/>
  <c r="M134" i="1" s="1"/>
  <c r="K134" i="1"/>
  <c r="G134" i="1"/>
  <c r="H134" i="1" s="1"/>
  <c r="F134" i="1"/>
  <c r="D134" i="1"/>
  <c r="M133" i="1"/>
  <c r="L133" i="1"/>
  <c r="K133" i="1"/>
  <c r="G133" i="1"/>
  <c r="F133" i="1"/>
  <c r="D133" i="1"/>
  <c r="L132" i="1"/>
  <c r="K132" i="1"/>
  <c r="H132" i="1"/>
  <c r="G132" i="1"/>
  <c r="F132" i="1"/>
  <c r="D132" i="1"/>
  <c r="L131" i="1"/>
  <c r="K131" i="1"/>
  <c r="G131" i="1"/>
  <c r="H131" i="1" s="1"/>
  <c r="F131" i="1"/>
  <c r="D131" i="1"/>
  <c r="M129" i="1"/>
  <c r="H129" i="1"/>
  <c r="D129" i="1"/>
  <c r="BM124" i="1"/>
  <c r="BL124" i="1"/>
  <c r="BK124" i="1"/>
  <c r="BH124" i="1"/>
  <c r="BG124" i="1"/>
  <c r="BF124" i="1"/>
  <c r="BD124" i="1"/>
  <c r="AY124" i="1"/>
  <c r="AZ124" i="1" s="1"/>
  <c r="AX124" i="1"/>
  <c r="AT124" i="1"/>
  <c r="AU124" i="1" s="1"/>
  <c r="AS124" i="1"/>
  <c r="AQ124" i="1"/>
  <c r="AL124" i="1"/>
  <c r="AM124" i="1" s="1"/>
  <c r="AK124" i="1"/>
  <c r="AG124" i="1"/>
  <c r="AH124" i="1" s="1"/>
  <c r="AF124" i="1"/>
  <c r="AD124" i="1"/>
  <c r="Y124" i="1"/>
  <c r="X124" i="1"/>
  <c r="T124" i="1"/>
  <c r="S124" i="1"/>
  <c r="U124" i="1" s="1"/>
  <c r="Q124" i="1"/>
  <c r="L124" i="1"/>
  <c r="K124" i="1"/>
  <c r="G124" i="1"/>
  <c r="H124" i="1" s="1"/>
  <c r="F124" i="1"/>
  <c r="D124" i="1"/>
  <c r="BM123" i="1"/>
  <c r="BL123" i="1"/>
  <c r="BK123" i="1"/>
  <c r="BG123" i="1"/>
  <c r="BH123" i="1" s="1"/>
  <c r="BF123" i="1"/>
  <c r="BD123" i="1"/>
  <c r="AY123" i="1"/>
  <c r="AZ123" i="1" s="1"/>
  <c r="AX123" i="1"/>
  <c r="AT123" i="1"/>
  <c r="AS123" i="1"/>
  <c r="AQ123" i="1"/>
  <c r="AL123" i="1"/>
  <c r="AK123" i="1"/>
  <c r="AG123" i="1"/>
  <c r="AF123" i="1"/>
  <c r="AD123" i="1"/>
  <c r="Y123" i="1"/>
  <c r="X123" i="1"/>
  <c r="Z123" i="1" s="1"/>
  <c r="U123" i="1"/>
  <c r="T123" i="1"/>
  <c r="S123" i="1"/>
  <c r="Q123" i="1"/>
  <c r="M123" i="1"/>
  <c r="L123" i="1"/>
  <c r="K123" i="1"/>
  <c r="H123" i="1"/>
  <c r="G123" i="1"/>
  <c r="F123" i="1"/>
  <c r="D123" i="1"/>
  <c r="BL122" i="1"/>
  <c r="BM122" i="1" s="1"/>
  <c r="BK122" i="1"/>
  <c r="BG122" i="1"/>
  <c r="BF122" i="1"/>
  <c r="BD122" i="1"/>
  <c r="AY122" i="1"/>
  <c r="AX122" i="1"/>
  <c r="AU122" i="1"/>
  <c r="AT122" i="1"/>
  <c r="AS122" i="1"/>
  <c r="AQ122" i="1"/>
  <c r="AL122" i="1"/>
  <c r="AM122" i="1" s="1"/>
  <c r="AK122" i="1"/>
  <c r="AG122" i="1"/>
  <c r="AH122" i="1" s="1"/>
  <c r="AF122" i="1"/>
  <c r="AD122" i="1"/>
  <c r="Z122" i="1"/>
  <c r="Y122" i="1"/>
  <c r="X122" i="1"/>
  <c r="T122" i="1"/>
  <c r="S122" i="1"/>
  <c r="U122" i="1" s="1"/>
  <c r="Q122" i="1"/>
  <c r="M122" i="1"/>
  <c r="L122" i="1"/>
  <c r="K122" i="1"/>
  <c r="G122" i="1"/>
  <c r="H122" i="1" s="1"/>
  <c r="F122" i="1"/>
  <c r="D122" i="1"/>
  <c r="BL121" i="1"/>
  <c r="BK121" i="1"/>
  <c r="BG121" i="1"/>
  <c r="BH121" i="1" s="1"/>
  <c r="BF121" i="1"/>
  <c r="BD121" i="1"/>
  <c r="AZ121" i="1"/>
  <c r="AY121" i="1"/>
  <c r="AX121" i="1"/>
  <c r="AU121" i="1"/>
  <c r="AT121" i="1"/>
  <c r="AS121" i="1"/>
  <c r="AQ121" i="1"/>
  <c r="AL121" i="1"/>
  <c r="AM121" i="1" s="1"/>
  <c r="AK121" i="1"/>
  <c r="AH121" i="1"/>
  <c r="AG121" i="1"/>
  <c r="AF121" i="1"/>
  <c r="AD121" i="1"/>
  <c r="Y121" i="1"/>
  <c r="X121" i="1"/>
  <c r="T121" i="1"/>
  <c r="S121" i="1"/>
  <c r="Q121" i="1"/>
  <c r="L121" i="1"/>
  <c r="K121" i="1"/>
  <c r="G121" i="1"/>
  <c r="F121" i="1"/>
  <c r="H121" i="1" s="1"/>
  <c r="D121" i="1"/>
  <c r="BL120" i="1"/>
  <c r="BK120" i="1"/>
  <c r="BH120" i="1"/>
  <c r="BG120" i="1"/>
  <c r="BF120" i="1"/>
  <c r="BD120" i="1"/>
  <c r="AZ120" i="1"/>
  <c r="AY120" i="1"/>
  <c r="AX120" i="1"/>
  <c r="AU120" i="1"/>
  <c r="AT120" i="1"/>
  <c r="AS120" i="1"/>
  <c r="AQ120" i="1"/>
  <c r="AL120" i="1"/>
  <c r="AM120" i="1" s="1"/>
  <c r="AK120" i="1"/>
  <c r="AG120" i="1"/>
  <c r="AF120" i="1"/>
  <c r="AD120" i="1"/>
  <c r="Y120" i="1"/>
  <c r="Z120" i="1" s="1"/>
  <c r="X120" i="1"/>
  <c r="T120" i="1"/>
  <c r="S120" i="1"/>
  <c r="Q120" i="1"/>
  <c r="L120" i="1"/>
  <c r="K120" i="1"/>
  <c r="M120" i="1" s="1"/>
  <c r="H120" i="1"/>
  <c r="G120" i="1"/>
  <c r="F120" i="1"/>
  <c r="D120" i="1"/>
  <c r="BL119" i="1"/>
  <c r="BM119" i="1" s="1"/>
  <c r="BK119" i="1"/>
  <c r="BH119" i="1"/>
  <c r="BG119" i="1"/>
  <c r="BF119" i="1"/>
  <c r="BD119" i="1"/>
  <c r="AY119" i="1"/>
  <c r="AZ119" i="1" s="1"/>
  <c r="AX119" i="1"/>
  <c r="AT119" i="1"/>
  <c r="AS119" i="1"/>
  <c r="AQ119" i="1"/>
  <c r="AL119" i="1"/>
  <c r="AK119" i="1"/>
  <c r="AG119" i="1"/>
  <c r="AF119" i="1"/>
  <c r="AH119" i="1" s="1"/>
  <c r="AD119" i="1"/>
  <c r="Y119" i="1"/>
  <c r="Z119" i="1" s="1"/>
  <c r="X119" i="1"/>
  <c r="T119" i="1"/>
  <c r="U119" i="1" s="1"/>
  <c r="S119" i="1"/>
  <c r="Q119" i="1"/>
  <c r="M119" i="1"/>
  <c r="L119" i="1"/>
  <c r="K119" i="1"/>
  <c r="H119" i="1"/>
  <c r="G119" i="1"/>
  <c r="F119" i="1"/>
  <c r="D119" i="1"/>
  <c r="BL118" i="1"/>
  <c r="BM118" i="1" s="1"/>
  <c r="BK118" i="1"/>
  <c r="BG118" i="1"/>
  <c r="BF118" i="1"/>
  <c r="BD118" i="1"/>
  <c r="AY118" i="1"/>
  <c r="AX118" i="1"/>
  <c r="AT118" i="1"/>
  <c r="AS118" i="1"/>
  <c r="AQ118" i="1"/>
  <c r="AM118" i="1"/>
  <c r="AL118" i="1"/>
  <c r="AK118" i="1"/>
  <c r="AH118" i="1"/>
  <c r="AG118" i="1"/>
  <c r="AF118" i="1"/>
  <c r="AD118" i="1"/>
  <c r="Y118" i="1"/>
  <c r="Z118" i="1" s="1"/>
  <c r="X118" i="1"/>
  <c r="T118" i="1"/>
  <c r="U118" i="1" s="1"/>
  <c r="S118" i="1"/>
  <c r="Q118" i="1"/>
  <c r="L118" i="1"/>
  <c r="M118" i="1" s="1"/>
  <c r="K118" i="1"/>
  <c r="G118" i="1"/>
  <c r="H118" i="1" s="1"/>
  <c r="F118" i="1"/>
  <c r="D118" i="1"/>
  <c r="BM116" i="1"/>
  <c r="BH116" i="1"/>
  <c r="BD116" i="1"/>
  <c r="AZ116" i="1"/>
  <c r="AU116" i="1"/>
  <c r="AQ116" i="1"/>
  <c r="AM116" i="1"/>
  <c r="AH116" i="1"/>
  <c r="AD116" i="1"/>
  <c r="Z116" i="1"/>
  <c r="U116" i="1"/>
  <c r="Q116" i="1"/>
  <c r="M116" i="1"/>
  <c r="H116" i="1"/>
  <c r="D116" i="1"/>
  <c r="AS114" i="1"/>
  <c r="AQ114" i="1"/>
  <c r="AD114" i="1"/>
  <c r="Q114" i="1"/>
  <c r="D114" i="1"/>
  <c r="M103" i="1"/>
  <c r="H103" i="1"/>
  <c r="M102" i="1"/>
  <c r="H102" i="1"/>
  <c r="BM101" i="1"/>
  <c r="BH101" i="1"/>
  <c r="BD101" i="1"/>
  <c r="AY101" i="1"/>
  <c r="AZ101" i="1" s="1"/>
  <c r="AX101" i="1"/>
  <c r="AT101" i="1"/>
  <c r="AU101" i="1" s="1"/>
  <c r="AS101" i="1"/>
  <c r="AQ101" i="1"/>
  <c r="AM101" i="1"/>
  <c r="AL101" i="1"/>
  <c r="AK101" i="1"/>
  <c r="AH101" i="1"/>
  <c r="AG101" i="1"/>
  <c r="AF101" i="1"/>
  <c r="AD101" i="1"/>
  <c r="Y101" i="1"/>
  <c r="Z101" i="1" s="1"/>
  <c r="X101" i="1"/>
  <c r="T101" i="1"/>
  <c r="U101" i="1" s="1"/>
  <c r="S101" i="1"/>
  <c r="Q101" i="1"/>
  <c r="M101" i="1"/>
  <c r="H101" i="1"/>
  <c r="BM100" i="1"/>
  <c r="BL100" i="1"/>
  <c r="BK100" i="1"/>
  <c r="BH100" i="1"/>
  <c r="BG100" i="1"/>
  <c r="BF100" i="1"/>
  <c r="BD100" i="1"/>
  <c r="AY100" i="1"/>
  <c r="AZ100" i="1" s="1"/>
  <c r="AX100" i="1"/>
  <c r="AT100" i="1"/>
  <c r="AU100" i="1" s="1"/>
  <c r="AS100" i="1"/>
  <c r="AQ100" i="1"/>
  <c r="AM100" i="1"/>
  <c r="AL100" i="1"/>
  <c r="AK100" i="1"/>
  <c r="AG100" i="1"/>
  <c r="AH100" i="1" s="1"/>
  <c r="AF100" i="1"/>
  <c r="AD100" i="1"/>
  <c r="Y100" i="1"/>
  <c r="Z100" i="1" s="1"/>
  <c r="X100" i="1"/>
  <c r="U100" i="1"/>
  <c r="T100" i="1"/>
  <c r="S100" i="1"/>
  <c r="Q100" i="1"/>
  <c r="L100" i="1"/>
  <c r="M100" i="1" s="1"/>
  <c r="K100" i="1"/>
  <c r="G100" i="1"/>
  <c r="H100" i="1" s="1"/>
  <c r="F100" i="1"/>
  <c r="D100" i="1"/>
  <c r="BM99" i="1"/>
  <c r="BH99" i="1"/>
  <c r="L99" i="1"/>
  <c r="M99" i="1" s="1"/>
  <c r="K99" i="1"/>
  <c r="H99" i="1"/>
  <c r="G99" i="1"/>
  <c r="F99" i="1"/>
  <c r="D99" i="1"/>
  <c r="BM98" i="1"/>
  <c r="BH98" i="1"/>
  <c r="M98" i="1"/>
  <c r="H98" i="1"/>
  <c r="BM97" i="1"/>
  <c r="BH97" i="1"/>
  <c r="M97" i="1"/>
  <c r="H97" i="1"/>
  <c r="BM96" i="1"/>
  <c r="BH96" i="1"/>
  <c r="Y96" i="1"/>
  <c r="Z96" i="1" s="1"/>
  <c r="X96" i="1"/>
  <c r="T96" i="1"/>
  <c r="U96" i="1" s="1"/>
  <c r="S96" i="1"/>
  <c r="Q96" i="1"/>
  <c r="M96" i="1"/>
  <c r="H96" i="1"/>
  <c r="BL95" i="1"/>
  <c r="BM95" i="1" s="1"/>
  <c r="BK95" i="1"/>
  <c r="BG95" i="1"/>
  <c r="BH95" i="1" s="1"/>
  <c r="BF95" i="1"/>
  <c r="BD95" i="1"/>
  <c r="AZ95" i="1"/>
  <c r="AY95" i="1"/>
  <c r="AX95" i="1"/>
  <c r="AT95" i="1"/>
  <c r="AS95" i="1"/>
  <c r="AQ95" i="1"/>
  <c r="AL95" i="1"/>
  <c r="AK95" i="1"/>
  <c r="AH95" i="1"/>
  <c r="AG95" i="1"/>
  <c r="AF95" i="1"/>
  <c r="AD95" i="1"/>
  <c r="Y95" i="1"/>
  <c r="X95" i="1"/>
  <c r="Z95" i="1" s="1"/>
  <c r="T95" i="1"/>
  <c r="U95" i="1" s="1"/>
  <c r="S95" i="1"/>
  <c r="Q95" i="1"/>
  <c r="M95" i="1"/>
  <c r="L95" i="1"/>
  <c r="K95" i="1"/>
  <c r="G95" i="1"/>
  <c r="H95" i="1" s="1"/>
  <c r="F95" i="1"/>
  <c r="D95" i="1"/>
  <c r="BL94" i="1"/>
  <c r="BM94" i="1" s="1"/>
  <c r="BK94" i="1"/>
  <c r="BG94" i="1"/>
  <c r="BF94" i="1"/>
  <c r="BD94" i="1"/>
  <c r="AY94" i="1"/>
  <c r="AZ94" i="1" s="1"/>
  <c r="AX94" i="1"/>
  <c r="AT94" i="1"/>
  <c r="AS94" i="1"/>
  <c r="AU94" i="1" s="1"/>
  <c r="AQ94" i="1"/>
  <c r="AL94" i="1"/>
  <c r="AK94" i="1"/>
  <c r="AM94" i="1" s="1"/>
  <c r="AH94" i="1"/>
  <c r="AG94" i="1"/>
  <c r="AF94" i="1"/>
  <c r="AD94" i="1"/>
  <c r="Y94" i="1"/>
  <c r="Z94" i="1" s="1"/>
  <c r="X94" i="1"/>
  <c r="T94" i="1"/>
  <c r="U94" i="1" s="1"/>
  <c r="S94" i="1"/>
  <c r="Q94" i="1"/>
  <c r="L94" i="1"/>
  <c r="K94" i="1"/>
  <c r="G94" i="1"/>
  <c r="F94" i="1"/>
  <c r="D94" i="1"/>
  <c r="BM93" i="1"/>
  <c r="BH93" i="1"/>
  <c r="M93" i="1"/>
  <c r="H93" i="1"/>
  <c r="BM92" i="1"/>
  <c r="BH92" i="1"/>
  <c r="M92" i="1"/>
  <c r="H92" i="1"/>
  <c r="BM91" i="1"/>
  <c r="BH91" i="1"/>
  <c r="L91" i="1"/>
  <c r="M91" i="1" s="1"/>
  <c r="K91" i="1"/>
  <c r="G91" i="1"/>
  <c r="H91" i="1" s="1"/>
  <c r="F91" i="1"/>
  <c r="D91" i="1"/>
  <c r="BM90" i="1"/>
  <c r="BH90" i="1"/>
  <c r="M90" i="1"/>
  <c r="L90" i="1"/>
  <c r="K90" i="1"/>
  <c r="H90" i="1"/>
  <c r="G90" i="1"/>
  <c r="F90" i="1"/>
  <c r="D90" i="1"/>
  <c r="BM89" i="1"/>
  <c r="BH89" i="1"/>
  <c r="D89" i="1"/>
  <c r="BL88" i="1"/>
  <c r="BM88" i="1" s="1"/>
  <c r="BK88" i="1"/>
  <c r="BG88" i="1"/>
  <c r="BH88" i="1" s="1"/>
  <c r="BF88" i="1"/>
  <c r="BD88" i="1"/>
  <c r="AY88" i="1"/>
  <c r="AZ88" i="1" s="1"/>
  <c r="AX88" i="1"/>
  <c r="AT88" i="1"/>
  <c r="AU88" i="1" s="1"/>
  <c r="AS88" i="1"/>
  <c r="AQ88" i="1"/>
  <c r="AM88" i="1"/>
  <c r="AL88" i="1"/>
  <c r="AK88" i="1"/>
  <c r="AH88" i="1"/>
  <c r="AG88" i="1"/>
  <c r="AF88" i="1"/>
  <c r="AD88" i="1"/>
  <c r="Y88" i="1"/>
  <c r="Z88" i="1" s="1"/>
  <c r="X88" i="1"/>
  <c r="T88" i="1"/>
  <c r="U88" i="1" s="1"/>
  <c r="S88" i="1"/>
  <c r="Q88" i="1"/>
  <c r="M88" i="1"/>
  <c r="H88" i="1"/>
  <c r="D88" i="1"/>
  <c r="BD87" i="1"/>
  <c r="AQ87" i="1"/>
  <c r="AD87" i="1"/>
  <c r="Q87" i="1"/>
  <c r="BM86" i="1"/>
  <c r="BH86" i="1"/>
  <c r="BD86" i="1"/>
  <c r="AZ86" i="1"/>
  <c r="AU86" i="1"/>
  <c r="AQ86" i="1"/>
  <c r="AM86" i="1"/>
  <c r="AH86" i="1"/>
  <c r="AD86" i="1"/>
  <c r="Z86" i="1"/>
  <c r="U86" i="1"/>
  <c r="Q86" i="1"/>
  <c r="F86" i="1"/>
  <c r="F114" i="1" s="1"/>
  <c r="F127" i="1" s="1"/>
  <c r="F143" i="1" s="1"/>
  <c r="F157" i="1" s="1"/>
  <c r="M80" i="1"/>
  <c r="L80" i="1"/>
  <c r="K80" i="1"/>
  <c r="G80" i="1"/>
  <c r="H80" i="1" s="1"/>
  <c r="F80" i="1"/>
  <c r="D80" i="1"/>
  <c r="L79" i="1"/>
  <c r="M79" i="1" s="1"/>
  <c r="K79" i="1"/>
  <c r="G79" i="1"/>
  <c r="H79" i="1" s="1"/>
  <c r="F79" i="1"/>
  <c r="D79" i="1"/>
  <c r="AK78" i="1"/>
  <c r="AF78" i="1"/>
  <c r="AD78" i="1"/>
  <c r="M78" i="1"/>
  <c r="L78" i="1"/>
  <c r="K78" i="1"/>
  <c r="G78" i="1"/>
  <c r="F78" i="1"/>
  <c r="D78" i="1"/>
  <c r="AL77" i="1"/>
  <c r="AK77" i="1"/>
  <c r="AH77" i="1"/>
  <c r="AG77" i="1"/>
  <c r="AF77" i="1"/>
  <c r="AD77" i="1"/>
  <c r="L77" i="1"/>
  <c r="K77" i="1"/>
  <c r="G77" i="1"/>
  <c r="H77" i="1" s="1"/>
  <c r="F77" i="1"/>
  <c r="D77" i="1"/>
  <c r="AM76" i="1"/>
  <c r="AL76" i="1"/>
  <c r="AK76" i="1"/>
  <c r="AH76" i="1"/>
  <c r="AG76" i="1"/>
  <c r="AF76" i="1"/>
  <c r="AD76" i="1"/>
  <c r="M76" i="1"/>
  <c r="L76" i="1"/>
  <c r="K76" i="1"/>
  <c r="G76" i="1"/>
  <c r="F76" i="1"/>
  <c r="D76" i="1"/>
  <c r="AL75" i="1"/>
  <c r="AK75" i="1"/>
  <c r="AG75" i="1"/>
  <c r="AH75" i="1" s="1"/>
  <c r="AF75" i="1"/>
  <c r="AD75" i="1"/>
  <c r="M75" i="1"/>
  <c r="L75" i="1"/>
  <c r="K75" i="1"/>
  <c r="H75" i="1"/>
  <c r="G75" i="1"/>
  <c r="F75" i="1"/>
  <c r="D75" i="1"/>
  <c r="AM74" i="1"/>
  <c r="AL74" i="1"/>
  <c r="AK74" i="1"/>
  <c r="AG74" i="1"/>
  <c r="AH74" i="1" s="1"/>
  <c r="AF74" i="1"/>
  <c r="AD74" i="1"/>
  <c r="M74" i="1"/>
  <c r="L74" i="1"/>
  <c r="K74" i="1"/>
  <c r="G74" i="1"/>
  <c r="H74" i="1" s="1"/>
  <c r="F74" i="1"/>
  <c r="D74" i="1"/>
  <c r="AL73" i="1"/>
  <c r="AK73" i="1"/>
  <c r="AH73" i="1"/>
  <c r="AG73" i="1"/>
  <c r="AF73" i="1"/>
  <c r="AD73" i="1"/>
  <c r="L73" i="1"/>
  <c r="K73" i="1"/>
  <c r="M73" i="1" s="1"/>
  <c r="G73" i="1"/>
  <c r="H73" i="1" s="1"/>
  <c r="F73" i="1"/>
  <c r="D73" i="1"/>
  <c r="AL72" i="1"/>
  <c r="AK72" i="1"/>
  <c r="AG72" i="1"/>
  <c r="AF72" i="1"/>
  <c r="AD72" i="1"/>
  <c r="L72" i="1"/>
  <c r="K72" i="1"/>
  <c r="M72" i="1" s="1"/>
  <c r="H72" i="1"/>
  <c r="G72" i="1"/>
  <c r="F72" i="1"/>
  <c r="D72" i="1"/>
  <c r="AL71" i="1"/>
  <c r="AM71" i="1" s="1"/>
  <c r="AK71" i="1"/>
  <c r="AH71" i="1"/>
  <c r="AG71" i="1"/>
  <c r="AF71" i="1"/>
  <c r="AD71" i="1"/>
  <c r="Y71" i="1"/>
  <c r="X71" i="1"/>
  <c r="T71" i="1"/>
  <c r="S71" i="1"/>
  <c r="Q71" i="1"/>
  <c r="L71" i="1"/>
  <c r="K71" i="1"/>
  <c r="G71" i="1"/>
  <c r="F71" i="1"/>
  <c r="D71" i="1"/>
  <c r="AL70" i="1"/>
  <c r="AK70" i="1"/>
  <c r="AM70" i="1" s="1"/>
  <c r="AH70" i="1"/>
  <c r="AG70" i="1"/>
  <c r="AF70" i="1"/>
  <c r="AD70" i="1"/>
  <c r="Y70" i="1"/>
  <c r="Z70" i="1" s="1"/>
  <c r="X70" i="1"/>
  <c r="U70" i="1"/>
  <c r="T70" i="1"/>
  <c r="S70" i="1"/>
  <c r="Q70" i="1"/>
  <c r="L70" i="1"/>
  <c r="M70" i="1" s="1"/>
  <c r="K70" i="1"/>
  <c r="G70" i="1"/>
  <c r="H70" i="1" s="1"/>
  <c r="F70" i="1"/>
  <c r="AL69" i="1"/>
  <c r="AM69" i="1" s="1"/>
  <c r="AK69" i="1"/>
  <c r="AG69" i="1"/>
  <c r="AF69" i="1"/>
  <c r="AH69" i="1" s="1"/>
  <c r="AD69" i="1"/>
  <c r="Y69" i="1"/>
  <c r="X69" i="1"/>
  <c r="Z69" i="1" s="1"/>
  <c r="U69" i="1"/>
  <c r="T69" i="1"/>
  <c r="S69" i="1"/>
  <c r="Q69" i="1"/>
  <c r="M69" i="1"/>
  <c r="L69" i="1"/>
  <c r="K69" i="1"/>
  <c r="H69" i="1"/>
  <c r="G69" i="1"/>
  <c r="F69" i="1"/>
  <c r="AL68" i="1"/>
  <c r="AM68" i="1" s="1"/>
  <c r="AK68" i="1"/>
  <c r="AG68" i="1"/>
  <c r="AH68" i="1" s="1"/>
  <c r="AF68" i="1"/>
  <c r="AD68" i="1"/>
  <c r="Y68" i="1"/>
  <c r="X68" i="1"/>
  <c r="T68" i="1"/>
  <c r="S68" i="1"/>
  <c r="Q68" i="1"/>
  <c r="M68" i="1"/>
  <c r="L68" i="1"/>
  <c r="K68" i="1"/>
  <c r="H68" i="1"/>
  <c r="G68" i="1"/>
  <c r="F68" i="1"/>
  <c r="D68" i="1"/>
  <c r="AM67" i="1"/>
  <c r="AL67" i="1"/>
  <c r="AK67" i="1"/>
  <c r="AH67" i="1"/>
  <c r="AG67" i="1"/>
  <c r="AF67" i="1"/>
  <c r="AD67" i="1"/>
  <c r="Y67" i="1"/>
  <c r="X67" i="1"/>
  <c r="T67" i="1"/>
  <c r="U67" i="1" s="1"/>
  <c r="S67" i="1"/>
  <c r="Q67" i="1"/>
  <c r="L67" i="1"/>
  <c r="K67" i="1"/>
  <c r="G67" i="1"/>
  <c r="F67" i="1"/>
  <c r="H67" i="1" s="1"/>
  <c r="D67" i="1"/>
  <c r="AL66" i="1"/>
  <c r="AM66" i="1" s="1"/>
  <c r="AK66" i="1"/>
  <c r="AG66" i="1"/>
  <c r="AH66" i="1" s="1"/>
  <c r="AF66" i="1"/>
  <c r="AD66" i="1"/>
  <c r="Z66" i="1"/>
  <c r="Y66" i="1"/>
  <c r="X66" i="1"/>
  <c r="T66" i="1"/>
  <c r="S66" i="1"/>
  <c r="Q66" i="1"/>
  <c r="L66" i="1"/>
  <c r="M66" i="1" s="1"/>
  <c r="K66" i="1"/>
  <c r="G66" i="1"/>
  <c r="H66" i="1" s="1"/>
  <c r="F66" i="1"/>
  <c r="D66" i="1"/>
  <c r="AL65" i="1"/>
  <c r="AK65" i="1"/>
  <c r="AG65" i="1"/>
  <c r="AF65" i="1"/>
  <c r="AD65" i="1"/>
  <c r="Y65" i="1"/>
  <c r="X65" i="1"/>
  <c r="T65" i="1"/>
  <c r="S65" i="1"/>
  <c r="Q65" i="1"/>
  <c r="L65" i="1"/>
  <c r="K65" i="1"/>
  <c r="G65" i="1"/>
  <c r="F65" i="1"/>
  <c r="D65" i="1"/>
  <c r="AL64" i="1"/>
  <c r="AM64" i="1" s="1"/>
  <c r="AK64" i="1"/>
  <c r="AG64" i="1"/>
  <c r="AF64" i="1"/>
  <c r="AD64" i="1"/>
  <c r="Y64" i="1"/>
  <c r="Z64" i="1" s="1"/>
  <c r="X64" i="1"/>
  <c r="T64" i="1"/>
  <c r="S64" i="1"/>
  <c r="Q64" i="1"/>
  <c r="L64" i="1"/>
  <c r="K64" i="1"/>
  <c r="M64" i="1" s="1"/>
  <c r="H64" i="1"/>
  <c r="G64" i="1"/>
  <c r="F64" i="1"/>
  <c r="AL63" i="1"/>
  <c r="AM63" i="1" s="1"/>
  <c r="AK63" i="1"/>
  <c r="AH63" i="1"/>
  <c r="AG63" i="1"/>
  <c r="AF63" i="1"/>
  <c r="AD63" i="1"/>
  <c r="Y63" i="1"/>
  <c r="Z63" i="1" s="1"/>
  <c r="X63" i="1"/>
  <c r="T63" i="1"/>
  <c r="U63" i="1" s="1"/>
  <c r="S63" i="1"/>
  <c r="Q63" i="1"/>
  <c r="L63" i="1"/>
  <c r="K63" i="1"/>
  <c r="G63" i="1"/>
  <c r="F63" i="1"/>
  <c r="H63" i="1" s="1"/>
  <c r="AL62" i="1"/>
  <c r="AM62" i="1" s="1"/>
  <c r="AK62" i="1"/>
  <c r="AG62" i="1"/>
  <c r="AH62" i="1" s="1"/>
  <c r="AF62" i="1"/>
  <c r="AD62" i="1"/>
  <c r="Z62" i="1"/>
  <c r="Y62" i="1"/>
  <c r="X62" i="1"/>
  <c r="U62" i="1"/>
  <c r="T62" i="1"/>
  <c r="S62" i="1"/>
  <c r="Q62" i="1"/>
  <c r="L62" i="1"/>
  <c r="M62" i="1" s="1"/>
  <c r="K62" i="1"/>
  <c r="G62" i="1"/>
  <c r="F62" i="1"/>
  <c r="D62" i="1"/>
  <c r="AL61" i="1"/>
  <c r="AK61" i="1"/>
  <c r="AG61" i="1"/>
  <c r="AF61" i="1"/>
  <c r="AD61" i="1"/>
  <c r="Z61" i="1"/>
  <c r="Y61" i="1"/>
  <c r="X61" i="1"/>
  <c r="U61" i="1"/>
  <c r="T61" i="1"/>
  <c r="S61" i="1"/>
  <c r="Q61" i="1"/>
  <c r="L61" i="1"/>
  <c r="M61" i="1" s="1"/>
  <c r="K61" i="1"/>
  <c r="G61" i="1"/>
  <c r="H61" i="1" s="1"/>
  <c r="F61" i="1"/>
  <c r="D61" i="1"/>
  <c r="AL60" i="1"/>
  <c r="AM60" i="1" s="1"/>
  <c r="AK60" i="1"/>
  <c r="AG60" i="1"/>
  <c r="AH60" i="1" s="1"/>
  <c r="AF60" i="1"/>
  <c r="AD60" i="1"/>
  <c r="Y60" i="1"/>
  <c r="X60" i="1"/>
  <c r="T60" i="1"/>
  <c r="S60" i="1"/>
  <c r="U60" i="1" s="1"/>
  <c r="Q60" i="1"/>
  <c r="L60" i="1"/>
  <c r="K60" i="1"/>
  <c r="M60" i="1" s="1"/>
  <c r="G60" i="1"/>
  <c r="H60" i="1" s="1"/>
  <c r="F60" i="1"/>
  <c r="D60" i="1"/>
  <c r="AM59" i="1"/>
  <c r="AL59" i="1"/>
  <c r="AK59" i="1"/>
  <c r="AG59" i="1"/>
  <c r="AF59" i="1"/>
  <c r="AH59" i="1" s="1"/>
  <c r="AD59" i="1"/>
  <c r="Y59" i="1"/>
  <c r="Z59" i="1" s="1"/>
  <c r="X59" i="1"/>
  <c r="T59" i="1"/>
  <c r="S59" i="1"/>
  <c r="Q59" i="1"/>
  <c r="L59" i="1"/>
  <c r="K59" i="1"/>
  <c r="G59" i="1"/>
  <c r="F59" i="1"/>
  <c r="H59" i="1" s="1"/>
  <c r="AY58" i="1"/>
  <c r="AX58" i="1"/>
  <c r="AT58" i="1"/>
  <c r="AS58" i="1"/>
  <c r="AQ58" i="1"/>
  <c r="AL58" i="1"/>
  <c r="AK58" i="1"/>
  <c r="AH58" i="1"/>
  <c r="AG58" i="1"/>
  <c r="AF58" i="1"/>
  <c r="AD58" i="1"/>
  <c r="Y58" i="1"/>
  <c r="X58" i="1"/>
  <c r="Z58" i="1" s="1"/>
  <c r="T58" i="1"/>
  <c r="U58" i="1" s="1"/>
  <c r="S58" i="1"/>
  <c r="Q58" i="1"/>
  <c r="M58" i="1"/>
  <c r="L58" i="1"/>
  <c r="K58" i="1"/>
  <c r="G58" i="1"/>
  <c r="H58" i="1" s="1"/>
  <c r="F58" i="1"/>
  <c r="BL57" i="1"/>
  <c r="BK57" i="1"/>
  <c r="BG57" i="1"/>
  <c r="BF57" i="1"/>
  <c r="BD57" i="1"/>
  <c r="AY57" i="1"/>
  <c r="AZ57" i="1" s="1"/>
  <c r="AX57" i="1"/>
  <c r="AT57" i="1"/>
  <c r="AU57" i="1" s="1"/>
  <c r="AS57" i="1"/>
  <c r="AQ57" i="1"/>
  <c r="AL57" i="1"/>
  <c r="AM57" i="1" s="1"/>
  <c r="AK57" i="1"/>
  <c r="AG57" i="1"/>
  <c r="AH57" i="1" s="1"/>
  <c r="AF57" i="1"/>
  <c r="AD57" i="1"/>
  <c r="Y57" i="1"/>
  <c r="Z57" i="1" s="1"/>
  <c r="X57" i="1"/>
  <c r="T57" i="1"/>
  <c r="S57" i="1"/>
  <c r="U57" i="1" s="1"/>
  <c r="Q57" i="1"/>
  <c r="L57" i="1"/>
  <c r="K57" i="1"/>
  <c r="M57" i="1" s="1"/>
  <c r="H57" i="1"/>
  <c r="G57" i="1"/>
  <c r="F57" i="1"/>
  <c r="D57" i="1"/>
  <c r="BM56" i="1"/>
  <c r="BL56" i="1"/>
  <c r="BK56" i="1"/>
  <c r="BH56" i="1"/>
  <c r="BG56" i="1"/>
  <c r="BF56" i="1"/>
  <c r="BD56" i="1"/>
  <c r="AY56" i="1"/>
  <c r="AX56" i="1"/>
  <c r="AT56" i="1"/>
  <c r="AS56" i="1"/>
  <c r="AQ56" i="1"/>
  <c r="AM56" i="1"/>
  <c r="AL56" i="1"/>
  <c r="AK56" i="1"/>
  <c r="AG56" i="1"/>
  <c r="AH56" i="1" s="1"/>
  <c r="AF56" i="1"/>
  <c r="AD56" i="1"/>
  <c r="Z56" i="1"/>
  <c r="Y56" i="1"/>
  <c r="X56" i="1"/>
  <c r="T56" i="1"/>
  <c r="S56" i="1"/>
  <c r="Q56" i="1"/>
  <c r="L56" i="1"/>
  <c r="M56" i="1" s="1"/>
  <c r="K56" i="1"/>
  <c r="H56" i="1"/>
  <c r="G56" i="1"/>
  <c r="F56" i="1"/>
  <c r="D56" i="1"/>
  <c r="BL55" i="1"/>
  <c r="BK55" i="1"/>
  <c r="BG55" i="1"/>
  <c r="BF55" i="1"/>
  <c r="BD55" i="1"/>
  <c r="AY55" i="1"/>
  <c r="AZ55" i="1" s="1"/>
  <c r="AX55" i="1"/>
  <c r="AT55" i="1"/>
  <c r="AS55" i="1"/>
  <c r="AU55" i="1" s="1"/>
  <c r="AQ55" i="1"/>
  <c r="AD55" i="1"/>
  <c r="Y55" i="1"/>
  <c r="X55" i="1"/>
  <c r="T55" i="1"/>
  <c r="S55" i="1"/>
  <c r="U55" i="1" s="1"/>
  <c r="Q55" i="1"/>
  <c r="L55" i="1"/>
  <c r="K55" i="1"/>
  <c r="M55" i="1" s="1"/>
  <c r="H55" i="1"/>
  <c r="G55" i="1"/>
  <c r="F55" i="1"/>
  <c r="D55" i="1"/>
  <c r="BL54" i="1"/>
  <c r="BM54" i="1" s="1"/>
  <c r="BK54" i="1"/>
  <c r="BH54" i="1"/>
  <c r="BG54" i="1"/>
  <c r="BF54" i="1"/>
  <c r="BD54" i="1"/>
  <c r="AY54" i="1"/>
  <c r="AZ54" i="1" s="1"/>
  <c r="AX54" i="1"/>
  <c r="AT54" i="1"/>
  <c r="AS54" i="1"/>
  <c r="AQ54" i="1"/>
  <c r="AM54" i="1"/>
  <c r="AH54" i="1"/>
  <c r="Y54" i="1"/>
  <c r="Z54" i="1" s="1"/>
  <c r="X54" i="1"/>
  <c r="T54" i="1"/>
  <c r="U54" i="1" s="1"/>
  <c r="S54" i="1"/>
  <c r="Q54" i="1"/>
  <c r="L54" i="1"/>
  <c r="K54" i="1"/>
  <c r="M54" i="1" s="1"/>
  <c r="G54" i="1"/>
  <c r="F54" i="1"/>
  <c r="BL53" i="1"/>
  <c r="BK53" i="1"/>
  <c r="BG53" i="1"/>
  <c r="BF53" i="1"/>
  <c r="BH53" i="1" s="1"/>
  <c r="BD53" i="1"/>
  <c r="AY53" i="1"/>
  <c r="AX53" i="1"/>
  <c r="AT53" i="1"/>
  <c r="AU53" i="1" s="1"/>
  <c r="AS53" i="1"/>
  <c r="AQ53" i="1"/>
  <c r="Z53" i="1"/>
  <c r="Y53" i="1"/>
  <c r="X53" i="1"/>
  <c r="T53" i="1"/>
  <c r="S53" i="1"/>
  <c r="U53" i="1" s="1"/>
  <c r="Q53" i="1"/>
  <c r="M53" i="1"/>
  <c r="L53" i="1"/>
  <c r="K53" i="1"/>
  <c r="G53" i="1"/>
  <c r="F53" i="1"/>
  <c r="BL52" i="1"/>
  <c r="BM52" i="1" s="1"/>
  <c r="BK52" i="1"/>
  <c r="BG52" i="1"/>
  <c r="BH52" i="1" s="1"/>
  <c r="BF52" i="1"/>
  <c r="BD52" i="1"/>
  <c r="AZ52" i="1"/>
  <c r="AY52" i="1"/>
  <c r="AX52" i="1"/>
  <c r="AU52" i="1"/>
  <c r="AT52" i="1"/>
  <c r="AS52" i="1"/>
  <c r="AQ52" i="1"/>
  <c r="AL52" i="1"/>
  <c r="AM52" i="1" s="1"/>
  <c r="AK52" i="1"/>
  <c r="AG52" i="1"/>
  <c r="AH52" i="1" s="1"/>
  <c r="AF52" i="1"/>
  <c r="AD52" i="1"/>
  <c r="Y52" i="1"/>
  <c r="X52" i="1"/>
  <c r="Z52" i="1" s="1"/>
  <c r="T52" i="1"/>
  <c r="U52" i="1" s="1"/>
  <c r="S52" i="1"/>
  <c r="Q52" i="1"/>
  <c r="L52" i="1"/>
  <c r="M52" i="1" s="1"/>
  <c r="K52" i="1"/>
  <c r="G52" i="1"/>
  <c r="F52" i="1"/>
  <c r="H52" i="1" s="1"/>
  <c r="D52" i="1"/>
  <c r="BL51" i="1"/>
  <c r="BK51" i="1"/>
  <c r="BG51" i="1"/>
  <c r="BH51" i="1" s="1"/>
  <c r="BF51" i="1"/>
  <c r="BD51" i="1"/>
  <c r="AZ51" i="1"/>
  <c r="AY51" i="1"/>
  <c r="AX51" i="1"/>
  <c r="AT51" i="1"/>
  <c r="AS51" i="1"/>
  <c r="AQ51" i="1"/>
  <c r="AL51" i="1"/>
  <c r="AK51" i="1"/>
  <c r="AG51" i="1"/>
  <c r="AF51" i="1"/>
  <c r="AD51" i="1"/>
  <c r="Y51" i="1"/>
  <c r="Z51" i="1" s="1"/>
  <c r="X51" i="1"/>
  <c r="T51" i="1"/>
  <c r="U51" i="1" s="1"/>
  <c r="S51" i="1"/>
  <c r="Q51" i="1"/>
  <c r="L51" i="1"/>
  <c r="K51" i="1"/>
  <c r="G51" i="1"/>
  <c r="H51" i="1" s="1"/>
  <c r="F51" i="1"/>
  <c r="D51" i="1"/>
  <c r="BL50" i="1"/>
  <c r="BM50" i="1" s="1"/>
  <c r="BK50" i="1"/>
  <c r="BG50" i="1"/>
  <c r="BF50" i="1"/>
  <c r="BH50" i="1" s="1"/>
  <c r="BD50" i="1"/>
  <c r="AY50" i="1"/>
  <c r="AX50" i="1"/>
  <c r="AU50" i="1"/>
  <c r="AT50" i="1"/>
  <c r="AS50" i="1"/>
  <c r="AQ50" i="1"/>
  <c r="AM50" i="1"/>
  <c r="AL50" i="1"/>
  <c r="AK50" i="1"/>
  <c r="AG50" i="1"/>
  <c r="AH50" i="1" s="1"/>
  <c r="AF50" i="1"/>
  <c r="AD50" i="1"/>
  <c r="Z50" i="1"/>
  <c r="Y50" i="1"/>
  <c r="X50" i="1"/>
  <c r="T50" i="1"/>
  <c r="S50" i="1"/>
  <c r="Q50" i="1"/>
  <c r="L50" i="1"/>
  <c r="K50" i="1"/>
  <c r="G50" i="1"/>
  <c r="H50" i="1" s="1"/>
  <c r="F50" i="1"/>
  <c r="D50" i="1"/>
  <c r="BD49" i="1"/>
  <c r="AQ49" i="1"/>
  <c r="AM49" i="1"/>
  <c r="AL49" i="1"/>
  <c r="AK49" i="1"/>
  <c r="AG49" i="1"/>
  <c r="AH49" i="1" s="1"/>
  <c r="AF49" i="1"/>
  <c r="AD49" i="1"/>
  <c r="Q49" i="1"/>
  <c r="D49" i="1"/>
  <c r="BM48" i="1"/>
  <c r="BH48" i="1"/>
  <c r="AZ48" i="1"/>
  <c r="AU48" i="1"/>
  <c r="AM48" i="1"/>
  <c r="AL48" i="1"/>
  <c r="AK48" i="1"/>
  <c r="AG48" i="1"/>
  <c r="AH48" i="1" s="1"/>
  <c r="AF48" i="1"/>
  <c r="AD48" i="1"/>
  <c r="Z48" i="1"/>
  <c r="U48" i="1"/>
  <c r="M48" i="1"/>
  <c r="H48" i="1"/>
  <c r="AL47" i="1"/>
  <c r="AM47" i="1" s="1"/>
  <c r="AK47" i="1"/>
  <c r="AG47" i="1"/>
  <c r="AF47" i="1"/>
  <c r="AD47" i="1"/>
  <c r="AL46" i="1"/>
  <c r="AM46" i="1" s="1"/>
  <c r="AK46" i="1"/>
  <c r="AG46" i="1"/>
  <c r="AF46" i="1"/>
  <c r="AD46" i="1"/>
  <c r="Y46" i="1"/>
  <c r="X46" i="1"/>
  <c r="T46" i="1"/>
  <c r="S46" i="1"/>
  <c r="Q46" i="1"/>
  <c r="L46" i="1"/>
  <c r="K46" i="1"/>
  <c r="G46" i="1"/>
  <c r="F46" i="1"/>
  <c r="D46" i="1"/>
  <c r="AM45" i="1"/>
  <c r="AL45" i="1"/>
  <c r="AK45" i="1"/>
  <c r="AG45" i="1"/>
  <c r="AF45" i="1"/>
  <c r="AD45" i="1"/>
  <c r="Y45" i="1"/>
  <c r="X45" i="1"/>
  <c r="T45" i="1"/>
  <c r="U45" i="1" s="1"/>
  <c r="S45" i="1"/>
  <c r="Q45" i="1"/>
  <c r="M45" i="1"/>
  <c r="L45" i="1"/>
  <c r="K45" i="1"/>
  <c r="H45" i="1"/>
  <c r="G45" i="1"/>
  <c r="F45" i="1"/>
  <c r="AL44" i="1"/>
  <c r="AK44" i="1"/>
  <c r="AG44" i="1"/>
  <c r="AF44" i="1"/>
  <c r="AD44" i="1"/>
  <c r="Y44" i="1"/>
  <c r="Z44" i="1" s="1"/>
  <c r="X44" i="1"/>
  <c r="U44" i="1"/>
  <c r="T44" i="1"/>
  <c r="S44" i="1"/>
  <c r="Q44" i="1"/>
  <c r="M44" i="1"/>
  <c r="L44" i="1"/>
  <c r="K44" i="1"/>
  <c r="H44" i="1"/>
  <c r="G44" i="1"/>
  <c r="F44" i="1"/>
  <c r="AM43" i="1"/>
  <c r="AL43" i="1"/>
  <c r="AK43" i="1"/>
  <c r="AG43" i="1"/>
  <c r="AH43" i="1" s="1"/>
  <c r="AF43" i="1"/>
  <c r="AD43" i="1"/>
  <c r="Y43" i="1"/>
  <c r="X43" i="1"/>
  <c r="T43" i="1"/>
  <c r="U43" i="1" s="1"/>
  <c r="S43" i="1"/>
  <c r="Q43" i="1"/>
  <c r="M43" i="1"/>
  <c r="L43" i="1"/>
  <c r="K43" i="1"/>
  <c r="H43" i="1"/>
  <c r="G43" i="1"/>
  <c r="F43" i="1"/>
  <c r="D43" i="1"/>
  <c r="AL42" i="1"/>
  <c r="AM42" i="1" s="1"/>
  <c r="AK42" i="1"/>
  <c r="AH42" i="1"/>
  <c r="AG42" i="1"/>
  <c r="AF42" i="1"/>
  <c r="AD42" i="1"/>
  <c r="Y42" i="1"/>
  <c r="X42" i="1"/>
  <c r="T42" i="1"/>
  <c r="S42" i="1"/>
  <c r="Q42" i="1"/>
  <c r="L42" i="1"/>
  <c r="K42" i="1"/>
  <c r="G42" i="1"/>
  <c r="F42" i="1"/>
  <c r="H42" i="1" s="1"/>
  <c r="D42" i="1"/>
  <c r="AL41" i="1"/>
  <c r="AK41" i="1"/>
  <c r="AH41" i="1"/>
  <c r="AG41" i="1"/>
  <c r="AF41" i="1"/>
  <c r="AD41" i="1"/>
  <c r="Z41" i="1"/>
  <c r="Y41" i="1"/>
  <c r="X41" i="1"/>
  <c r="U41" i="1"/>
  <c r="T41" i="1"/>
  <c r="S41" i="1"/>
  <c r="Q41" i="1"/>
  <c r="L41" i="1"/>
  <c r="M41" i="1" s="1"/>
  <c r="K41" i="1"/>
  <c r="G41" i="1"/>
  <c r="F41" i="1"/>
  <c r="D41" i="1"/>
  <c r="AL40" i="1"/>
  <c r="AM40" i="1" s="1"/>
  <c r="AK40" i="1"/>
  <c r="AG40" i="1"/>
  <c r="AF40" i="1"/>
  <c r="AD40" i="1"/>
  <c r="Y40" i="1"/>
  <c r="X40" i="1"/>
  <c r="T40" i="1"/>
  <c r="S40" i="1"/>
  <c r="Q40" i="1"/>
  <c r="L40" i="1"/>
  <c r="K40" i="1"/>
  <c r="G40" i="1"/>
  <c r="F40" i="1"/>
  <c r="D40" i="1"/>
  <c r="AM39" i="1"/>
  <c r="AL39" i="1"/>
  <c r="AK39" i="1"/>
  <c r="AG39" i="1"/>
  <c r="AF39" i="1"/>
  <c r="AD39" i="1"/>
  <c r="Y39" i="1"/>
  <c r="X39" i="1"/>
  <c r="T39" i="1"/>
  <c r="S39" i="1"/>
  <c r="U39" i="1" s="1"/>
  <c r="Q39" i="1"/>
  <c r="L39" i="1"/>
  <c r="K39" i="1"/>
  <c r="M39" i="1" s="1"/>
  <c r="H39" i="1"/>
  <c r="G39" i="1"/>
  <c r="F39" i="1"/>
  <c r="AL38" i="1"/>
  <c r="AM38" i="1" s="1"/>
  <c r="AK38" i="1"/>
  <c r="AG38" i="1"/>
  <c r="AH38" i="1" s="1"/>
  <c r="AF38" i="1"/>
  <c r="AD38" i="1"/>
  <c r="Y38" i="1"/>
  <c r="X38" i="1"/>
  <c r="Z38" i="1" s="1"/>
  <c r="T38" i="1"/>
  <c r="S38" i="1"/>
  <c r="Q38" i="1"/>
  <c r="L38" i="1"/>
  <c r="K38" i="1"/>
  <c r="G38" i="1"/>
  <c r="F38" i="1"/>
  <c r="H38" i="1" s="1"/>
  <c r="AL37" i="1"/>
  <c r="AK37" i="1"/>
  <c r="AH37" i="1"/>
  <c r="AG37" i="1"/>
  <c r="AF37" i="1"/>
  <c r="AD37" i="1"/>
  <c r="Z37" i="1"/>
  <c r="Y37" i="1"/>
  <c r="X37" i="1"/>
  <c r="T37" i="1"/>
  <c r="S37" i="1"/>
  <c r="Q37" i="1"/>
  <c r="L37" i="1"/>
  <c r="M37" i="1" s="1"/>
  <c r="K37" i="1"/>
  <c r="G37" i="1"/>
  <c r="F37" i="1"/>
  <c r="D37" i="1"/>
  <c r="AL36" i="1"/>
  <c r="AK36" i="1"/>
  <c r="AG36" i="1"/>
  <c r="AF36" i="1"/>
  <c r="AD36" i="1"/>
  <c r="Y36" i="1"/>
  <c r="X36" i="1"/>
  <c r="Z36" i="1" s="1"/>
  <c r="U36" i="1"/>
  <c r="T36" i="1"/>
  <c r="S36" i="1"/>
  <c r="Q36" i="1"/>
  <c r="L36" i="1"/>
  <c r="M36" i="1" s="1"/>
  <c r="K36" i="1"/>
  <c r="G36" i="1"/>
  <c r="H36" i="1" s="1"/>
  <c r="F36" i="1"/>
  <c r="D36" i="1"/>
  <c r="AL35" i="1"/>
  <c r="AM35" i="1" s="1"/>
  <c r="AK35" i="1"/>
  <c r="AG35" i="1"/>
  <c r="AF35" i="1"/>
  <c r="AD35" i="1"/>
  <c r="Y35" i="1"/>
  <c r="Z35" i="1" s="1"/>
  <c r="X35" i="1"/>
  <c r="T35" i="1"/>
  <c r="S35" i="1"/>
  <c r="U35" i="1" s="1"/>
  <c r="Q35" i="1"/>
  <c r="L35" i="1"/>
  <c r="K35" i="1"/>
  <c r="M35" i="1" s="1"/>
  <c r="H35" i="1"/>
  <c r="G35" i="1"/>
  <c r="F35" i="1"/>
  <c r="D35" i="1"/>
  <c r="AM34" i="1"/>
  <c r="AL34" i="1"/>
  <c r="AK34" i="1"/>
  <c r="AG34" i="1"/>
  <c r="AH34" i="1" s="1"/>
  <c r="AF34" i="1"/>
  <c r="AD34" i="1"/>
  <c r="Y34" i="1"/>
  <c r="Z34" i="1" s="1"/>
  <c r="X34" i="1"/>
  <c r="T34" i="1"/>
  <c r="S34" i="1"/>
  <c r="Q34" i="1"/>
  <c r="L34" i="1"/>
  <c r="K34" i="1"/>
  <c r="G34" i="1"/>
  <c r="F34" i="1"/>
  <c r="H34" i="1" s="1"/>
  <c r="AL33" i="1"/>
  <c r="AK33" i="1"/>
  <c r="AM33" i="1" s="1"/>
  <c r="AH33" i="1"/>
  <c r="AG33" i="1"/>
  <c r="AF33" i="1"/>
  <c r="AD33" i="1"/>
  <c r="Y33" i="1"/>
  <c r="Z33" i="1" s="1"/>
  <c r="X33" i="1"/>
  <c r="U33" i="1"/>
  <c r="T33" i="1"/>
  <c r="S33" i="1"/>
  <c r="Q33" i="1"/>
  <c r="L33" i="1"/>
  <c r="M33" i="1" s="1"/>
  <c r="K33" i="1"/>
  <c r="G33" i="1"/>
  <c r="H33" i="1" s="1"/>
  <c r="F33" i="1"/>
  <c r="AD32" i="1"/>
  <c r="Y32" i="1"/>
  <c r="Z32" i="1" s="1"/>
  <c r="X32" i="1"/>
  <c r="T32" i="1"/>
  <c r="S32" i="1"/>
  <c r="Q32" i="1"/>
  <c r="L32" i="1"/>
  <c r="K32" i="1"/>
  <c r="G32" i="1"/>
  <c r="F32" i="1"/>
  <c r="H32" i="1" s="1"/>
  <c r="D32" i="1"/>
  <c r="AM31" i="1"/>
  <c r="AH31" i="1"/>
  <c r="Y31" i="1"/>
  <c r="Z31" i="1" s="1"/>
  <c r="X31" i="1"/>
  <c r="T31" i="1"/>
  <c r="S31" i="1"/>
  <c r="Q31" i="1"/>
  <c r="L31" i="1"/>
  <c r="K31" i="1"/>
  <c r="G31" i="1"/>
  <c r="F31" i="1"/>
  <c r="H31" i="1" s="1"/>
  <c r="D31" i="1"/>
  <c r="Y30" i="1"/>
  <c r="X30" i="1"/>
  <c r="T30" i="1"/>
  <c r="U30" i="1" s="1"/>
  <c r="S30" i="1"/>
  <c r="Q30" i="1"/>
  <c r="M30" i="1"/>
  <c r="L30" i="1"/>
  <c r="K30" i="1"/>
  <c r="G30" i="1"/>
  <c r="H30" i="1" s="1"/>
  <c r="F30" i="1"/>
  <c r="D30" i="1"/>
  <c r="AM29" i="1"/>
  <c r="AL29" i="1"/>
  <c r="AK29" i="1"/>
  <c r="AG29" i="1"/>
  <c r="AF29" i="1"/>
  <c r="AD29" i="1"/>
  <c r="Q29" i="1"/>
  <c r="D29" i="1"/>
  <c r="BL28" i="1"/>
  <c r="BK28" i="1"/>
  <c r="BG28" i="1"/>
  <c r="BF28" i="1"/>
  <c r="BD28" i="1"/>
  <c r="AL28" i="1"/>
  <c r="AK28" i="1"/>
  <c r="AG28" i="1"/>
  <c r="AF28" i="1"/>
  <c r="AD28" i="1"/>
  <c r="Z28" i="1"/>
  <c r="U28" i="1"/>
  <c r="M28" i="1"/>
  <c r="H28" i="1"/>
  <c r="BL27" i="1"/>
  <c r="BM27" i="1" s="1"/>
  <c r="BK27" i="1"/>
  <c r="BG27" i="1"/>
  <c r="BH27" i="1" s="1"/>
  <c r="BF27" i="1"/>
  <c r="BD27" i="1"/>
  <c r="AL27" i="1"/>
  <c r="AK27" i="1"/>
  <c r="AM27" i="1" s="1"/>
  <c r="AH27" i="1"/>
  <c r="AG27" i="1"/>
  <c r="AF27" i="1"/>
  <c r="AD27" i="1"/>
  <c r="BL26" i="1"/>
  <c r="BK26" i="1"/>
  <c r="BG26" i="1"/>
  <c r="BF26" i="1"/>
  <c r="BD26" i="1"/>
  <c r="AL26" i="1"/>
  <c r="AK26" i="1"/>
  <c r="AH26" i="1"/>
  <c r="AG26" i="1"/>
  <c r="AF26" i="1"/>
  <c r="AD26" i="1"/>
  <c r="Y26" i="1"/>
  <c r="X26" i="1"/>
  <c r="T26" i="1"/>
  <c r="S26" i="1"/>
  <c r="Q26" i="1"/>
  <c r="L26" i="1"/>
  <c r="K26" i="1"/>
  <c r="G26" i="1"/>
  <c r="F26" i="1"/>
  <c r="D26" i="1"/>
  <c r="BL25" i="1"/>
  <c r="BK25" i="1"/>
  <c r="BG25" i="1"/>
  <c r="BF25" i="1"/>
  <c r="BH25" i="1" s="1"/>
  <c r="BD25" i="1"/>
  <c r="AL25" i="1"/>
  <c r="AK25" i="1"/>
  <c r="AM25" i="1" s="1"/>
  <c r="AG25" i="1"/>
  <c r="AH25" i="1" s="1"/>
  <c r="AF25" i="1"/>
  <c r="AD25" i="1"/>
  <c r="Z25" i="1"/>
  <c r="Y25" i="1"/>
  <c r="X25" i="1"/>
  <c r="T25" i="1"/>
  <c r="S25" i="1"/>
  <c r="U25" i="1" s="1"/>
  <c r="Q25" i="1"/>
  <c r="M25" i="1"/>
  <c r="L25" i="1"/>
  <c r="K25" i="1"/>
  <c r="G25" i="1"/>
  <c r="F25" i="1"/>
  <c r="BL24" i="1"/>
  <c r="BK24" i="1"/>
  <c r="BG24" i="1"/>
  <c r="BF24" i="1"/>
  <c r="BH24" i="1" s="1"/>
  <c r="BD24" i="1"/>
  <c r="AM24" i="1"/>
  <c r="AL24" i="1"/>
  <c r="AK24" i="1"/>
  <c r="AH24" i="1"/>
  <c r="AG24" i="1"/>
  <c r="AF24" i="1"/>
  <c r="AD24" i="1"/>
  <c r="Y24" i="1"/>
  <c r="Z24" i="1" s="1"/>
  <c r="X24" i="1"/>
  <c r="T24" i="1"/>
  <c r="U24" i="1" s="1"/>
  <c r="S24" i="1"/>
  <c r="Q24" i="1"/>
  <c r="L24" i="1"/>
  <c r="K24" i="1"/>
  <c r="M24" i="1" s="1"/>
  <c r="G24" i="1"/>
  <c r="H24" i="1" s="1"/>
  <c r="F24" i="1"/>
  <c r="BL23" i="1"/>
  <c r="BK23" i="1"/>
  <c r="BG23" i="1"/>
  <c r="BF23" i="1"/>
  <c r="BH23" i="1" s="1"/>
  <c r="BD23" i="1"/>
  <c r="AL23" i="1"/>
  <c r="AK23" i="1"/>
  <c r="AM23" i="1" s="1"/>
  <c r="AG23" i="1"/>
  <c r="AH23" i="1" s="1"/>
  <c r="AF23" i="1"/>
  <c r="AD23" i="1"/>
  <c r="Z23" i="1"/>
  <c r="Y23" i="1"/>
  <c r="X23" i="1"/>
  <c r="T23" i="1"/>
  <c r="S23" i="1"/>
  <c r="Q23" i="1"/>
  <c r="L23" i="1"/>
  <c r="M23" i="1" s="1"/>
  <c r="K23" i="1"/>
  <c r="G23" i="1"/>
  <c r="F23" i="1"/>
  <c r="D23" i="1"/>
  <c r="BL22" i="1"/>
  <c r="BM22" i="1" s="1"/>
  <c r="BK22" i="1"/>
  <c r="BG22" i="1"/>
  <c r="BF22" i="1"/>
  <c r="BH22" i="1" s="1"/>
  <c r="BD22" i="1"/>
  <c r="AL22" i="1"/>
  <c r="AK22" i="1"/>
  <c r="AM22" i="1" s="1"/>
  <c r="AH22" i="1"/>
  <c r="AG22" i="1"/>
  <c r="AF22" i="1"/>
  <c r="AD22" i="1"/>
  <c r="Z22" i="1"/>
  <c r="Y22" i="1"/>
  <c r="X22" i="1"/>
  <c r="T22" i="1"/>
  <c r="U22" i="1" s="1"/>
  <c r="S22" i="1"/>
  <c r="Q22" i="1"/>
  <c r="L22" i="1"/>
  <c r="M22" i="1" s="1"/>
  <c r="K22" i="1"/>
  <c r="G22" i="1"/>
  <c r="F22" i="1"/>
  <c r="D22" i="1"/>
  <c r="BL21" i="1"/>
  <c r="BM21" i="1" s="1"/>
  <c r="BK21" i="1"/>
  <c r="BH21" i="1"/>
  <c r="BG21" i="1"/>
  <c r="BF21" i="1"/>
  <c r="BD21" i="1"/>
  <c r="AL21" i="1"/>
  <c r="AK21" i="1"/>
  <c r="AG21" i="1"/>
  <c r="AF21" i="1"/>
  <c r="AD21" i="1"/>
  <c r="Y21" i="1"/>
  <c r="Z21" i="1" s="1"/>
  <c r="X21" i="1"/>
  <c r="T21" i="1"/>
  <c r="S21" i="1"/>
  <c r="U21" i="1" s="1"/>
  <c r="Q21" i="1"/>
  <c r="M21" i="1"/>
  <c r="L21" i="1"/>
  <c r="K21" i="1"/>
  <c r="H21" i="1"/>
  <c r="G21" i="1"/>
  <c r="F21" i="1"/>
  <c r="D21" i="1"/>
  <c r="BD20" i="1"/>
  <c r="AM20" i="1"/>
  <c r="AL20" i="1"/>
  <c r="AK20" i="1"/>
  <c r="AH20" i="1"/>
  <c r="AG20" i="1"/>
  <c r="AF20" i="1"/>
  <c r="AD20" i="1"/>
  <c r="Y20" i="1"/>
  <c r="X20" i="1"/>
  <c r="T20" i="1"/>
  <c r="S20" i="1"/>
  <c r="Q20" i="1"/>
  <c r="L20" i="1"/>
  <c r="K20" i="1"/>
  <c r="G20" i="1"/>
  <c r="F20" i="1"/>
  <c r="D20" i="1"/>
  <c r="BM19" i="1"/>
  <c r="BH19" i="1"/>
  <c r="BD19" i="1"/>
  <c r="AL19" i="1"/>
  <c r="AK19" i="1"/>
  <c r="AM19" i="1" s="1"/>
  <c r="AG19" i="1"/>
  <c r="AH19" i="1" s="1"/>
  <c r="AF19" i="1"/>
  <c r="AD19" i="1"/>
  <c r="Z19" i="1"/>
  <c r="Y19" i="1"/>
  <c r="X19" i="1"/>
  <c r="T19" i="1"/>
  <c r="S19" i="1"/>
  <c r="Q19" i="1"/>
  <c r="M19" i="1"/>
  <c r="L19" i="1"/>
  <c r="K19" i="1"/>
  <c r="G19" i="1"/>
  <c r="F19" i="1"/>
  <c r="AL18" i="1"/>
  <c r="AM18" i="1" s="1"/>
  <c r="AK18" i="1"/>
  <c r="AG18" i="1"/>
  <c r="AF18" i="1"/>
  <c r="AH18" i="1" s="1"/>
  <c r="AD18" i="1"/>
  <c r="Y18" i="1"/>
  <c r="X18" i="1"/>
  <c r="Z18" i="1" s="1"/>
  <c r="U18" i="1"/>
  <c r="T18" i="1"/>
  <c r="S18" i="1"/>
  <c r="Q18" i="1"/>
  <c r="M18" i="1"/>
  <c r="L18" i="1"/>
  <c r="K18" i="1"/>
  <c r="G18" i="1"/>
  <c r="H18" i="1" s="1"/>
  <c r="F18" i="1"/>
  <c r="AY17" i="1"/>
  <c r="AX17" i="1"/>
  <c r="AT17" i="1"/>
  <c r="AS17" i="1"/>
  <c r="AQ17" i="1"/>
  <c r="AM17" i="1"/>
  <c r="AL17" i="1"/>
  <c r="AK17" i="1"/>
  <c r="AH17" i="1"/>
  <c r="AG17" i="1"/>
  <c r="AF17" i="1"/>
  <c r="AD17" i="1"/>
  <c r="Y17" i="1"/>
  <c r="Z17" i="1" s="1"/>
  <c r="X17" i="1"/>
  <c r="T17" i="1"/>
  <c r="U17" i="1" s="1"/>
  <c r="S17" i="1"/>
  <c r="Q17" i="1"/>
  <c r="L17" i="1"/>
  <c r="K17" i="1"/>
  <c r="G17" i="1"/>
  <c r="F17" i="1"/>
  <c r="H17" i="1" s="1"/>
  <c r="D17" i="1"/>
  <c r="BL16" i="1"/>
  <c r="BK16" i="1"/>
  <c r="BG16" i="1"/>
  <c r="BF16" i="1"/>
  <c r="BD16" i="1"/>
  <c r="AY16" i="1"/>
  <c r="AX16" i="1"/>
  <c r="AU16" i="1"/>
  <c r="AT16" i="1"/>
  <c r="AS16" i="1"/>
  <c r="AQ16" i="1"/>
  <c r="AL16" i="1"/>
  <c r="AK16" i="1"/>
  <c r="AM16" i="1" s="1"/>
  <c r="AG16" i="1"/>
  <c r="AH16" i="1" s="1"/>
  <c r="AF16" i="1"/>
  <c r="AD16" i="1"/>
  <c r="Z16" i="1"/>
  <c r="Y16" i="1"/>
  <c r="X16" i="1"/>
  <c r="T16" i="1"/>
  <c r="U16" i="1" s="1"/>
  <c r="S16" i="1"/>
  <c r="Q16" i="1"/>
  <c r="M16" i="1"/>
  <c r="L16" i="1"/>
  <c r="K16" i="1"/>
  <c r="G16" i="1"/>
  <c r="F16" i="1"/>
  <c r="D16" i="1"/>
  <c r="BL15" i="1"/>
  <c r="BK15" i="1"/>
  <c r="BG15" i="1"/>
  <c r="BF15" i="1"/>
  <c r="BH15" i="1" s="1"/>
  <c r="BD15" i="1"/>
  <c r="AY15" i="1"/>
  <c r="AX15" i="1"/>
  <c r="AT15" i="1"/>
  <c r="AS15" i="1"/>
  <c r="AQ15" i="1"/>
  <c r="AL15" i="1"/>
  <c r="AM15" i="1" s="1"/>
  <c r="AK15" i="1"/>
  <c r="AG15" i="1"/>
  <c r="AF15" i="1"/>
  <c r="AH15" i="1" s="1"/>
  <c r="AD15" i="1"/>
  <c r="Y15" i="1"/>
  <c r="X15" i="1"/>
  <c r="Z15" i="1" s="1"/>
  <c r="U15" i="1"/>
  <c r="T15" i="1"/>
  <c r="S15" i="1"/>
  <c r="Q15" i="1"/>
  <c r="M15" i="1"/>
  <c r="L15" i="1"/>
  <c r="K15" i="1"/>
  <c r="G15" i="1"/>
  <c r="H15" i="1" s="1"/>
  <c r="F15" i="1"/>
  <c r="D15" i="1"/>
  <c r="BL14" i="1"/>
  <c r="BK14" i="1"/>
  <c r="BG14" i="1"/>
  <c r="BF14" i="1"/>
  <c r="BD14" i="1"/>
  <c r="AZ14" i="1"/>
  <c r="AY14" i="1"/>
  <c r="AX14" i="1"/>
  <c r="AT14" i="1"/>
  <c r="AU14" i="1" s="1"/>
  <c r="AS14" i="1"/>
  <c r="AQ14" i="1"/>
  <c r="AL14" i="1"/>
  <c r="AM14" i="1" s="1"/>
  <c r="AK14" i="1"/>
  <c r="AG14" i="1"/>
  <c r="AH14" i="1" s="1"/>
  <c r="AF14" i="1"/>
  <c r="AD14" i="1"/>
  <c r="Y14" i="1"/>
  <c r="X14" i="1"/>
  <c r="T14" i="1"/>
  <c r="S14" i="1"/>
  <c r="U14" i="1" s="1"/>
  <c r="Q14" i="1"/>
  <c r="L14" i="1"/>
  <c r="K14" i="1"/>
  <c r="M14" i="1" s="1"/>
  <c r="G14" i="1"/>
  <c r="H14" i="1" s="1"/>
  <c r="F14" i="1"/>
  <c r="D14" i="1"/>
  <c r="BM13" i="1"/>
  <c r="BL13" i="1"/>
  <c r="BK13" i="1"/>
  <c r="BG13" i="1"/>
  <c r="BH13" i="1" s="1"/>
  <c r="BF13" i="1"/>
  <c r="BD13" i="1"/>
  <c r="AY13" i="1"/>
  <c r="AZ13" i="1" s="1"/>
  <c r="AX13" i="1"/>
  <c r="AT13" i="1"/>
  <c r="AS13" i="1"/>
  <c r="AQ13" i="1"/>
  <c r="AL13" i="1"/>
  <c r="AK13" i="1"/>
  <c r="AG13" i="1"/>
  <c r="AF13" i="1"/>
  <c r="AH13" i="1" s="1"/>
  <c r="AD13" i="1"/>
  <c r="Y13" i="1"/>
  <c r="X13" i="1"/>
  <c r="Z13" i="1" s="1"/>
  <c r="U13" i="1"/>
  <c r="T13" i="1"/>
  <c r="S13" i="1"/>
  <c r="Q13" i="1"/>
  <c r="M13" i="1"/>
  <c r="L13" i="1"/>
  <c r="K13" i="1"/>
  <c r="G13" i="1"/>
  <c r="H13" i="1" s="1"/>
  <c r="F13" i="1"/>
  <c r="D13" i="1"/>
  <c r="BL12" i="1"/>
  <c r="BM12" i="1" s="1"/>
  <c r="BK12" i="1"/>
  <c r="BG12" i="1"/>
  <c r="BF12" i="1"/>
  <c r="BD12" i="1"/>
  <c r="AY12" i="1"/>
  <c r="AX12" i="1"/>
  <c r="AU12" i="1"/>
  <c r="AT12" i="1"/>
  <c r="AS12" i="1"/>
  <c r="AQ12" i="1"/>
  <c r="AL12" i="1"/>
  <c r="AK12" i="1"/>
  <c r="AM12" i="1" s="1"/>
  <c r="AG12" i="1"/>
  <c r="AH12" i="1" s="1"/>
  <c r="AF12" i="1"/>
  <c r="AD12" i="1"/>
  <c r="Z12" i="1"/>
  <c r="Y12" i="1"/>
  <c r="X12" i="1"/>
  <c r="T12" i="1"/>
  <c r="U12" i="1" s="1"/>
  <c r="S12" i="1"/>
  <c r="Q12" i="1"/>
  <c r="M12" i="1"/>
  <c r="L12" i="1"/>
  <c r="K12" i="1"/>
  <c r="G12" i="1"/>
  <c r="F12" i="1"/>
  <c r="D12" i="1"/>
  <c r="BL11" i="1"/>
  <c r="BK11" i="1"/>
  <c r="BG11" i="1"/>
  <c r="BF11" i="1"/>
  <c r="BH11" i="1" s="1"/>
  <c r="BD11" i="1"/>
  <c r="AY11" i="1"/>
  <c r="AX11" i="1"/>
  <c r="AZ11" i="1" s="1"/>
  <c r="AU11" i="1"/>
  <c r="AT11" i="1"/>
  <c r="AS11" i="1"/>
  <c r="AQ11" i="1"/>
  <c r="AL11" i="1"/>
  <c r="AM11" i="1" s="1"/>
  <c r="AK11" i="1"/>
  <c r="AG11" i="1"/>
  <c r="AH11" i="1" s="1"/>
  <c r="AF11" i="1"/>
  <c r="AD11" i="1"/>
  <c r="Y11" i="1"/>
  <c r="Z11" i="1" s="1"/>
  <c r="X11" i="1"/>
  <c r="T11" i="1"/>
  <c r="S11" i="1"/>
  <c r="Q11" i="1"/>
  <c r="L11" i="1"/>
  <c r="K11" i="1"/>
  <c r="G11" i="1"/>
  <c r="F11" i="1"/>
  <c r="H11" i="1" s="1"/>
  <c r="D11" i="1"/>
  <c r="BL10" i="1"/>
  <c r="BK10" i="1"/>
  <c r="BM10" i="1" s="1"/>
  <c r="BG10" i="1"/>
  <c r="BH10" i="1" s="1"/>
  <c r="BF10" i="1"/>
  <c r="BD10" i="1"/>
  <c r="AZ10" i="1"/>
  <c r="AY10" i="1"/>
  <c r="AX10" i="1"/>
  <c r="AT10" i="1"/>
  <c r="AU10" i="1" s="1"/>
  <c r="AS10" i="1"/>
  <c r="AQ10" i="1"/>
  <c r="AM10" i="1"/>
  <c r="AL10" i="1"/>
  <c r="AK10" i="1"/>
  <c r="AG10" i="1"/>
  <c r="AF10" i="1"/>
  <c r="AD10" i="1"/>
  <c r="Y10" i="1"/>
  <c r="Z10" i="1" s="1"/>
  <c r="X10" i="1"/>
  <c r="T10" i="1"/>
  <c r="S10" i="1"/>
  <c r="U10" i="1" s="1"/>
  <c r="Q10" i="1"/>
  <c r="L10" i="1"/>
  <c r="K10" i="1"/>
  <c r="M10" i="1" s="1"/>
  <c r="H10" i="1"/>
  <c r="G10" i="1"/>
  <c r="F10" i="1"/>
  <c r="D10" i="1"/>
  <c r="BD9" i="1"/>
  <c r="AQ9" i="1"/>
  <c r="AD9" i="1"/>
  <c r="Q9" i="1"/>
  <c r="D9" i="1"/>
  <c r="BM8" i="1"/>
  <c r="BH8" i="1"/>
  <c r="BD8" i="1"/>
  <c r="AZ8" i="1"/>
  <c r="AU8" i="1"/>
  <c r="AQ8" i="1"/>
  <c r="AM8" i="1"/>
  <c r="AH8" i="1"/>
  <c r="AD8" i="1"/>
  <c r="Z8" i="1"/>
  <c r="U8" i="1"/>
  <c r="Q8" i="1"/>
  <c r="M8" i="1"/>
  <c r="H8" i="1"/>
  <c r="D8" i="1"/>
  <c r="AS6" i="1"/>
  <c r="AF6" i="1"/>
  <c r="AF114" i="1" s="1"/>
  <c r="S6" i="1"/>
  <c r="S114" i="1" s="1"/>
  <c r="K6" i="1"/>
  <c r="F6" i="1"/>
  <c r="BF6" i="1" s="1"/>
  <c r="BF114" i="1" s="1"/>
  <c r="BD3" i="1"/>
  <c r="AQ3" i="1"/>
  <c r="AD3" i="1"/>
  <c r="Q3" i="1"/>
  <c r="D3" i="1"/>
  <c r="U42" i="1" l="1"/>
  <c r="BM24" i="1"/>
  <c r="AM36" i="1"/>
  <c r="U37" i="1"/>
  <c r="BM23" i="1"/>
  <c r="AM41" i="1"/>
  <c r="Z39" i="1"/>
  <c r="H41" i="1"/>
  <c r="AU51" i="1"/>
  <c r="H62" i="1"/>
  <c r="M51" i="1"/>
  <c r="U19" i="1"/>
  <c r="Z67" i="1"/>
  <c r="U23" i="1"/>
  <c r="M38" i="1"/>
  <c r="AM95" i="1"/>
  <c r="BH118" i="1"/>
  <c r="AU119" i="1"/>
  <c r="BM120" i="1"/>
  <c r="U121" i="1"/>
  <c r="M136" i="1"/>
  <c r="Z150" i="1"/>
  <c r="Z158" i="1"/>
  <c r="M11" i="1"/>
  <c r="BM11" i="1"/>
  <c r="U34" i="1"/>
  <c r="AH47" i="1"/>
  <c r="AH64" i="1"/>
  <c r="AH65" i="1"/>
  <c r="AH120" i="1"/>
  <c r="U184" i="1"/>
  <c r="AM13" i="1"/>
  <c r="AZ16" i="1"/>
  <c r="H22" i="1"/>
  <c r="AM58" i="1"/>
  <c r="U68" i="1"/>
  <c r="AM73" i="1"/>
  <c r="AL78" i="1"/>
  <c r="Z14" i="1"/>
  <c r="H25" i="1"/>
  <c r="H37" i="1"/>
  <c r="U38" i="1"/>
  <c r="AH40" i="1"/>
  <c r="AM65" i="1"/>
  <c r="AG78" i="1"/>
  <c r="BH94" i="1"/>
  <c r="AU95" i="1"/>
  <c r="M131" i="1"/>
  <c r="U162" i="1"/>
  <c r="U172" i="1"/>
  <c r="K86" i="1"/>
  <c r="K114" i="1" s="1"/>
  <c r="K127" i="1" s="1"/>
  <c r="K143" i="1" s="1"/>
  <c r="K157" i="1" s="1"/>
  <c r="X6" i="1"/>
  <c r="AH10" i="1"/>
  <c r="AH29" i="1"/>
  <c r="Z30" i="1"/>
  <c r="U31" i="1"/>
  <c r="AH45" i="1"/>
  <c r="AH46" i="1"/>
  <c r="U56" i="1"/>
  <c r="M59" i="1"/>
  <c r="U64" i="1"/>
  <c r="U66" i="1"/>
  <c r="M77" i="1"/>
  <c r="BM121" i="1"/>
  <c r="H133" i="1"/>
  <c r="BH12" i="1"/>
  <c r="M42" i="1"/>
  <c r="Z43" i="1"/>
  <c r="U50" i="1"/>
  <c r="AZ50" i="1"/>
  <c r="Z60" i="1"/>
  <c r="AM61" i="1"/>
  <c r="H76" i="1"/>
  <c r="H78" i="1"/>
  <c r="M94" i="1"/>
  <c r="M121" i="1"/>
  <c r="AZ122" i="1"/>
  <c r="AM123" i="1"/>
  <c r="Z124" i="1"/>
  <c r="H165" i="1"/>
  <c r="BM15" i="1"/>
  <c r="M31" i="1"/>
  <c r="U32" i="1"/>
  <c r="Z45" i="1"/>
  <c r="M132" i="1"/>
  <c r="AZ12" i="1"/>
  <c r="AH35" i="1"/>
  <c r="AM37" i="1"/>
  <c r="Z42" i="1"/>
  <c r="AZ53" i="1"/>
  <c r="AU54" i="1"/>
  <c r="Z121" i="1"/>
  <c r="M164" i="1"/>
  <c r="AH39" i="1"/>
  <c r="H53" i="1"/>
  <c r="H54" i="1"/>
  <c r="AH61" i="1"/>
  <c r="M67" i="1"/>
  <c r="H94" i="1"/>
  <c r="AU118" i="1"/>
  <c r="AH123" i="1"/>
  <c r="Z161" i="1"/>
  <c r="U11" i="1"/>
  <c r="H12" i="1"/>
  <c r="AM75" i="1"/>
  <c r="AZ118" i="1"/>
  <c r="U120" i="1"/>
  <c r="BH122" i="1"/>
  <c r="H137" i="1"/>
  <c r="M165" i="1"/>
  <c r="Z175" i="1"/>
  <c r="AU13" i="1"/>
  <c r="H16" i="1"/>
  <c r="M17" i="1"/>
  <c r="H19" i="1"/>
  <c r="H23" i="1"/>
  <c r="BM25" i="1"/>
  <c r="AM26" i="1"/>
  <c r="M32" i="1"/>
  <c r="M34" i="1"/>
  <c r="AH36" i="1"/>
  <c r="M50" i="1"/>
  <c r="BM51" i="1"/>
  <c r="BM53" i="1"/>
  <c r="Z55" i="1"/>
  <c r="U59" i="1"/>
  <c r="M63" i="1"/>
  <c r="Z68" i="1"/>
  <c r="AM77" i="1"/>
  <c r="AM119" i="1"/>
  <c r="AU123" i="1"/>
  <c r="M124" i="1"/>
  <c r="M148" i="1"/>
  <c r="M150" i="1"/>
  <c r="Z171" i="1"/>
  <c r="U173" i="1"/>
  <c r="Z183" i="1"/>
  <c r="U185" i="1"/>
  <c r="X114" i="1" l="1"/>
  <c r="X143" i="1"/>
  <c r="X154" i="1" s="1"/>
  <c r="X167" i="1" s="1"/>
  <c r="X178" i="1" s="1"/>
  <c r="AK6" i="1"/>
  <c r="AX6" i="1" l="1"/>
  <c r="AK114" i="1"/>
  <c r="AX114" i="1" l="1"/>
  <c r="BK6" i="1"/>
  <c r="BK114" i="1" s="1"/>
</calcChain>
</file>

<file path=xl/sharedStrings.xml><?xml version="1.0" encoding="utf-8"?>
<sst xmlns="http://schemas.openxmlformats.org/spreadsheetml/2006/main" count="7" uniqueCount="6">
  <si>
    <t>idioma</t>
  </si>
  <si>
    <t>English</t>
  </si>
  <si>
    <t>ESP</t>
  </si>
  <si>
    <t>Español</t>
  </si>
  <si>
    <t>ENG</t>
  </si>
  <si>
    <t>Millones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</si>
</sst>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;\(#,##0.0\)"/>
    <numFmt numFmtId="166" formatCode="0.0;\ \(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7" fillId="2" borderId="3" xfId="0" applyFont="1" applyFill="1" applyBorder="1"/>
    <xf numFmtId="165" fontId="7" fillId="4" borderId="3" xfId="0" applyNumberFormat="1" applyFont="1" applyFill="1" applyBorder="1" applyAlignment="1">
      <alignment horizontal="right" indent="1"/>
    </xf>
    <xf numFmtId="165" fontId="7" fillId="2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left" indent="2"/>
    </xf>
    <xf numFmtId="164" fontId="8" fillId="4" borderId="0" xfId="0" applyNumberFormat="1" applyFont="1" applyFill="1" applyBorder="1" applyAlignment="1">
      <alignment horizontal="right" indent="1"/>
    </xf>
    <xf numFmtId="164" fontId="8" fillId="2" borderId="0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4"/>
    </xf>
    <xf numFmtId="0" fontId="2" fillId="2" borderId="4" xfId="0" applyFont="1" applyFill="1" applyBorder="1"/>
    <xf numFmtId="0" fontId="2" fillId="5" borderId="0" xfId="0" applyFont="1" applyFill="1"/>
    <xf numFmtId="0" fontId="9" fillId="2" borderId="0" xfId="0" applyFont="1" applyFill="1"/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CI&#211;N%20CON%20INVERSORES/NEW/RESULTS/2018/2T/TABLAS%20NOTA%20IR%20con%20MC19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ABEZADOS"/>
      <sheetName val="GRUPO"/>
      <sheetName val="SANTILLANA"/>
      <sheetName val="RADIO"/>
      <sheetName val="NOTICIAS"/>
      <sheetName val="MEDIA CAPITAL"/>
      <sheetName val="TRANSFORMACIÓN"/>
      <sheetName val="To Publish"/>
      <sheetName val="Hoja1"/>
    </sheetNames>
    <sheetDataSet>
      <sheetData sheetId="0"/>
      <sheetData sheetId="1">
        <row r="10">
          <cell r="K10">
            <v>621.70596505891342</v>
          </cell>
          <cell r="L10">
            <v>655.02436052328699</v>
          </cell>
          <cell r="O10">
            <v>300.7058399430374</v>
          </cell>
          <cell r="P10">
            <v>292.503714107988</v>
          </cell>
        </row>
        <row r="11">
          <cell r="K11">
            <v>229.68618836459635</v>
          </cell>
          <cell r="L11">
            <v>244.90941677891732</v>
          </cell>
          <cell r="O11">
            <v>140.67299154746166</v>
          </cell>
          <cell r="P11">
            <v>151.67111356979279</v>
          </cell>
        </row>
        <row r="12">
          <cell r="K12">
            <v>392.0197766943171</v>
          </cell>
          <cell r="L12">
            <v>410.11494374436967</v>
          </cell>
          <cell r="O12">
            <v>160.03284839557577</v>
          </cell>
          <cell r="P12">
            <v>140.83260053819521</v>
          </cell>
        </row>
        <row r="13">
          <cell r="K13">
            <v>305.52000654431714</v>
          </cell>
          <cell r="L13">
            <v>331.51544048436972</v>
          </cell>
          <cell r="O13">
            <v>111.98946922557579</v>
          </cell>
          <cell r="P13">
            <v>97.128495538195295</v>
          </cell>
        </row>
        <row r="14">
          <cell r="K14">
            <v>86.499770150000018</v>
          </cell>
          <cell r="L14">
            <v>78.599503259999992</v>
          </cell>
          <cell r="O14">
            <v>48.043379170000016</v>
          </cell>
          <cell r="P14">
            <v>43.704104999999991</v>
          </cell>
        </row>
        <row r="15">
          <cell r="K15">
            <v>128.22043671489058</v>
          </cell>
          <cell r="L15">
            <v>131.80012489130414</v>
          </cell>
          <cell r="O15">
            <v>56.800962716780973</v>
          </cell>
          <cell r="P15">
            <v>40.911566296960572</v>
          </cell>
        </row>
        <row r="16">
          <cell r="K16">
            <v>15.042480859999923</v>
          </cell>
          <cell r="L16">
            <v>15.666552966162445</v>
          </cell>
          <cell r="O16">
            <v>28.615073050000209</v>
          </cell>
          <cell r="P16">
            <v>29.239690739999858</v>
          </cell>
        </row>
        <row r="17">
          <cell r="K17">
            <v>113.17795585489066</v>
          </cell>
          <cell r="L17">
            <v>116.13357192514171</v>
          </cell>
          <cell r="O17">
            <v>28.185889666780767</v>
          </cell>
          <cell r="P17">
            <v>11.671875556960742</v>
          </cell>
        </row>
        <row r="18">
          <cell r="K18">
            <v>94.447770093239555</v>
          </cell>
          <cell r="L18">
            <v>99.485043104583909</v>
          </cell>
          <cell r="O18">
            <v>14.02698998659838</v>
          </cell>
          <cell r="P18">
            <v>0.15313697685175498</v>
          </cell>
        </row>
        <row r="19">
          <cell r="K19">
            <v>18.7301857616511</v>
          </cell>
          <cell r="L19">
            <v>16.648528820557797</v>
          </cell>
          <cell r="O19">
            <v>14.15889968018238</v>
          </cell>
          <cell r="P19">
            <v>11.518738580108977</v>
          </cell>
        </row>
        <row r="20">
          <cell r="K20">
            <v>0.2062396758614666</v>
          </cell>
          <cell r="L20">
            <v>0.20121408123815643</v>
          </cell>
          <cell r="O20">
            <v>0.1888921170521356</v>
          </cell>
          <cell r="P20">
            <v>0.13986682672294765</v>
          </cell>
        </row>
        <row r="21">
          <cell r="K21">
            <v>94.170775555505102</v>
          </cell>
          <cell r="L21">
            <v>93.118670396345962</v>
          </cell>
          <cell r="O21">
            <v>37.823941127345499</v>
          </cell>
          <cell r="P21">
            <v>23.12408571542268</v>
          </cell>
        </row>
        <row r="22">
          <cell r="K22">
            <v>6.5188249100003306</v>
          </cell>
          <cell r="L22">
            <v>5.5783923374793227</v>
          </cell>
          <cell r="O22">
            <v>23.780569410000613</v>
          </cell>
          <cell r="P22">
            <v>24.598021349999936</v>
          </cell>
        </row>
        <row r="23">
          <cell r="K23">
            <v>87.651950645504769</v>
          </cell>
          <cell r="L23">
            <v>87.540278058866633</v>
          </cell>
          <cell r="O23">
            <v>14.043371717344883</v>
          </cell>
          <cell r="P23">
            <v>-1.4739356345772592</v>
          </cell>
        </row>
        <row r="24">
          <cell r="K24">
            <v>72.08763299385366</v>
          </cell>
          <cell r="L24">
            <v>74.097959258308833</v>
          </cell>
          <cell r="O24">
            <v>1.4767439271625022</v>
          </cell>
          <cell r="P24">
            <v>-11.322370164686234</v>
          </cell>
        </row>
        <row r="25">
          <cell r="K25">
            <v>15.5643176516511</v>
          </cell>
          <cell r="L25">
            <v>13.4423188005578</v>
          </cell>
          <cell r="O25">
            <v>12.56662779018238</v>
          </cell>
          <cell r="P25">
            <v>9.84843453010898</v>
          </cell>
        </row>
        <row r="26">
          <cell r="K26">
            <v>0.15147156509360724</v>
          </cell>
          <cell r="L26">
            <v>0.14216062181558431</v>
          </cell>
          <cell r="O26">
            <v>0.12578385951702992</v>
          </cell>
          <cell r="P26">
            <v>7.9055699466727497E-2</v>
          </cell>
        </row>
        <row r="30">
          <cell r="K30">
            <v>676.78477285587769</v>
          </cell>
          <cell r="L30">
            <v>655.02436052328699</v>
          </cell>
          <cell r="O30">
            <v>319.61073109936927</v>
          </cell>
          <cell r="P30">
            <v>292.503714107988</v>
          </cell>
        </row>
        <row r="31">
          <cell r="K31">
            <v>229.68618836459635</v>
          </cell>
          <cell r="L31">
            <v>244.90941677891732</v>
          </cell>
          <cell r="O31">
            <v>140.67299154746166</v>
          </cell>
          <cell r="P31">
            <v>151.67111356979279</v>
          </cell>
        </row>
        <row r="32">
          <cell r="K32">
            <v>447.09858449128137</v>
          </cell>
          <cell r="L32">
            <v>410.11494374436967</v>
          </cell>
          <cell r="O32">
            <v>178.93773955190767</v>
          </cell>
          <cell r="P32">
            <v>140.83260053819521</v>
          </cell>
        </row>
        <row r="33">
          <cell r="K33">
            <v>360.59881434128135</v>
          </cell>
          <cell r="L33">
            <v>331.51544048436972</v>
          </cell>
          <cell r="O33">
            <v>130.8943603819076</v>
          </cell>
          <cell r="P33">
            <v>97.128495538195295</v>
          </cell>
        </row>
        <row r="34">
          <cell r="K34">
            <v>86.499770150000018</v>
          </cell>
          <cell r="L34">
            <v>78.599503259999992</v>
          </cell>
          <cell r="O34">
            <v>48.043379170000016</v>
          </cell>
          <cell r="P34">
            <v>43.704104999999991</v>
          </cell>
        </row>
        <row r="35">
          <cell r="K35">
            <v>146.85559213314377</v>
          </cell>
          <cell r="L35">
            <v>131.80012489130414</v>
          </cell>
          <cell r="O35">
            <v>58.335298507677834</v>
          </cell>
          <cell r="P35">
            <v>40.911566296960572</v>
          </cell>
        </row>
        <row r="36">
          <cell r="K36">
            <v>15.042480859999923</v>
          </cell>
          <cell r="L36">
            <v>15.666552966162445</v>
          </cell>
          <cell r="O36">
            <v>28.615073050000209</v>
          </cell>
          <cell r="P36">
            <v>29.239690739999858</v>
          </cell>
        </row>
        <row r="37">
          <cell r="K37">
            <v>131.81311127314385</v>
          </cell>
          <cell r="L37">
            <v>116.13357192514171</v>
          </cell>
          <cell r="O37">
            <v>29.720225457677614</v>
          </cell>
          <cell r="P37">
            <v>11.671875556960742</v>
          </cell>
        </row>
        <row r="38">
          <cell r="K38">
            <v>113.08292551149275</v>
          </cell>
          <cell r="L38">
            <v>99.485043104583909</v>
          </cell>
          <cell r="O38">
            <v>15.561325777495227</v>
          </cell>
          <cell r="P38">
            <v>0.15313697685175498</v>
          </cell>
        </row>
        <row r="39">
          <cell r="K39">
            <v>18.7301857616511</v>
          </cell>
          <cell r="L39">
            <v>16.648528820557797</v>
          </cell>
          <cell r="O39">
            <v>14.15889968018238</v>
          </cell>
          <cell r="P39">
            <v>11.518738580108977</v>
          </cell>
        </row>
        <row r="40">
          <cell r="K40">
            <v>0.21699009496541508</v>
          </cell>
          <cell r="L40">
            <v>0.20121408123815643</v>
          </cell>
          <cell r="O40">
            <v>0.1825198368872695</v>
          </cell>
          <cell r="P40">
            <v>0.13986682672294765</v>
          </cell>
        </row>
        <row r="41">
          <cell r="K41">
            <v>109.05122328630868</v>
          </cell>
          <cell r="L41">
            <v>93.118670396345962</v>
          </cell>
          <cell r="O41">
            <v>37.209284790732951</v>
          </cell>
          <cell r="P41">
            <v>23.12408571542268</v>
          </cell>
        </row>
        <row r="42">
          <cell r="K42">
            <v>6.5188249100003306</v>
          </cell>
          <cell r="L42">
            <v>5.5783923374793227</v>
          </cell>
          <cell r="O42">
            <v>23.780569410000613</v>
          </cell>
          <cell r="P42">
            <v>24.598021349999936</v>
          </cell>
        </row>
        <row r="43">
          <cell r="K43">
            <v>102.53239837630835</v>
          </cell>
          <cell r="L43">
            <v>87.540278058866633</v>
          </cell>
          <cell r="O43">
            <v>13.428715380732328</v>
          </cell>
          <cell r="P43">
            <v>-1.4739356345772592</v>
          </cell>
        </row>
        <row r="44">
          <cell r="K44">
            <v>86.968080724657256</v>
          </cell>
          <cell r="L44">
            <v>74.097959258308833</v>
          </cell>
          <cell r="O44">
            <v>0.86208759054996165</v>
          </cell>
          <cell r="P44">
            <v>-11.322370164686234</v>
          </cell>
        </row>
        <row r="45">
          <cell r="K45">
            <v>15.5643176516511</v>
          </cell>
          <cell r="L45">
            <v>13.4423188005578</v>
          </cell>
          <cell r="O45">
            <v>12.56662779018238</v>
          </cell>
          <cell r="P45">
            <v>9.84843453010898</v>
          </cell>
        </row>
        <row r="46">
          <cell r="K46">
            <v>0.16113131923186946</v>
          </cell>
          <cell r="L46">
            <v>0.14216062181558431</v>
          </cell>
          <cell r="O46">
            <v>0.1164206366373985</v>
          </cell>
          <cell r="P46">
            <v>7.9055699466727497E-2</v>
          </cell>
        </row>
        <row r="64">
          <cell r="K64">
            <v>629.08382391468604</v>
          </cell>
          <cell r="L64">
            <v>655.02436052328699</v>
          </cell>
          <cell r="O64">
            <v>308.08369879881002</v>
          </cell>
          <cell r="P64">
            <v>292.503714107988</v>
          </cell>
        </row>
        <row r="65">
          <cell r="K65">
            <v>229.68618836459635</v>
          </cell>
          <cell r="L65">
            <v>244.90941677891732</v>
          </cell>
          <cell r="O65">
            <v>140.67299154746166</v>
          </cell>
          <cell r="P65">
            <v>151.67111356979279</v>
          </cell>
        </row>
        <row r="66">
          <cell r="K66">
            <v>399.39763555008966</v>
          </cell>
          <cell r="L66">
            <v>410.11494374436967</v>
          </cell>
          <cell r="O66">
            <v>167.41070725134833</v>
          </cell>
          <cell r="P66">
            <v>140.83260053819521</v>
          </cell>
        </row>
        <row r="67">
          <cell r="K67">
            <v>312.89786540008964</v>
          </cell>
          <cell r="L67">
            <v>331.51544048436972</v>
          </cell>
          <cell r="O67">
            <v>119.36732808134829</v>
          </cell>
          <cell r="P67">
            <v>97.128495538195295</v>
          </cell>
        </row>
        <row r="68">
          <cell r="K68">
            <v>86.499770150000018</v>
          </cell>
          <cell r="L68">
            <v>78.599503259999992</v>
          </cell>
          <cell r="O68">
            <v>48.043379170000016</v>
          </cell>
          <cell r="P68">
            <v>43.704104999999991</v>
          </cell>
        </row>
        <row r="69">
          <cell r="K69">
            <v>514.52617106964999</v>
          </cell>
          <cell r="L69">
            <v>536.47501402934995</v>
          </cell>
          <cell r="O69">
            <v>254.00433745709569</v>
          </cell>
          <cell r="P69">
            <v>256.78527546819555</v>
          </cell>
        </row>
        <row r="70">
          <cell r="K70">
            <v>232.14713506459643</v>
          </cell>
          <cell r="L70">
            <v>238.97785637891806</v>
          </cell>
          <cell r="O70">
            <v>119.98030476746149</v>
          </cell>
          <cell r="P70">
            <v>126.43785326979297</v>
          </cell>
        </row>
        <row r="71">
          <cell r="K71">
            <v>282.37903600505359</v>
          </cell>
          <cell r="L71">
            <v>297.49715765043192</v>
          </cell>
          <cell r="O71">
            <v>134.02403268963423</v>
          </cell>
          <cell r="P71">
            <v>130.34742219840263</v>
          </cell>
        </row>
        <row r="72">
          <cell r="K72">
            <v>213.41189270670466</v>
          </cell>
          <cell r="L72">
            <v>234.77903849098976</v>
          </cell>
          <cell r="O72">
            <v>99.342549459816539</v>
          </cell>
          <cell r="P72">
            <v>98.045311638511691</v>
          </cell>
        </row>
        <row r="73">
          <cell r="K73">
            <v>68.967143298348915</v>
          </cell>
          <cell r="L73">
            <v>62.718119159442196</v>
          </cell>
          <cell r="O73">
            <v>34.68148322981763</v>
          </cell>
          <cell r="P73">
            <v>32.30211055989102</v>
          </cell>
        </row>
        <row r="74">
          <cell r="K74">
            <v>114.557652845036</v>
          </cell>
          <cell r="L74">
            <v>118.54934649393701</v>
          </cell>
          <cell r="O74">
            <v>54.079361341714304</v>
          </cell>
          <cell r="P74">
            <v>35.718438639792396</v>
          </cell>
        </row>
        <row r="75">
          <cell r="K75">
            <v>-2.4609467000000733</v>
          </cell>
          <cell r="L75">
            <v>5.9315603999992597</v>
          </cell>
          <cell r="O75">
            <v>20.69268678000018</v>
          </cell>
          <cell r="P75">
            <v>25.23326029999982</v>
          </cell>
        </row>
        <row r="76">
          <cell r="K76">
            <v>117.01859954503608</v>
          </cell>
          <cell r="L76">
            <v>112.61778609393774</v>
          </cell>
          <cell r="O76">
            <v>33.386674561714131</v>
          </cell>
          <cell r="P76">
            <v>10.485178339792569</v>
          </cell>
        </row>
        <row r="77">
          <cell r="K77">
            <v>99.48597269338498</v>
          </cell>
          <cell r="L77">
            <v>96.736401993379943</v>
          </cell>
          <cell r="O77">
            <v>20.024778621531752</v>
          </cell>
          <cell r="P77">
            <v>-0.91681610031639593</v>
          </cell>
        </row>
        <row r="78">
          <cell r="K78">
            <v>17.532626851651102</v>
          </cell>
          <cell r="L78">
            <v>15.881384100557797</v>
          </cell>
          <cell r="O78">
            <v>13.361895940182382</v>
          </cell>
          <cell r="P78">
            <v>11.401994440108977</v>
          </cell>
        </row>
        <row r="79">
          <cell r="K79">
            <v>0.1821023661555346</v>
          </cell>
          <cell r="L79">
            <v>0.18098463757779956</v>
          </cell>
          <cell r="O79">
            <v>0.17553464059463306</v>
          </cell>
          <cell r="P79">
            <v>0.12211276957189569</v>
          </cell>
        </row>
        <row r="80">
          <cell r="K80">
            <v>80.507991685650524</v>
          </cell>
          <cell r="L80">
            <v>79.86789199897882</v>
          </cell>
          <cell r="O80">
            <v>35.102339752278823</v>
          </cell>
          <cell r="P80">
            <v>17.930958058254497</v>
          </cell>
        </row>
        <row r="81">
          <cell r="K81">
            <v>-10.984602649999696</v>
          </cell>
          <cell r="L81">
            <v>-4.1566002286838488</v>
          </cell>
          <cell r="O81">
            <v>15.858183140000547</v>
          </cell>
          <cell r="P81">
            <v>20.591590909999894</v>
          </cell>
        </row>
        <row r="82">
          <cell r="K82">
            <v>91.492594335650224</v>
          </cell>
          <cell r="L82">
            <v>84.024492227662677</v>
          </cell>
          <cell r="O82">
            <v>19.244156612278289</v>
          </cell>
          <cell r="P82">
            <v>-2.6606328517453903</v>
          </cell>
        </row>
        <row r="83">
          <cell r="K83">
            <v>77.125835593999128</v>
          </cell>
          <cell r="L83">
            <v>71.349318147104867</v>
          </cell>
          <cell r="O83">
            <v>7.4745325620959022</v>
          </cell>
          <cell r="P83">
            <v>-12.392323241854385</v>
          </cell>
        </row>
        <row r="84">
          <cell r="K84">
            <v>14.3667587416511</v>
          </cell>
          <cell r="L84">
            <v>12.675174080557799</v>
          </cell>
          <cell r="O84">
            <v>11.769624050182379</v>
          </cell>
          <cell r="P84">
            <v>9.7316903901089784</v>
          </cell>
        </row>
        <row r="85">
          <cell r="K85">
            <v>0.12797657263647699</v>
          </cell>
          <cell r="L85">
            <v>0.12193117815522742</v>
          </cell>
          <cell r="O85">
            <v>0.11393767307111546</v>
          </cell>
          <cell r="P85">
            <v>6.1301642315675538E-2</v>
          </cell>
        </row>
        <row r="86">
          <cell r="K86">
            <v>-44.122654606175203</v>
          </cell>
          <cell r="L86">
            <v>-26.285350286502101</v>
          </cell>
          <cell r="O86">
            <v>-28.486220158665304</v>
          </cell>
          <cell r="P86">
            <v>-8.9409216238066023</v>
          </cell>
        </row>
        <row r="87">
          <cell r="K87">
            <v>-25.2197837047325</v>
          </cell>
          <cell r="L87">
            <v>-26.941771149725302</v>
          </cell>
          <cell r="O87">
            <v>-12.579188114936901</v>
          </cell>
          <cell r="P87">
            <v>-12.546428506694902</v>
          </cell>
        </row>
        <row r="88">
          <cell r="K88">
            <v>-18.902870901442704</v>
          </cell>
          <cell r="L88">
            <v>0.65642086322320026</v>
          </cell>
          <cell r="O88">
            <v>-15.907032043728401</v>
          </cell>
          <cell r="P88">
            <v>3.6055068828882995</v>
          </cell>
        </row>
        <row r="89">
          <cell r="K89">
            <v>2.4392733227744503</v>
          </cell>
          <cell r="L89">
            <v>0.55638216376572303</v>
          </cell>
          <cell r="O89">
            <v>1.6528902442129154</v>
          </cell>
          <cell r="P89">
            <v>0.28750463374097202</v>
          </cell>
        </row>
        <row r="90">
          <cell r="K90">
            <v>38.824610402249768</v>
          </cell>
          <cell r="L90">
            <v>54.138923876242444</v>
          </cell>
          <cell r="O90">
            <v>8.269009837826431</v>
          </cell>
          <cell r="P90">
            <v>9.2775410681888673</v>
          </cell>
        </row>
        <row r="91">
          <cell r="K91">
            <v>22.799579094973041</v>
          </cell>
          <cell r="L91">
            <v>25.068128427510509</v>
          </cell>
          <cell r="O91">
            <v>9.4397398380166102</v>
          </cell>
          <cell r="P91">
            <v>8.6895555973894218</v>
          </cell>
        </row>
        <row r="92">
          <cell r="K92">
            <v>0</v>
          </cell>
          <cell r="L92">
            <v>-0.98498400000000008</v>
          </cell>
          <cell r="O92">
            <v>0</v>
          </cell>
          <cell r="P92">
            <v>0</v>
          </cell>
        </row>
        <row r="93">
          <cell r="K93">
            <v>15.6226513776197</v>
          </cell>
          <cell r="L93">
            <v>14.1863517447741</v>
          </cell>
          <cell r="O93">
            <v>10.23246706558502</v>
          </cell>
          <cell r="P93">
            <v>8.6073003069221095</v>
          </cell>
        </row>
        <row r="94">
          <cell r="K94">
            <v>0.40237992965604463</v>
          </cell>
          <cell r="L94">
            <v>13.899459702642259</v>
          </cell>
          <cell r="O94">
            <v>-11.403197065776974</v>
          </cell>
          <cell r="P94">
            <v>-8.0193148361219873</v>
          </cell>
        </row>
        <row r="105">
          <cell r="K105">
            <v>7.37785885577253</v>
          </cell>
          <cell r="L105">
            <v>0</v>
          </cell>
          <cell r="O105">
            <v>7.37785885577253</v>
          </cell>
          <cell r="P105">
            <v>0</v>
          </cell>
        </row>
        <row r="106">
          <cell r="K106">
            <v>7.37785885577253</v>
          </cell>
          <cell r="L106">
            <v>0</v>
          </cell>
          <cell r="O106">
            <v>7.37785885577253</v>
          </cell>
          <cell r="P106">
            <v>0</v>
          </cell>
        </row>
        <row r="109">
          <cell r="K109">
            <v>-21.040642725627098</v>
          </cell>
          <cell r="L109">
            <v>-13.25077839736714</v>
          </cell>
          <cell r="O109">
            <v>-10.099460230839195</v>
          </cell>
          <cell r="P109">
            <v>-5.1931276571681906</v>
          </cell>
        </row>
        <row r="110">
          <cell r="K110">
            <v>-21.040642725627098</v>
          </cell>
          <cell r="L110">
            <v>-13.25077839736714</v>
          </cell>
          <cell r="O110">
            <v>-10.099460230839195</v>
          </cell>
          <cell r="P110">
            <v>-5.1931276571681906</v>
          </cell>
        </row>
        <row r="114">
          <cell r="K114">
            <v>0</v>
          </cell>
          <cell r="L114">
            <v>0</v>
          </cell>
          <cell r="O114">
            <v>0</v>
          </cell>
          <cell r="P114">
            <v>0</v>
          </cell>
        </row>
        <row r="115">
          <cell r="K115">
            <v>0</v>
          </cell>
          <cell r="L115">
            <v>0</v>
          </cell>
          <cell r="O115">
            <v>0</v>
          </cell>
          <cell r="P115">
            <v>0</v>
          </cell>
        </row>
        <row r="128">
          <cell r="K128">
            <v>621.70596505891342</v>
          </cell>
          <cell r="L128">
            <v>655.02436052328699</v>
          </cell>
          <cell r="O128">
            <v>300.7058399430374</v>
          </cell>
          <cell r="P128">
            <v>292.503714107988</v>
          </cell>
        </row>
        <row r="129">
          <cell r="K129">
            <v>293.95733014860747</v>
          </cell>
          <cell r="L129">
            <v>328.02148342967899</v>
          </cell>
          <cell r="O129">
            <v>120.20941290548348</v>
          </cell>
          <cell r="P129">
            <v>112.42070918099799</v>
          </cell>
        </row>
        <row r="130">
          <cell r="K130">
            <v>135.97658028720701</v>
          </cell>
          <cell r="L130">
            <v>136.76790469200699</v>
          </cell>
          <cell r="O130">
            <v>77.144301663427811</v>
          </cell>
          <cell r="P130">
            <v>75.783237870044189</v>
          </cell>
        </row>
        <row r="131">
          <cell r="K131">
            <v>100.257352177893</v>
          </cell>
          <cell r="L131">
            <v>109.053915504267</v>
          </cell>
          <cell r="O131">
            <v>54.606470981266</v>
          </cell>
          <cell r="P131">
            <v>58.659025464881594</v>
          </cell>
        </row>
        <row r="132">
          <cell r="K132">
            <v>91.514702445205941</v>
          </cell>
          <cell r="L132">
            <v>81.181056897334003</v>
          </cell>
          <cell r="O132">
            <v>48.745654392860118</v>
          </cell>
          <cell r="P132">
            <v>45.640741592064231</v>
          </cell>
        </row>
        <row r="140">
          <cell r="K140">
            <v>128.22043671489058</v>
          </cell>
          <cell r="L140">
            <v>131.80012489130414</v>
          </cell>
          <cell r="O140">
            <v>56.800962716780973</v>
          </cell>
          <cell r="P140">
            <v>40.911566296960572</v>
          </cell>
        </row>
        <row r="141">
          <cell r="K141">
            <v>81.148683985070264</v>
          </cell>
          <cell r="L141">
            <v>94.203475473929714</v>
          </cell>
          <cell r="O141">
            <v>18.175845204785979</v>
          </cell>
          <cell r="P141">
            <v>11.200432742548159</v>
          </cell>
        </row>
        <row r="142">
          <cell r="K142">
            <v>28.21189003778893</v>
          </cell>
          <cell r="L142">
            <v>22.013705716172801</v>
          </cell>
          <cell r="O142">
            <v>21.2157219718218</v>
          </cell>
          <cell r="P142">
            <v>16.335453433327682</v>
          </cell>
        </row>
        <row r="143">
          <cell r="K143">
            <v>4.0065482534604628</v>
          </cell>
          <cell r="L143">
            <v>5.9595375868221296</v>
          </cell>
          <cell r="O143">
            <v>4.6966426850119225</v>
          </cell>
          <cell r="P143">
            <v>5.1058867729091792</v>
          </cell>
        </row>
        <row r="144">
          <cell r="K144">
            <v>14.853314438570926</v>
          </cell>
          <cell r="L144">
            <v>9.6234061143794918</v>
          </cell>
          <cell r="O144">
            <v>12.712752855161272</v>
          </cell>
          <cell r="P144">
            <v>8.2697933481755523</v>
          </cell>
        </row>
        <row r="156">
          <cell r="K156">
            <v>114.557652845036</v>
          </cell>
          <cell r="L156">
            <v>118.54934649393701</v>
          </cell>
          <cell r="O156">
            <v>54.079361341714304</v>
          </cell>
          <cell r="P156">
            <v>35.718438639792396</v>
          </cell>
        </row>
        <row r="157">
          <cell r="K157">
            <v>13.662783869854579</v>
          </cell>
          <cell r="L157">
            <v>13.250778397367128</v>
          </cell>
          <cell r="O157">
            <v>2.721601375066669</v>
          </cell>
          <cell r="P157">
            <v>5.1931276571681764</v>
          </cell>
        </row>
        <row r="158">
          <cell r="K158">
            <v>128.22043671489058</v>
          </cell>
          <cell r="L158">
            <v>131.80012489130414</v>
          </cell>
          <cell r="O158">
            <v>56.800962716780973</v>
          </cell>
          <cell r="P158">
            <v>40.911566296960572</v>
          </cell>
        </row>
        <row r="159">
          <cell r="K159">
            <v>29.695009355643201</v>
          </cell>
          <cell r="L159">
            <v>33.834116634769003</v>
          </cell>
          <cell r="O159">
            <v>12.293545720462102</v>
          </cell>
          <cell r="P159">
            <v>13.527774866134305</v>
          </cell>
        </row>
        <row r="160">
          <cell r="K160">
            <v>3.9719579397349096</v>
          </cell>
          <cell r="L160">
            <v>2.8140812352723503</v>
          </cell>
          <cell r="O160">
            <v>6.2205840577814602</v>
          </cell>
          <cell r="P160">
            <v>3.4026871409393022</v>
          </cell>
        </row>
        <row r="161">
          <cell r="K161">
            <v>0.38269386400736893</v>
          </cell>
          <cell r="L161">
            <v>2.0332566249168207</v>
          </cell>
          <cell r="O161">
            <v>0.46289181119191136</v>
          </cell>
          <cell r="P161">
            <v>0.85701857446428509</v>
          </cell>
        </row>
        <row r="162">
          <cell r="K162">
            <v>94.170775555505102</v>
          </cell>
          <cell r="L162">
            <v>93.118670396345962</v>
          </cell>
          <cell r="O162">
            <v>37.823941127345499</v>
          </cell>
          <cell r="P162">
            <v>23.12408571542268</v>
          </cell>
        </row>
        <row r="169">
          <cell r="K169">
            <v>7.7580333085708917</v>
          </cell>
          <cell r="L169">
            <v>4.6682203743794677</v>
          </cell>
          <cell r="O169">
            <v>9.8827131451612011</v>
          </cell>
          <cell r="P169">
            <v>4.778884358175544</v>
          </cell>
        </row>
        <row r="170">
          <cell r="K170">
            <v>7.0952811300000338</v>
          </cell>
          <cell r="L170">
            <v>4.9551857400000241</v>
          </cell>
          <cell r="O170">
            <v>2.8300397100000705</v>
          </cell>
          <cell r="P170">
            <v>3.4909089900000083</v>
          </cell>
        </row>
        <row r="171">
          <cell r="K171">
            <v>14.853314438570926</v>
          </cell>
          <cell r="L171">
            <v>9.6234061143794918</v>
          </cell>
          <cell r="O171">
            <v>12.712752855161272</v>
          </cell>
          <cell r="P171">
            <v>8.2697933481755523</v>
          </cell>
        </row>
        <row r="172">
          <cell r="K172">
            <v>3.4353590856724217</v>
          </cell>
          <cell r="L172">
            <v>4.3819097058981349</v>
          </cell>
          <cell r="O172">
            <v>1.6931560905791905</v>
          </cell>
          <cell r="P172">
            <v>2.223573297374986</v>
          </cell>
        </row>
        <row r="173">
          <cell r="K173">
            <v>0.37970403127047547</v>
          </cell>
          <cell r="L173">
            <v>0.16135929473363742</v>
          </cell>
          <cell r="O173">
            <v>0.30944986286201365</v>
          </cell>
          <cell r="P173">
            <v>0.12796727085562154</v>
          </cell>
        </row>
        <row r="174">
          <cell r="K174">
            <v>0.1020551099996363</v>
          </cell>
          <cell r="L174">
            <v>-4.6518344731794059E-14</v>
          </cell>
          <cell r="O174">
            <v>0.10205510999959658</v>
          </cell>
          <cell r="P174">
            <v>-9.936496070395151E-14</v>
          </cell>
        </row>
        <row r="175">
          <cell r="K175">
            <v>10.936196211628392</v>
          </cell>
          <cell r="L175">
            <v>5.0801371137477656</v>
          </cell>
          <cell r="O175">
            <v>10.60809179172047</v>
          </cell>
          <cell r="P175">
            <v>5.9182527799450435</v>
          </cell>
        </row>
      </sheetData>
      <sheetData sheetId="2">
        <row r="10">
          <cell r="K10">
            <v>293.95733014860747</v>
          </cell>
          <cell r="L10">
            <v>328.02148342967899</v>
          </cell>
          <cell r="O10">
            <v>120.20941290548348</v>
          </cell>
          <cell r="P10">
            <v>112.42070918099799</v>
          </cell>
        </row>
        <row r="11">
          <cell r="K11">
            <v>37.301114477915405</v>
          </cell>
          <cell r="L11">
            <v>46.542836386892418</v>
          </cell>
          <cell r="O11">
            <v>35.232237330981434</v>
          </cell>
          <cell r="P11">
            <v>42.85473820050953</v>
          </cell>
        </row>
        <row r="12">
          <cell r="K12">
            <v>256.65621567069206</v>
          </cell>
          <cell r="L12">
            <v>281.47864704278658</v>
          </cell>
          <cell r="O12">
            <v>84.977175574502041</v>
          </cell>
          <cell r="P12">
            <v>69.565970980488459</v>
          </cell>
        </row>
        <row r="13">
          <cell r="K13">
            <v>256.62640767069206</v>
          </cell>
          <cell r="L13">
            <v>281.41056904278656</v>
          </cell>
          <cell r="O13">
            <v>84.976773574502033</v>
          </cell>
          <cell r="P13">
            <v>69.544440980488446</v>
          </cell>
        </row>
        <row r="14">
          <cell r="K14">
            <v>2.9808000000000001E-2</v>
          </cell>
          <cell r="L14">
            <v>6.8078E-2</v>
          </cell>
          <cell r="O14">
            <v>4.0200000000000305E-4</v>
          </cell>
          <cell r="P14">
            <v>2.1530000000000001E-2</v>
          </cell>
        </row>
        <row r="15">
          <cell r="K15">
            <v>81.148683985070264</v>
          </cell>
          <cell r="L15">
            <v>94.203475473929714</v>
          </cell>
          <cell r="O15">
            <v>18.175845204785979</v>
          </cell>
          <cell r="P15">
            <v>11.200432742548159</v>
          </cell>
        </row>
        <row r="16">
          <cell r="K16">
            <v>-5.096120400000018</v>
          </cell>
          <cell r="L16">
            <v>2.3653616399990653</v>
          </cell>
          <cell r="O16">
            <v>10.506535639999761</v>
          </cell>
          <cell r="P16">
            <v>17.509033509998929</v>
          </cell>
        </row>
        <row r="17">
          <cell r="K17">
            <v>86.244804385070282</v>
          </cell>
          <cell r="L17">
            <v>91.838113833930649</v>
          </cell>
          <cell r="O17">
            <v>7.6693095647862179</v>
          </cell>
          <cell r="P17">
            <v>-6.3086007674507698</v>
          </cell>
        </row>
        <row r="18">
          <cell r="K18">
            <v>87.168701385070278</v>
          </cell>
          <cell r="L18">
            <v>93.360345833930651</v>
          </cell>
          <cell r="O18">
            <v>8.0843325647862088</v>
          </cell>
          <cell r="P18">
            <v>-5.4152687674507689</v>
          </cell>
        </row>
        <row r="19">
          <cell r="K19">
            <v>-0.92389699999999997</v>
          </cell>
          <cell r="L19">
            <v>-1.522232</v>
          </cell>
          <cell r="O19">
            <v>-0.41502299999999992</v>
          </cell>
          <cell r="P19">
            <v>-0.89333200000000001</v>
          </cell>
        </row>
        <row r="20">
          <cell r="K20">
            <v>0.27605599746074128</v>
          </cell>
          <cell r="L20">
            <v>0.28718690766522609</v>
          </cell>
          <cell r="O20">
            <v>0.15120151380389005</v>
          </cell>
          <cell r="P20">
            <v>9.9629621838761021E-2</v>
          </cell>
        </row>
        <row r="21">
          <cell r="K21">
            <v>59.048059915523758</v>
          </cell>
          <cell r="L21">
            <v>70.789459627326522</v>
          </cell>
          <cell r="O21">
            <v>5.6076723452863746</v>
          </cell>
          <cell r="P21">
            <v>7.1009712754275256E-2</v>
          </cell>
        </row>
        <row r="22">
          <cell r="K22">
            <v>-6.9767185100001612</v>
          </cell>
          <cell r="L22">
            <v>0.9232231099989292</v>
          </cell>
          <cell r="O22">
            <v>9.2337533199995079</v>
          </cell>
          <cell r="P22">
            <v>16.791630709998913</v>
          </cell>
        </row>
        <row r="23">
          <cell r="K23">
            <v>66.02477842552392</v>
          </cell>
          <cell r="L23">
            <v>69.866236517327593</v>
          </cell>
          <cell r="O23">
            <v>-3.6260809747131333</v>
          </cell>
          <cell r="P23">
            <v>-16.720620997244637</v>
          </cell>
        </row>
        <row r="24">
          <cell r="K24">
            <v>66.950577425523917</v>
          </cell>
          <cell r="L24">
            <v>71.393201517327597</v>
          </cell>
          <cell r="O24">
            <v>-3.2101129747131409</v>
          </cell>
          <cell r="P24">
            <v>-15.824764997244628</v>
          </cell>
        </row>
        <row r="25">
          <cell r="K25">
            <v>-0.92579899999999993</v>
          </cell>
          <cell r="L25">
            <v>-1.5269649999999999</v>
          </cell>
          <cell r="O25">
            <v>-0.41596799999999989</v>
          </cell>
          <cell r="P25">
            <v>-0.89585599999999987</v>
          </cell>
        </row>
        <row r="26">
          <cell r="K26">
            <v>0.20087289500715136</v>
          </cell>
          <cell r="L26">
            <v>0.21580738824535653</v>
          </cell>
          <cell r="O26">
            <v>4.6649195015164867E-2</v>
          </cell>
          <cell r="P26">
            <v>6.3164263303079875E-4</v>
          </cell>
        </row>
        <row r="30">
          <cell r="K30">
            <v>344.24198669043602</v>
          </cell>
          <cell r="L30">
            <v>328.02148342967899</v>
          </cell>
          <cell r="O30">
            <v>137.36920483414463</v>
          </cell>
          <cell r="P30">
            <v>112.42070918099799</v>
          </cell>
        </row>
        <row r="31">
          <cell r="K31">
            <v>37.301114477915462</v>
          </cell>
          <cell r="L31">
            <v>46.542836386892418</v>
          </cell>
          <cell r="O31">
            <v>35.232237330981519</v>
          </cell>
          <cell r="P31">
            <v>42.85473820050953</v>
          </cell>
        </row>
        <row r="32">
          <cell r="K32">
            <v>306.94087221252056</v>
          </cell>
          <cell r="L32">
            <v>281.47864704278658</v>
          </cell>
          <cell r="O32">
            <v>102.13696750316311</v>
          </cell>
          <cell r="P32">
            <v>69.565970980488459</v>
          </cell>
        </row>
        <row r="33">
          <cell r="K33">
            <v>306.91106421252056</v>
          </cell>
          <cell r="L33">
            <v>281.41056904278656</v>
          </cell>
          <cell r="O33">
            <v>102.1365655031631</v>
          </cell>
          <cell r="P33">
            <v>69.544440980488446</v>
          </cell>
        </row>
        <row r="34">
          <cell r="K34">
            <v>2.9808000000000001E-2</v>
          </cell>
          <cell r="L34">
            <v>6.8078E-2</v>
          </cell>
          <cell r="O34">
            <v>4.0200000000000305E-4</v>
          </cell>
          <cell r="P34">
            <v>2.1530000000000001E-2</v>
          </cell>
        </row>
        <row r="35">
          <cell r="K35">
            <v>99.973921661928671</v>
          </cell>
          <cell r="L35">
            <v>94.203475473929714</v>
          </cell>
          <cell r="O35">
            <v>19.965658127983261</v>
          </cell>
          <cell r="P35">
            <v>11.200432742548159</v>
          </cell>
        </row>
        <row r="36">
          <cell r="K36">
            <v>-5.096120400000018</v>
          </cell>
          <cell r="L36">
            <v>2.3653616399990653</v>
          </cell>
          <cell r="O36">
            <v>10.506535639999768</v>
          </cell>
          <cell r="P36">
            <v>17.509033509998929</v>
          </cell>
        </row>
        <row r="37">
          <cell r="K37">
            <v>105.07004206192869</v>
          </cell>
          <cell r="L37">
            <v>91.838113833930649</v>
          </cell>
          <cell r="O37">
            <v>9.4591224879834925</v>
          </cell>
          <cell r="P37">
            <v>-6.3086007674507698</v>
          </cell>
        </row>
        <row r="38">
          <cell r="K38">
            <v>105.99393906192869</v>
          </cell>
          <cell r="L38">
            <v>93.360345833930651</v>
          </cell>
          <cell r="O38">
            <v>9.8741454879834833</v>
          </cell>
          <cell r="P38">
            <v>-5.4152687674507689</v>
          </cell>
        </row>
        <row r="39">
          <cell r="K39">
            <v>-0.92389699999999997</v>
          </cell>
          <cell r="L39">
            <v>-1.522232</v>
          </cell>
          <cell r="O39">
            <v>-0.41502299999999992</v>
          </cell>
          <cell r="P39">
            <v>-0.89333200000000001</v>
          </cell>
        </row>
        <row r="40">
          <cell r="K40">
            <v>0.29041757114837791</v>
          </cell>
          <cell r="L40">
            <v>0.28718690766522609</v>
          </cell>
          <cell r="O40">
            <v>0.1453430421475409</v>
          </cell>
          <cell r="P40">
            <v>9.9629621838761021E-2</v>
          </cell>
        </row>
        <row r="41">
          <cell r="K41">
            <v>74.302297659423161</v>
          </cell>
          <cell r="L41">
            <v>70.789459627326522</v>
          </cell>
          <cell r="O41">
            <v>5.3192500139818151</v>
          </cell>
          <cell r="P41">
            <v>7.1009712754275256E-2</v>
          </cell>
        </row>
        <row r="42">
          <cell r="K42">
            <v>-6.9767185100001683</v>
          </cell>
          <cell r="L42">
            <v>0.9232231099989292</v>
          </cell>
          <cell r="O42">
            <v>9.2337533199995079</v>
          </cell>
          <cell r="P42">
            <v>16.791630709998913</v>
          </cell>
        </row>
        <row r="43">
          <cell r="K43">
            <v>81.279016169423329</v>
          </cell>
          <cell r="L43">
            <v>69.866236517327593</v>
          </cell>
          <cell r="O43">
            <v>-3.9145033060176928</v>
          </cell>
          <cell r="P43">
            <v>-16.720620997244637</v>
          </cell>
        </row>
        <row r="44">
          <cell r="K44">
            <v>82.204815169423327</v>
          </cell>
          <cell r="L44">
            <v>71.393201517327597</v>
          </cell>
          <cell r="O44">
            <v>-3.4985353060177005</v>
          </cell>
          <cell r="P44">
            <v>-15.824764997244628</v>
          </cell>
        </row>
        <row r="45">
          <cell r="K45">
            <v>-0.92579899999999993</v>
          </cell>
          <cell r="L45">
            <v>-1.5269649999999999</v>
          </cell>
          <cell r="O45">
            <v>-0.41596799999999989</v>
          </cell>
          <cell r="P45">
            <v>-0.89585599999999987</v>
          </cell>
        </row>
        <row r="46">
          <cell r="K46">
            <v>0.21584321649363605</v>
          </cell>
          <cell r="L46">
            <v>0.21580738824535653</v>
          </cell>
          <cell r="O46">
            <v>3.8722288742983661E-2</v>
          </cell>
          <cell r="P46">
            <v>6.3164263303079875E-4</v>
          </cell>
        </row>
        <row r="64">
          <cell r="K64">
            <v>301.33518900438003</v>
          </cell>
          <cell r="L64">
            <v>328.02148342967899</v>
          </cell>
          <cell r="O64">
            <v>127.58727176125603</v>
          </cell>
          <cell r="P64">
            <v>112.42070918099799</v>
          </cell>
        </row>
        <row r="65">
          <cell r="K65">
            <v>37.301114477915462</v>
          </cell>
          <cell r="L65">
            <v>46.542836386892418</v>
          </cell>
          <cell r="O65">
            <v>35.232237330981491</v>
          </cell>
          <cell r="P65">
            <v>42.85473820050953</v>
          </cell>
        </row>
        <row r="66">
          <cell r="K66">
            <v>264.03407452646456</v>
          </cell>
          <cell r="L66">
            <v>281.47864704278658</v>
          </cell>
          <cell r="O66">
            <v>92.355034430274543</v>
          </cell>
          <cell r="P66">
            <v>69.565970980488459</v>
          </cell>
        </row>
        <row r="67">
          <cell r="K67">
            <v>264.00426652646456</v>
          </cell>
          <cell r="L67">
            <v>281.41056904278656</v>
          </cell>
          <cell r="O67">
            <v>92.354632430274535</v>
          </cell>
          <cell r="P67">
            <v>69.544440980488446</v>
          </cell>
        </row>
        <row r="68">
          <cell r="K68">
            <v>2.9808000000000001E-2</v>
          </cell>
          <cell r="L68">
            <v>6.8078E-2</v>
          </cell>
          <cell r="O68">
            <v>4.0200000000000305E-4</v>
          </cell>
          <cell r="P68">
            <v>2.1530000000000001E-2</v>
          </cell>
        </row>
        <row r="69">
          <cell r="K69">
            <v>215.47938316573712</v>
          </cell>
          <cell r="L69">
            <v>236.12452510680978</v>
          </cell>
          <cell r="O69">
            <v>103.53640216996203</v>
          </cell>
          <cell r="P69">
            <v>102.10972163970479</v>
          </cell>
        </row>
        <row r="70">
          <cell r="K70">
            <v>42.656001637915466</v>
          </cell>
          <cell r="L70">
            <v>44.941125826893355</v>
          </cell>
          <cell r="O70">
            <v>24.740154040981714</v>
          </cell>
          <cell r="P70">
            <v>25.356941830510607</v>
          </cell>
        </row>
        <row r="71">
          <cell r="K71">
            <v>172.82338152782165</v>
          </cell>
          <cell r="L71">
            <v>191.18339927991644</v>
          </cell>
          <cell r="O71">
            <v>78.796248128980309</v>
          </cell>
          <cell r="P71">
            <v>76.752779809194195</v>
          </cell>
        </row>
        <row r="72">
          <cell r="K72">
            <v>171.02512852782166</v>
          </cell>
          <cell r="L72">
            <v>189.5926392799164</v>
          </cell>
          <cell r="O72">
            <v>77.813024128980317</v>
          </cell>
          <cell r="P72">
            <v>75.837467809194152</v>
          </cell>
        </row>
        <row r="73">
          <cell r="K73">
            <v>1.7982530000000001</v>
          </cell>
          <cell r="L73">
            <v>1.5907600000000002</v>
          </cell>
          <cell r="O73">
            <v>0.98322399999999999</v>
          </cell>
          <cell r="P73">
            <v>0.91531200000000013</v>
          </cell>
        </row>
        <row r="74">
          <cell r="K74">
            <v>85.855805838642908</v>
          </cell>
          <cell r="L74">
            <v>91.89695832286921</v>
          </cell>
          <cell r="O74">
            <v>24.05086959129401</v>
          </cell>
          <cell r="P74">
            <v>10.310987541293201</v>
          </cell>
        </row>
        <row r="75">
          <cell r="K75">
            <v>-5.3548871600000041</v>
          </cell>
          <cell r="L75">
            <v>1.6017105599990629</v>
          </cell>
          <cell r="O75">
            <v>10.492083289999776</v>
          </cell>
          <cell r="P75">
            <v>17.497796369998923</v>
          </cell>
        </row>
        <row r="76">
          <cell r="K76">
            <v>91.210692998642912</v>
          </cell>
          <cell r="L76">
            <v>90.295247762870147</v>
          </cell>
          <cell r="O76">
            <v>13.558786301294234</v>
          </cell>
          <cell r="P76">
            <v>-7.1868088287057219</v>
          </cell>
        </row>
        <row r="77">
          <cell r="K77">
            <v>92.979137998642912</v>
          </cell>
          <cell r="L77">
            <v>91.817929762870151</v>
          </cell>
          <cell r="O77">
            <v>14.541608301294232</v>
          </cell>
          <cell r="P77">
            <v>-6.2930268287057203</v>
          </cell>
        </row>
        <row r="78">
          <cell r="K78">
            <v>-1.768445</v>
          </cell>
          <cell r="L78">
            <v>-1.5226820000000001</v>
          </cell>
          <cell r="O78">
            <v>-0.98282199999999997</v>
          </cell>
          <cell r="P78">
            <v>-0.89378200000000008</v>
          </cell>
        </row>
        <row r="79">
          <cell r="K79">
            <v>0.28491795505965606</v>
          </cell>
          <cell r="L79">
            <v>0.28015530373811631</v>
          </cell>
          <cell r="O79">
            <v>0.18850524240614297</v>
          </cell>
          <cell r="P79">
            <v>9.1717866008943702E-2</v>
          </cell>
        </row>
        <row r="80">
          <cell r="K80">
            <v>63.755181769096403</v>
          </cell>
          <cell r="L80">
            <v>68.482942476266004</v>
          </cell>
          <cell r="O80">
            <v>11.482696731794398</v>
          </cell>
          <cell r="P80">
            <v>-0.81843548850069681</v>
          </cell>
        </row>
        <row r="81">
          <cell r="K81">
            <v>-7.2354852700001615</v>
          </cell>
          <cell r="L81">
            <v>0.15957202999891251</v>
          </cell>
          <cell r="O81">
            <v>9.2193009699995017</v>
          </cell>
          <cell r="P81">
            <v>16.780393569998878</v>
          </cell>
        </row>
        <row r="82">
          <cell r="K82">
            <v>70.990667039096564</v>
          </cell>
          <cell r="L82">
            <v>68.323370446267091</v>
          </cell>
          <cell r="O82">
            <v>2.2633957617948965</v>
          </cell>
          <cell r="P82">
            <v>-17.598829058499575</v>
          </cell>
        </row>
        <row r="83">
          <cell r="K83">
            <v>72.761014039096565</v>
          </cell>
          <cell r="L83">
            <v>69.850785446267096</v>
          </cell>
          <cell r="O83">
            <v>3.2471627617948968</v>
          </cell>
          <cell r="P83">
            <v>-16.702523058499565</v>
          </cell>
        </row>
        <row r="84">
          <cell r="K84">
            <v>-1.7703469999999999</v>
          </cell>
          <cell r="L84">
            <v>-1.527415</v>
          </cell>
          <cell r="O84">
            <v>-0.98376699999999984</v>
          </cell>
          <cell r="P84">
            <v>-0.89630599999999994</v>
          </cell>
        </row>
        <row r="85">
          <cell r="K85">
            <v>0.21157562772454597</v>
          </cell>
          <cell r="L85">
            <v>0.20877578431824673</v>
          </cell>
          <cell r="O85">
            <v>8.9998763773874405E-2</v>
          </cell>
          <cell r="P85">
            <v>-7.2801131967866429E-3</v>
          </cell>
        </row>
        <row r="93">
          <cell r="K93">
            <v>7.37785885577253</v>
          </cell>
          <cell r="L93">
            <v>0</v>
          </cell>
          <cell r="O93">
            <v>7.37785885577253</v>
          </cell>
          <cell r="P93">
            <v>0</v>
          </cell>
        </row>
        <row r="99">
          <cell r="K99">
            <v>-2.67073700219989</v>
          </cell>
          <cell r="L99">
            <v>-2.3065171510605103</v>
          </cell>
          <cell r="O99">
            <v>-1.5028344692645101</v>
          </cell>
          <cell r="P99">
            <v>-0.8894452012549503</v>
          </cell>
        </row>
        <row r="100">
          <cell r="K100">
            <v>-2.67073700219989</v>
          </cell>
          <cell r="L100">
            <v>-2.3065171510605103</v>
          </cell>
          <cell r="O100">
            <v>-1.5028344692645101</v>
          </cell>
          <cell r="P100">
            <v>-0.8894452012549503</v>
          </cell>
        </row>
        <row r="103">
          <cell r="K103">
            <v>0</v>
          </cell>
          <cell r="L103">
            <v>0</v>
          </cell>
        </row>
        <row r="118">
          <cell r="K118">
            <v>293.95733014860747</v>
          </cell>
          <cell r="L118">
            <v>328.02148342967899</v>
          </cell>
          <cell r="O118">
            <v>120.20941290548348</v>
          </cell>
          <cell r="P118">
            <v>112.42070918099799</v>
          </cell>
        </row>
        <row r="119">
          <cell r="K119">
            <v>267.25426102261338</v>
          </cell>
          <cell r="L119">
            <v>299.08385050108393</v>
          </cell>
          <cell r="O119">
            <v>108.88667866210341</v>
          </cell>
          <cell r="P119">
            <v>101.69812554213084</v>
          </cell>
        </row>
        <row r="120">
          <cell r="K120">
            <v>174.16744175034998</v>
          </cell>
          <cell r="L120">
            <v>197.43540446247988</v>
          </cell>
          <cell r="O120">
            <v>29.740306327172476</v>
          </cell>
          <cell r="P120">
            <v>14.388112791112661</v>
          </cell>
        </row>
        <row r="121">
          <cell r="K121">
            <v>93.086819272263398</v>
          </cell>
          <cell r="L121">
            <v>101.64844603860405</v>
          </cell>
          <cell r="O121">
            <v>79.14637233493093</v>
          </cell>
          <cell r="P121">
            <v>87.310012751018178</v>
          </cell>
        </row>
        <row r="122">
          <cell r="K122">
            <v>26.703069125994066</v>
          </cell>
          <cell r="L122">
            <v>28.937632928595061</v>
          </cell>
          <cell r="O122">
            <v>11.322734243380038</v>
          </cell>
          <cell r="P122">
            <v>10.722583638867142</v>
          </cell>
        </row>
        <row r="129">
          <cell r="K129">
            <v>344.24198669043602</v>
          </cell>
          <cell r="L129">
            <v>328.02148342967899</v>
          </cell>
          <cell r="O129">
            <v>137.36920483414463</v>
          </cell>
          <cell r="P129">
            <v>112.42070918099799</v>
          </cell>
        </row>
        <row r="130">
          <cell r="K130">
            <v>313.29303386628669</v>
          </cell>
          <cell r="L130">
            <v>299.08385050108393</v>
          </cell>
          <cell r="O130">
            <v>123.96717962933263</v>
          </cell>
          <cell r="P130">
            <v>101.69812554213084</v>
          </cell>
        </row>
        <row r="131">
          <cell r="K131">
            <v>212.81674928819189</v>
          </cell>
          <cell r="L131">
            <v>197.43540446247988</v>
          </cell>
          <cell r="O131">
            <v>39.116436834367931</v>
          </cell>
          <cell r="P131">
            <v>14.388112791112661</v>
          </cell>
        </row>
        <row r="132">
          <cell r="K132">
            <v>100.47628457809481</v>
          </cell>
          <cell r="L132">
            <v>101.64844603860405</v>
          </cell>
          <cell r="O132">
            <v>84.850742794964702</v>
          </cell>
          <cell r="P132">
            <v>87.310012751018178</v>
          </cell>
        </row>
        <row r="133">
          <cell r="K133">
            <v>30.94895282414933</v>
          </cell>
          <cell r="L133">
            <v>28.937632928595061</v>
          </cell>
          <cell r="O133">
            <v>13.402025204811995</v>
          </cell>
          <cell r="P133">
            <v>10.722583638867142</v>
          </cell>
        </row>
        <row r="149">
          <cell r="K149">
            <v>81.148683985070264</v>
          </cell>
          <cell r="L149">
            <v>94.203475473929714</v>
          </cell>
          <cell r="O149">
            <v>18.175845204785979</v>
          </cell>
          <cell r="P149">
            <v>11.200432742548159</v>
          </cell>
        </row>
        <row r="150">
          <cell r="K150">
            <v>75.644614602652126</v>
          </cell>
          <cell r="L150">
            <v>85.272219739849618</v>
          </cell>
          <cell r="O150">
            <v>16.455291314654048</v>
          </cell>
          <cell r="P150">
            <v>9.1577429493595304</v>
          </cell>
        </row>
        <row r="151">
          <cell r="K151">
            <v>69.89251582737505</v>
          </cell>
          <cell r="L151">
            <v>76.311642765381578</v>
          </cell>
          <cell r="O151">
            <v>-10.414120799176786</v>
          </cell>
          <cell r="P151">
            <v>-24.271977933648756</v>
          </cell>
        </row>
        <row r="152">
          <cell r="K152">
            <v>5.7520987752770765</v>
          </cell>
          <cell r="L152">
            <v>8.9605769744680401</v>
          </cell>
          <cell r="O152">
            <v>26.869412113830833</v>
          </cell>
          <cell r="P152">
            <v>33.429720883008287</v>
          </cell>
        </row>
        <row r="153">
          <cell r="K153">
            <v>5.504069382418141</v>
          </cell>
          <cell r="L153">
            <v>8.9312557340800982</v>
          </cell>
          <cell r="O153">
            <v>1.7205538901319382</v>
          </cell>
          <cell r="P153">
            <v>2.0426897931886288</v>
          </cell>
        </row>
        <row r="160">
          <cell r="K160">
            <v>99.973921661928671</v>
          </cell>
          <cell r="L160">
            <v>94.203475473929714</v>
          </cell>
          <cell r="O160">
            <v>19.965658127983261</v>
          </cell>
          <cell r="P160">
            <v>11.200432742548159</v>
          </cell>
        </row>
        <row r="161">
          <cell r="K161">
            <v>93.494023448759449</v>
          </cell>
          <cell r="L161">
            <v>85.272219739849618</v>
          </cell>
          <cell r="O161">
            <v>17.766745895850732</v>
          </cell>
          <cell r="P161">
            <v>9.1577429493595304</v>
          </cell>
        </row>
        <row r="162">
          <cell r="K162">
            <v>85.963480177295082</v>
          </cell>
          <cell r="L162">
            <v>76.311642765381578</v>
          </cell>
          <cell r="O162">
            <v>-11.2304706113175</v>
          </cell>
          <cell r="P162">
            <v>-24.271977933648756</v>
          </cell>
        </row>
        <row r="163">
          <cell r="K163">
            <v>7.5305432714643672</v>
          </cell>
          <cell r="L163">
            <v>8.9605769744680401</v>
          </cell>
          <cell r="O163">
            <v>28.997216507168233</v>
          </cell>
          <cell r="P163">
            <v>33.429720883008287</v>
          </cell>
        </row>
        <row r="164">
          <cell r="K164">
            <v>6.4798982131692204</v>
          </cell>
          <cell r="L164">
            <v>8.9312557340800982</v>
          </cell>
          <cell r="O164">
            <v>2.1989122321325336</v>
          </cell>
          <cell r="P164">
            <v>2.0426897931886288</v>
          </cell>
        </row>
        <row r="184">
          <cell r="K184">
            <v>85.855805838642908</v>
          </cell>
          <cell r="L184">
            <v>91.89695832286921</v>
          </cell>
          <cell r="O184">
            <v>24.05086959129401</v>
          </cell>
          <cell r="P184">
            <v>10.310987541293201</v>
          </cell>
        </row>
        <row r="185">
          <cell r="K185">
            <v>-4.7071218535726445</v>
          </cell>
          <cell r="L185">
            <v>2.306517151060504</v>
          </cell>
          <cell r="O185">
            <v>-5.8750243865080307</v>
          </cell>
          <cell r="P185">
            <v>0.88944520125495785</v>
          </cell>
        </row>
        <row r="186">
          <cell r="K186">
            <v>81.148683985070264</v>
          </cell>
          <cell r="L186">
            <v>94.203475473929714</v>
          </cell>
          <cell r="O186">
            <v>18.175845204785979</v>
          </cell>
          <cell r="P186">
            <v>11.200432742548159</v>
          </cell>
        </row>
        <row r="187">
          <cell r="K187">
            <v>20.133458324128899</v>
          </cell>
          <cell r="L187">
            <v>21.711919272264698</v>
          </cell>
          <cell r="O187">
            <v>7.4695849426793988</v>
          </cell>
          <cell r="P187">
            <v>7.462127479723998</v>
          </cell>
        </row>
        <row r="188">
          <cell r="K188">
            <v>1.66203043140974</v>
          </cell>
          <cell r="L188">
            <v>0.7746345073176969</v>
          </cell>
          <cell r="O188">
            <v>4.6974635956277204</v>
          </cell>
          <cell r="P188">
            <v>2.7488363508061768</v>
          </cell>
        </row>
        <row r="189">
          <cell r="K189">
            <v>0.30513531400786631</v>
          </cell>
          <cell r="L189">
            <v>0.92746206702079725</v>
          </cell>
          <cell r="O189">
            <v>0.40112432119248576</v>
          </cell>
          <cell r="P189">
            <v>0.91845919926370889</v>
          </cell>
        </row>
        <row r="190">
          <cell r="K190">
            <v>59.048059915523758</v>
          </cell>
          <cell r="L190">
            <v>70.789459627326522</v>
          </cell>
          <cell r="O190">
            <v>5.6076723452863746</v>
          </cell>
          <cell r="P190">
            <v>7.1009712754275256E-2</v>
          </cell>
        </row>
      </sheetData>
      <sheetData sheetId="3">
        <row r="10">
          <cell r="K10">
            <v>135.97658028720701</v>
          </cell>
          <cell r="L10">
            <v>136.76790469200699</v>
          </cell>
          <cell r="O10">
            <v>77.144301663427811</v>
          </cell>
          <cell r="P10">
            <v>75.783237870044189</v>
          </cell>
        </row>
        <row r="11">
          <cell r="K11">
            <v>93.61553318</v>
          </cell>
          <cell r="L11">
            <v>91.782332190000005</v>
          </cell>
          <cell r="O11">
            <v>53.672095929999998</v>
          </cell>
          <cell r="P11">
            <v>50.107936080000002</v>
          </cell>
        </row>
        <row r="12">
          <cell r="K12">
            <v>43.849909448527704</v>
          </cell>
          <cell r="L12">
            <v>44.709871196942899</v>
          </cell>
          <cell r="O12">
            <v>24.443895095250504</v>
          </cell>
          <cell r="P12">
            <v>24.730219909769598</v>
          </cell>
        </row>
        <row r="13">
          <cell r="K13">
            <v>2.47896495329605</v>
          </cell>
          <cell r="L13">
            <v>4.7338752815393503</v>
          </cell>
          <cell r="O13">
            <v>1.13066038428647</v>
          </cell>
          <cell r="P13">
            <v>3.3855274148689602</v>
          </cell>
        </row>
        <row r="14">
          <cell r="K14">
            <v>-3.9678272946167401</v>
          </cell>
          <cell r="L14">
            <v>-4.458173976475261</v>
          </cell>
          <cell r="O14">
            <v>-2.1023497461091605</v>
          </cell>
          <cell r="P14">
            <v>-2.4404455345943639</v>
          </cell>
        </row>
        <row r="15">
          <cell r="K15">
            <v>146.60755948652351</v>
          </cell>
          <cell r="L15">
            <v>146.78221148804931</v>
          </cell>
          <cell r="O15">
            <v>83.080303281820989</v>
          </cell>
          <cell r="P15">
            <v>81.109747264492839</v>
          </cell>
        </row>
        <row r="16">
          <cell r="K16">
            <v>28.21189003778893</v>
          </cell>
          <cell r="L16">
            <v>22.013705716172801</v>
          </cell>
          <cell r="O16">
            <v>21.2157219718218</v>
          </cell>
          <cell r="P16">
            <v>16.335453433327682</v>
          </cell>
        </row>
        <row r="17">
          <cell r="K17">
            <v>18.820925630000001</v>
          </cell>
          <cell r="L17">
            <v>14.293106669999903</v>
          </cell>
          <cell r="O17">
            <v>14.637548330000062</v>
          </cell>
          <cell r="P17">
            <v>9.8145030499998622</v>
          </cell>
        </row>
        <row r="18">
          <cell r="K18">
            <v>9.7538789345421062</v>
          </cell>
          <cell r="L18">
            <v>8.4262620378359099</v>
          </cell>
          <cell r="O18">
            <v>6.6725644888519557</v>
          </cell>
          <cell r="P18">
            <v>6.6549939539336789</v>
          </cell>
        </row>
        <row r="19">
          <cell r="K19">
            <v>-0.3629145267530845</v>
          </cell>
          <cell r="L19">
            <v>-0.70566299166302893</v>
          </cell>
          <cell r="O19">
            <v>-9.4390847030146219E-2</v>
          </cell>
          <cell r="P19">
            <v>-0.134043570605891</v>
          </cell>
        </row>
        <row r="20">
          <cell r="K20">
            <v>-9.3425267522206923E-14</v>
          </cell>
          <cell r="L20">
            <v>1.7430501486614958E-14</v>
          </cell>
          <cell r="O20">
            <v>-7.1498362785860081E-14</v>
          </cell>
          <cell r="P20">
            <v>3.141931159689193E-14</v>
          </cell>
        </row>
        <row r="21">
          <cell r="K21">
            <v>0.20747609609096168</v>
          </cell>
          <cell r="L21">
            <v>0.16095666425354932</v>
          </cell>
          <cell r="O21">
            <v>0.27501346845271457</v>
          </cell>
          <cell r="P21">
            <v>0.2155549682548574</v>
          </cell>
        </row>
        <row r="22">
          <cell r="K22">
            <v>32.560706904231608</v>
          </cell>
          <cell r="L22">
            <v>25.90879667940569</v>
          </cell>
          <cell r="O22">
            <v>23.904299412917446</v>
          </cell>
          <cell r="P22">
            <v>18.640052505959716</v>
          </cell>
        </row>
        <row r="23">
          <cell r="K23">
            <v>23.269448388627332</v>
          </cell>
          <cell r="L23">
            <v>15.897100182808122</v>
          </cell>
          <cell r="O23">
            <v>18.512531876327984</v>
          </cell>
          <cell r="P23">
            <v>14.204621264095019</v>
          </cell>
        </row>
        <row r="24">
          <cell r="K24">
            <v>16.067431889999998</v>
          </cell>
          <cell r="L24">
            <v>11.501285419999899</v>
          </cell>
          <cell r="O24">
            <v>13.313566080000019</v>
          </cell>
          <cell r="P24">
            <v>8.6980054899998294</v>
          </cell>
        </row>
        <row r="25">
          <cell r="K25">
            <v>7.9486582841825371</v>
          </cell>
          <cell r="L25">
            <v>5.4872822097123333</v>
          </cell>
          <cell r="O25">
            <v>5.6623720548877561</v>
          </cell>
          <cell r="P25">
            <v>5.7178480507569107</v>
          </cell>
        </row>
        <row r="26">
          <cell r="K26">
            <v>-0.31781178555527051</v>
          </cell>
          <cell r="L26">
            <v>-1.0914674469041601</v>
          </cell>
          <cell r="O26">
            <v>-3.4576258559939288E-2</v>
          </cell>
          <cell r="P26">
            <v>-0.2112322766618131</v>
          </cell>
        </row>
        <row r="27">
          <cell r="K27">
            <v>-0.42882999999993293</v>
          </cell>
          <cell r="L27">
            <v>5.0182080713057076E-14</v>
          </cell>
          <cell r="O27">
            <v>-0.42882999999985205</v>
          </cell>
          <cell r="P27">
            <v>9.3258734068513149E-14</v>
          </cell>
        </row>
        <row r="28">
          <cell r="K28">
            <v>0.17112835415832689</v>
          </cell>
          <cell r="L28">
            <v>0.11623414293439258</v>
          </cell>
          <cell r="O28">
            <v>0.23997277150937402</v>
          </cell>
          <cell r="P28">
            <v>0.18743750812618501</v>
          </cell>
        </row>
        <row r="29">
          <cell r="K29">
            <v>27.140242837424861</v>
          </cell>
          <cell r="L29">
            <v>19.359766848419525</v>
          </cell>
          <cell r="O29">
            <v>20.951975054512992</v>
          </cell>
          <cell r="P29">
            <v>16.298074787918864</v>
          </cell>
        </row>
        <row r="33">
          <cell r="K33">
            <v>140.125523254325</v>
          </cell>
          <cell r="L33">
            <v>136.76790469200699</v>
          </cell>
          <cell r="O33">
            <v>78.620863267745392</v>
          </cell>
          <cell r="P33">
            <v>75.783237870044189</v>
          </cell>
        </row>
        <row r="34">
          <cell r="K34">
            <v>93.61553318</v>
          </cell>
          <cell r="L34">
            <v>91.782332190000005</v>
          </cell>
          <cell r="O34">
            <v>53.672095929999998</v>
          </cell>
          <cell r="P34">
            <v>50.107936080000002</v>
          </cell>
        </row>
        <row r="35">
          <cell r="K35">
            <v>48.020288220824199</v>
          </cell>
          <cell r="L35">
            <v>44.709871196942899</v>
          </cell>
          <cell r="O35">
            <v>25.940977189319899</v>
          </cell>
          <cell r="P35">
            <v>24.730219909769598</v>
          </cell>
        </row>
        <row r="36">
          <cell r="K36">
            <v>2.5320836780472891</v>
          </cell>
          <cell r="L36">
            <v>4.7338752815393503</v>
          </cell>
          <cell r="O36">
            <v>1.136714846659896</v>
          </cell>
          <cell r="P36">
            <v>3.3855274148689602</v>
          </cell>
        </row>
        <row r="37">
          <cell r="K37">
            <v>-4.0423818245464851</v>
          </cell>
          <cell r="L37">
            <v>-4.458173976475261</v>
          </cell>
          <cell r="O37">
            <v>-2.1289246982343935</v>
          </cell>
          <cell r="P37">
            <v>-2.4404455345943639</v>
          </cell>
        </row>
        <row r="38">
          <cell r="K38">
            <v>151.88317071548698</v>
          </cell>
          <cell r="L38">
            <v>146.78221148804931</v>
          </cell>
          <cell r="O38">
            <v>85.31985496976182</v>
          </cell>
          <cell r="P38">
            <v>81.109747264492839</v>
          </cell>
        </row>
        <row r="39">
          <cell r="K39">
            <v>28.318695744071814</v>
          </cell>
          <cell r="L39">
            <v>22.013705716172801</v>
          </cell>
          <cell r="O39">
            <v>21.109020912062274</v>
          </cell>
          <cell r="P39">
            <v>16.335453433327682</v>
          </cell>
        </row>
        <row r="40">
          <cell r="K40">
            <v>18.820925630000001</v>
          </cell>
          <cell r="L40">
            <v>14.293106669999903</v>
          </cell>
          <cell r="O40">
            <v>14.637548330000062</v>
          </cell>
          <cell r="P40">
            <v>9.8145030499998622</v>
          </cell>
        </row>
        <row r="41">
          <cell r="K41">
            <v>9.88679136744455</v>
          </cell>
          <cell r="L41">
            <v>8.4262620378359099</v>
          </cell>
          <cell r="O41">
            <v>6.5654368352270769</v>
          </cell>
          <cell r="P41">
            <v>6.6549939539336789</v>
          </cell>
        </row>
        <row r="42">
          <cell r="K42">
            <v>-0.3890212533726416</v>
          </cell>
          <cell r="L42">
            <v>-0.70566299166302893</v>
          </cell>
          <cell r="O42">
            <v>-9.3964253164676048E-2</v>
          </cell>
          <cell r="P42">
            <v>-0.134043570605891</v>
          </cell>
        </row>
        <row r="43">
          <cell r="K43">
            <v>-9.5923269327613525E-14</v>
          </cell>
          <cell r="L43">
            <v>1.7430501486614958E-14</v>
          </cell>
          <cell r="O43">
            <v>-1.8829382497642655E-13</v>
          </cell>
          <cell r="P43">
            <v>3.141931159689193E-14</v>
          </cell>
        </row>
        <row r="44">
          <cell r="K44">
            <v>0.20209520069141115</v>
          </cell>
          <cell r="L44">
            <v>0.16095666425354932</v>
          </cell>
          <cell r="O44">
            <v>0.26849133976276696</v>
          </cell>
          <cell r="P44">
            <v>0.2155549682548574</v>
          </cell>
        </row>
        <row r="45">
          <cell r="K45">
            <v>33.143190321824477</v>
          </cell>
          <cell r="L45">
            <v>25.90879667940569</v>
          </cell>
          <cell r="O45">
            <v>24.142851849415493</v>
          </cell>
          <cell r="P45">
            <v>18.640052505959716</v>
          </cell>
        </row>
        <row r="46">
          <cell r="K46">
            <v>23.208294633465417</v>
          </cell>
          <cell r="L46">
            <v>15.897100182808122</v>
          </cell>
          <cell r="O46">
            <v>18.343931604620344</v>
          </cell>
          <cell r="P46">
            <v>14.204621264095019</v>
          </cell>
        </row>
        <row r="47">
          <cell r="K47">
            <v>16.067431889999998</v>
          </cell>
          <cell r="L47">
            <v>11.501285419999899</v>
          </cell>
          <cell r="O47">
            <v>13.313566080000019</v>
          </cell>
          <cell r="P47">
            <v>8.6980054899998294</v>
          </cell>
        </row>
        <row r="48">
          <cell r="K48">
            <v>7.9199798378129502</v>
          </cell>
          <cell r="L48">
            <v>5.4872822097123333</v>
          </cell>
          <cell r="O48">
            <v>5.4974400789635274</v>
          </cell>
          <cell r="P48">
            <v>5.7178480507569107</v>
          </cell>
        </row>
        <row r="49">
          <cell r="K49">
            <v>-0.35028709434752359</v>
          </cell>
          <cell r="L49">
            <v>-1.0914674469041601</v>
          </cell>
          <cell r="O49">
            <v>-3.8244554343134118E-2</v>
          </cell>
          <cell r="P49">
            <v>-0.2112322766618131</v>
          </cell>
        </row>
        <row r="50">
          <cell r="K50">
            <v>-0.42883000000000737</v>
          </cell>
          <cell r="L50">
            <v>5.0182080713057076E-14</v>
          </cell>
          <cell r="O50">
            <v>-0.42883000000006855</v>
          </cell>
          <cell r="P50">
            <v>9.3258734068513149E-14</v>
          </cell>
        </row>
        <row r="51">
          <cell r="K51">
            <v>0.16562503457234432</v>
          </cell>
          <cell r="L51">
            <v>0.11623414293439258</v>
          </cell>
          <cell r="O51">
            <v>0.23332142184892588</v>
          </cell>
          <cell r="P51">
            <v>0.18743750812618501</v>
          </cell>
        </row>
        <row r="52">
          <cell r="K52">
            <v>27.506032850524917</v>
          </cell>
          <cell r="L52">
            <v>19.359766848419525</v>
          </cell>
          <cell r="O52">
            <v>21.096627341309425</v>
          </cell>
          <cell r="P52">
            <v>16.298074787918864</v>
          </cell>
        </row>
        <row r="56">
          <cell r="K56">
            <v>135.97658028720701</v>
          </cell>
          <cell r="L56">
            <v>136.76790469200699</v>
          </cell>
          <cell r="O56">
            <v>77.144301663427811</v>
          </cell>
          <cell r="P56">
            <v>75.783237870044189</v>
          </cell>
        </row>
        <row r="57">
          <cell r="K57">
            <v>127.833654843917</v>
          </cell>
          <cell r="L57">
            <v>123.747505310508</v>
          </cell>
          <cell r="O57">
            <v>73.236106748222312</v>
          </cell>
          <cell r="P57">
            <v>68.232948094633002</v>
          </cell>
        </row>
        <row r="58">
          <cell r="K58">
            <v>86.049423189999999</v>
          </cell>
          <cell r="L58">
            <v>83.150894660000006</v>
          </cell>
          <cell r="O58">
            <v>49.673812570000003</v>
          </cell>
          <cell r="P58">
            <v>45.847423720000009</v>
          </cell>
        </row>
        <row r="59">
          <cell r="K59">
            <v>41.902090466366602</v>
          </cell>
          <cell r="L59">
            <v>40.618967074867804</v>
          </cell>
          <cell r="O59">
            <v>23.645575246632202</v>
          </cell>
          <cell r="P59">
            <v>22.405761054632602</v>
          </cell>
        </row>
        <row r="60">
          <cell r="K60">
            <v>-0.11785881244959739</v>
          </cell>
          <cell r="L60">
            <v>-2.2356424359806226E-2</v>
          </cell>
          <cell r="O60">
            <v>-8.3281068409899461E-2</v>
          </cell>
          <cell r="P60">
            <v>-2.0236679999609208E-2</v>
          </cell>
        </row>
        <row r="61">
          <cell r="K61">
            <v>8.1429254432900109</v>
          </cell>
          <cell r="L61">
            <v>13.02039938149899</v>
          </cell>
          <cell r="O61">
            <v>3.908194915205506</v>
          </cell>
          <cell r="P61">
            <v>7.5502897754111942</v>
          </cell>
        </row>
        <row r="62">
          <cell r="K62">
            <v>114.28203426140021</v>
          </cell>
          <cell r="L62">
            <v>118.4406511321408</v>
          </cell>
          <cell r="O62">
            <v>58.203965033180637</v>
          </cell>
          <cell r="P62">
            <v>60.34492364262973</v>
          </cell>
        </row>
        <row r="63">
          <cell r="K63">
            <v>80.544314780000008</v>
          </cell>
          <cell r="L63">
            <v>79.722614610000107</v>
          </cell>
          <cell r="O63">
            <v>40.850445839999942</v>
          </cell>
          <cell r="P63">
            <v>40.998377220000151</v>
          </cell>
        </row>
        <row r="64">
          <cell r="K64">
            <v>34.85836774581341</v>
          </cell>
          <cell r="L64">
            <v>37.639896705413584</v>
          </cell>
          <cell r="O64">
            <v>18.226892825077606</v>
          </cell>
          <cell r="P64">
            <v>18.267420971749125</v>
          </cell>
        </row>
        <row r="65">
          <cell r="K65">
            <v>2.8471790302034523</v>
          </cell>
          <cell r="L65">
            <v>5.5363137932023792</v>
          </cell>
          <cell r="O65">
            <v>1.2289761142121813</v>
          </cell>
          <cell r="P65">
            <v>3.5195709854748509</v>
          </cell>
        </row>
        <row r="66">
          <cell r="K66">
            <v>-3.9678272946166575</v>
          </cell>
          <cell r="L66">
            <v>-4.4581739764752699</v>
          </cell>
          <cell r="O66">
            <v>-2.1023497461090921</v>
          </cell>
          <cell r="P66">
            <v>-2.4404455345943967</v>
          </cell>
        </row>
        <row r="67">
          <cell r="K67">
            <v>21.694546025806801</v>
          </cell>
          <cell r="L67">
            <v>18.3272535598662</v>
          </cell>
          <cell r="O67">
            <v>18.94033663024717</v>
          </cell>
          <cell r="P67">
            <v>15.43831422741447</v>
          </cell>
        </row>
        <row r="68">
          <cell r="K68">
            <v>13.071218399999998</v>
          </cell>
          <cell r="L68">
            <v>12.0597175799999</v>
          </cell>
          <cell r="O68">
            <v>12.821650090000057</v>
          </cell>
          <cell r="P68">
            <v>9.1095588599998596</v>
          </cell>
        </row>
        <row r="69">
          <cell r="K69">
            <v>8.9915417027142901</v>
          </cell>
          <cell r="L69">
            <v>7.0699744915293108</v>
          </cell>
          <cell r="O69">
            <v>6.2170022701728902</v>
          </cell>
          <cell r="P69">
            <v>6.4627989380204687</v>
          </cell>
        </row>
        <row r="70">
          <cell r="K70">
            <v>-0.36821407690740199</v>
          </cell>
          <cell r="L70">
            <v>-0.80243851166302893</v>
          </cell>
          <cell r="O70">
            <v>-9.8315729925710971E-2</v>
          </cell>
          <cell r="P70">
            <v>-0.13404357060589089</v>
          </cell>
        </row>
        <row r="71">
          <cell r="K71">
            <v>-8.4654505627668186E-14</v>
          </cell>
          <cell r="L71">
            <v>1.8762769116165146E-14</v>
          </cell>
          <cell r="O71">
            <v>-6.6113781116428072E-14</v>
          </cell>
          <cell r="P71">
            <v>3.3417713041217212E-14</v>
          </cell>
        </row>
        <row r="72">
          <cell r="K72">
            <v>0.15954619523438532</v>
          </cell>
          <cell r="L72">
            <v>0.13400259074772009</v>
          </cell>
          <cell r="O72">
            <v>0.24551828484859189</v>
          </cell>
          <cell r="P72">
            <v>0.2037167408165991</v>
          </cell>
        </row>
        <row r="73">
          <cell r="K73">
            <v>16.7521043766452</v>
          </cell>
          <cell r="L73">
            <v>12.210648026501524</v>
          </cell>
          <cell r="O73">
            <v>16.23714653475335</v>
          </cell>
          <cell r="P73">
            <v>13.30748205818181</v>
          </cell>
        </row>
        <row r="74">
          <cell r="K74">
            <v>10.317724659999998</v>
          </cell>
          <cell r="L74">
            <v>9.2678963299998998</v>
          </cell>
          <cell r="O74">
            <v>11.497667840000018</v>
          </cell>
          <cell r="P74">
            <v>7.9930612999998303</v>
          </cell>
        </row>
        <row r="75">
          <cell r="K75">
            <v>7.1863210523547201</v>
          </cell>
          <cell r="L75">
            <v>4.1309946634057342</v>
          </cell>
          <cell r="O75">
            <v>5.2068098362086896</v>
          </cell>
          <cell r="P75">
            <v>5.5256530348437005</v>
          </cell>
        </row>
        <row r="76">
          <cell r="K76">
            <v>-0.323111335709588</v>
          </cell>
          <cell r="L76">
            <v>-1.1882429669041601</v>
          </cell>
          <cell r="O76">
            <v>-3.850114145550404E-2</v>
          </cell>
          <cell r="P76">
            <v>-0.2112322766618131</v>
          </cell>
        </row>
        <row r="77">
          <cell r="K77">
            <v>-0.42882999999993038</v>
          </cell>
          <cell r="L77">
            <v>4.9737991503207013E-14</v>
          </cell>
          <cell r="O77">
            <v>-0.42882999999985244</v>
          </cell>
          <cell r="P77">
            <v>9.2592600253738055E-14</v>
          </cell>
        </row>
        <row r="78">
          <cell r="K78">
            <v>0.12319845330175049</v>
          </cell>
          <cell r="O78">
            <v>0.21047758790525128</v>
          </cell>
        </row>
        <row r="86">
          <cell r="K86">
            <v>0</v>
          </cell>
          <cell r="L86">
            <v>0</v>
          </cell>
          <cell r="O86">
            <v>0</v>
          </cell>
          <cell r="P86">
            <v>0</v>
          </cell>
        </row>
        <row r="92">
          <cell r="K92">
            <v>-6.37902405198213</v>
          </cell>
          <cell r="L92">
            <v>-3.4400657901434601</v>
          </cell>
          <cell r="O92">
            <v>-2.2135308615746299</v>
          </cell>
          <cell r="P92">
            <v>-0.89639742591320992</v>
          </cell>
        </row>
        <row r="93">
          <cell r="K93">
            <v>-6.37902405198213</v>
          </cell>
          <cell r="L93">
            <v>-3.4400657901434601</v>
          </cell>
          <cell r="O93">
            <v>-2.2135308615746299</v>
          </cell>
          <cell r="P93">
            <v>-0.89639742591320992</v>
          </cell>
        </row>
        <row r="98">
          <cell r="K98">
            <v>0</v>
          </cell>
          <cell r="L98">
            <v>0</v>
          </cell>
          <cell r="O98">
            <v>0</v>
          </cell>
          <cell r="P98">
            <v>0</v>
          </cell>
        </row>
        <row r="99">
          <cell r="K99">
            <v>0</v>
          </cell>
          <cell r="L99">
            <v>0</v>
          </cell>
          <cell r="O99">
            <v>0</v>
          </cell>
          <cell r="P99">
            <v>0</v>
          </cell>
        </row>
        <row r="113">
          <cell r="K113">
            <v>21.694546025806801</v>
          </cell>
          <cell r="L113">
            <v>18.3272535598662</v>
          </cell>
          <cell r="O113">
            <v>18.94033663024717</v>
          </cell>
          <cell r="P113">
            <v>15.43831422741447</v>
          </cell>
        </row>
        <row r="114">
          <cell r="K114">
            <v>6.5173440119821286</v>
          </cell>
          <cell r="L114">
            <v>3.6864521563066006</v>
          </cell>
          <cell r="O114">
            <v>2.2753853415746281</v>
          </cell>
          <cell r="P114">
            <v>0.89713920591321106</v>
          </cell>
        </row>
        <row r="115">
          <cell r="K115">
            <v>28.21189003778893</v>
          </cell>
          <cell r="L115">
            <v>22.013705716172801</v>
          </cell>
          <cell r="O115">
            <v>21.2157219718218</v>
          </cell>
          <cell r="P115">
            <v>16.335453433327682</v>
          </cell>
        </row>
        <row r="116">
          <cell r="K116">
            <v>4.0349845000955202</v>
          </cell>
          <cell r="L116">
            <v>3.9742408463165004</v>
          </cell>
          <cell r="O116">
            <v>2.0324124590741901</v>
          </cell>
          <cell r="P116">
            <v>1.9537666911328504</v>
          </cell>
        </row>
        <row r="117">
          <cell r="K117">
            <v>0.93195370906623498</v>
          </cell>
          <cell r="L117">
            <v>1.03769894435282</v>
          </cell>
          <cell r="O117">
            <v>0.71106525641979601</v>
          </cell>
          <cell r="P117">
            <v>0.23963491809983894</v>
          </cell>
        </row>
        <row r="118">
          <cell r="K118">
            <v>-2.4496560000157319E-2</v>
          </cell>
          <cell r="L118">
            <v>1.1046657426953581</v>
          </cell>
          <cell r="O118">
            <v>-4.028762000017036E-2</v>
          </cell>
          <cell r="P118">
            <v>-6.2569440000027399E-2</v>
          </cell>
        </row>
        <row r="119">
          <cell r="K119">
            <v>23.269448388627332</v>
          </cell>
          <cell r="L119">
            <v>15.897100182808122</v>
          </cell>
          <cell r="O119">
            <v>18.512531876327984</v>
          </cell>
          <cell r="P119">
            <v>14.204621264095019</v>
          </cell>
        </row>
      </sheetData>
      <sheetData sheetId="4">
        <row r="10">
          <cell r="K10">
            <v>100.257352177893</v>
          </cell>
          <cell r="L10">
            <v>109.053915504267</v>
          </cell>
          <cell r="O10">
            <v>54.606470981266</v>
          </cell>
          <cell r="P10">
            <v>58.659025464881594</v>
          </cell>
        </row>
        <row r="11">
          <cell r="K11">
            <v>49.822359904582001</v>
          </cell>
          <cell r="L11">
            <v>51.082768643365803</v>
          </cell>
          <cell r="O11">
            <v>28.427429800497201</v>
          </cell>
          <cell r="P11">
            <v>28.563877455307406</v>
          </cell>
        </row>
        <row r="12">
          <cell r="K12">
            <v>35.218538424773598</v>
          </cell>
          <cell r="L12">
            <v>40.211427379887297</v>
          </cell>
          <cell r="O12">
            <v>17.859490229428197</v>
          </cell>
          <cell r="P12">
            <v>20.113624483991998</v>
          </cell>
        </row>
        <row r="13">
          <cell r="K13">
            <v>15.216453848537398</v>
          </cell>
          <cell r="L13">
            <v>17.759719481013896</v>
          </cell>
          <cell r="O13">
            <v>8.3195509513406023</v>
          </cell>
          <cell r="P13">
            <v>9.9815235255821904</v>
          </cell>
        </row>
        <row r="14">
          <cell r="K14">
            <v>4.0065482534604628</v>
          </cell>
          <cell r="L14">
            <v>5.9595375868221296</v>
          </cell>
          <cell r="O14">
            <v>4.6966426850119225</v>
          </cell>
          <cell r="P14">
            <v>5.1058867729091792</v>
          </cell>
        </row>
        <row r="15">
          <cell r="K15">
            <v>3.996263781584207E-2</v>
          </cell>
          <cell r="L15">
            <v>5.4647625986331029E-2</v>
          </cell>
          <cell r="O15">
            <v>8.6008903351824609E-2</v>
          </cell>
          <cell r="P15">
            <v>8.7043498122313809E-2</v>
          </cell>
        </row>
        <row r="16">
          <cell r="K16">
            <v>0.91707103972562032</v>
          </cell>
          <cell r="L16">
            <v>1.3519734724635524</v>
          </cell>
          <cell r="O16">
            <v>3.0956451140106704</v>
          </cell>
          <cell r="P16">
            <v>2.9302019586283423</v>
          </cell>
        </row>
        <row r="17">
          <cell r="K17">
            <v>9.1471699561584546E-3</v>
          </cell>
          <cell r="L17">
            <v>1.2397294184367484E-2</v>
          </cell>
          <cell r="O17">
            <v>5.6690078270626616E-2</v>
          </cell>
          <cell r="P17">
            <v>4.9953130578049183E-2</v>
          </cell>
        </row>
        <row r="22">
          <cell r="K22">
            <v>100.257352177893</v>
          </cell>
          <cell r="L22">
            <v>109.053915504267</v>
          </cell>
          <cell r="O22">
            <v>54.606470981266</v>
          </cell>
          <cell r="P22">
            <v>58.659025464881594</v>
          </cell>
        </row>
        <row r="23">
          <cell r="K23">
            <v>49.822359904582001</v>
          </cell>
          <cell r="L23">
            <v>51.082768643365803</v>
          </cell>
          <cell r="O23">
            <v>28.427429800497201</v>
          </cell>
          <cell r="P23">
            <v>28.563877455307406</v>
          </cell>
        </row>
        <row r="24">
          <cell r="K24">
            <v>35.218538424773598</v>
          </cell>
          <cell r="L24">
            <v>40.211427379887297</v>
          </cell>
          <cell r="O24">
            <v>17.859490229428197</v>
          </cell>
          <cell r="P24">
            <v>20.113624483991998</v>
          </cell>
        </row>
        <row r="25">
          <cell r="K25">
            <v>15.216453848537398</v>
          </cell>
          <cell r="L25">
            <v>17.759719481013896</v>
          </cell>
          <cell r="O25">
            <v>8.3195509513406023</v>
          </cell>
          <cell r="P25">
            <v>9.9815235255821904</v>
          </cell>
        </row>
        <row r="26">
          <cell r="K26">
            <v>101.00808450587759</v>
          </cell>
          <cell r="L26">
            <v>105.39700126744486</v>
          </cell>
          <cell r="O26">
            <v>53.40102900625407</v>
          </cell>
          <cell r="P26">
            <v>53.468772951972412</v>
          </cell>
        </row>
        <row r="27">
          <cell r="K27">
            <v>-0.75073232798459799</v>
          </cell>
          <cell r="L27">
            <v>3.6569142368221299</v>
          </cell>
          <cell r="O27">
            <v>1.2054419750119219</v>
          </cell>
          <cell r="P27">
            <v>5.1902525129091801</v>
          </cell>
        </row>
        <row r="28">
          <cell r="K28">
            <v>-7.4880526133637151E-3</v>
          </cell>
          <cell r="L28">
            <v>3.3533085170876276E-2</v>
          </cell>
          <cell r="O28">
            <v>2.2075075597276308E-2</v>
          </cell>
          <cell r="P28">
            <v>8.8481737836175231E-2</v>
          </cell>
        </row>
        <row r="29">
          <cell r="K29">
            <v>-3.8402095417194402</v>
          </cell>
          <cell r="L29">
            <v>-0.95064987753644747</v>
          </cell>
          <cell r="O29">
            <v>-0.39555559598933021</v>
          </cell>
          <cell r="P29">
            <v>3.0145676986283427</v>
          </cell>
        </row>
        <row r="30">
          <cell r="K30">
            <v>-3.8303520473047324E-2</v>
          </cell>
          <cell r="L30">
            <v>-8.7172466310872724E-3</v>
          </cell>
          <cell r="O30">
            <v>-7.2437494839216882E-3</v>
          </cell>
          <cell r="P30">
            <v>5.1391370291910592E-2</v>
          </cell>
        </row>
        <row r="38">
          <cell r="K38">
            <v>0</v>
          </cell>
          <cell r="L38">
            <v>0</v>
          </cell>
          <cell r="O38">
            <v>0</v>
          </cell>
          <cell r="P38">
            <v>0</v>
          </cell>
        </row>
        <row r="44">
          <cell r="K44">
            <v>-3.7439328314450599</v>
          </cell>
          <cell r="L44">
            <v>-2.3026233499999997</v>
          </cell>
          <cell r="O44">
            <v>-2.4778529599999999</v>
          </cell>
          <cell r="P44">
            <v>8.4365740000000411E-2</v>
          </cell>
        </row>
        <row r="45">
          <cell r="K45">
            <v>-3.7439328314450599</v>
          </cell>
          <cell r="L45">
            <v>-2.3026233499999997</v>
          </cell>
          <cell r="O45">
            <v>-2.4778529599999999</v>
          </cell>
          <cell r="P45">
            <v>8.4365740000000411E-2</v>
          </cell>
        </row>
        <row r="50">
          <cell r="K50">
            <v>0</v>
          </cell>
          <cell r="L50">
            <v>0</v>
          </cell>
          <cell r="O50">
            <v>0</v>
          </cell>
          <cell r="P50">
            <v>0</v>
          </cell>
        </row>
        <row r="51">
          <cell r="K51">
            <v>0</v>
          </cell>
          <cell r="L51">
            <v>0</v>
          </cell>
        </row>
        <row r="65">
          <cell r="K65">
            <v>-0.75073232798459799</v>
          </cell>
          <cell r="L65">
            <v>3.6569142368221299</v>
          </cell>
          <cell r="O65">
            <v>1.2054419750119219</v>
          </cell>
          <cell r="P65">
            <v>5.1902525129091801</v>
          </cell>
        </row>
        <row r="66">
          <cell r="K66">
            <v>4.7572805814450607</v>
          </cell>
          <cell r="L66">
            <v>2.3026233499999997</v>
          </cell>
          <cell r="O66">
            <v>3.4912007100000007</v>
          </cell>
          <cell r="P66">
            <v>-8.4365740000000411E-2</v>
          </cell>
        </row>
        <row r="67">
          <cell r="K67">
            <v>4.0065482534604628</v>
          </cell>
          <cell r="L67">
            <v>5.9595375868221296</v>
          </cell>
          <cell r="O67">
            <v>4.6966426850119225</v>
          </cell>
          <cell r="P67">
            <v>5.1058867729091792</v>
          </cell>
        </row>
        <row r="68">
          <cell r="K68">
            <v>2.0912074457463601</v>
          </cell>
          <cell r="L68">
            <v>3.7660468102896698</v>
          </cell>
          <cell r="O68">
            <v>1.098392228129323</v>
          </cell>
          <cell r="P68">
            <v>1.8883073979024698</v>
          </cell>
        </row>
        <row r="69">
          <cell r="K69">
            <v>0.99826976798845901</v>
          </cell>
          <cell r="L69">
            <v>0.84038848886819595</v>
          </cell>
          <cell r="O69">
            <v>0.50260534287192993</v>
          </cell>
          <cell r="P69">
            <v>0.28624860117766493</v>
          </cell>
        </row>
        <row r="70">
          <cell r="K70">
            <v>2.3647750424515834E-14</v>
          </cell>
          <cell r="L70">
            <v>1.1288152007119523E-3</v>
          </cell>
          <cell r="O70">
            <v>-6.106226635438361E-16</v>
          </cell>
          <cell r="P70">
            <v>1.1288152007030705E-3</v>
          </cell>
        </row>
        <row r="71">
          <cell r="K71">
            <v>0.91707103972562032</v>
          </cell>
          <cell r="L71">
            <v>1.3519734724635524</v>
          </cell>
          <cell r="O71">
            <v>3.0956451140106704</v>
          </cell>
          <cell r="P71">
            <v>2.9302019586283423</v>
          </cell>
        </row>
      </sheetData>
      <sheetData sheetId="5">
        <row r="10">
          <cell r="K10">
            <v>86.875861970000003</v>
          </cell>
          <cell r="L10">
            <v>79.033360180000003</v>
          </cell>
          <cell r="O10">
            <v>48.148876989999998</v>
          </cell>
          <cell r="P10">
            <v>43.957160970000004</v>
          </cell>
        </row>
        <row r="11">
          <cell r="K11">
            <v>58.599776680000005</v>
          </cell>
          <cell r="L11">
            <v>57.101493320000003</v>
          </cell>
          <cell r="O11">
            <v>34.321687040000008</v>
          </cell>
          <cell r="P11">
            <v>33.852709950000005</v>
          </cell>
        </row>
        <row r="12">
          <cell r="K12">
            <v>28.276085289999997</v>
          </cell>
          <cell r="L12">
            <v>21.93186686</v>
          </cell>
          <cell r="O12">
            <v>13.82718994999999</v>
          </cell>
          <cell r="P12">
            <v>10.104451020000003</v>
          </cell>
        </row>
        <row r="13">
          <cell r="K13">
            <v>19.926568811651101</v>
          </cell>
          <cell r="L13">
            <v>18.2596460305578</v>
          </cell>
          <cell r="O13">
            <v>14.551403520182381</v>
          </cell>
          <cell r="P13">
            <v>12.63415013010899</v>
          </cell>
        </row>
        <row r="14">
          <cell r="K14">
            <v>0.22936830046684487</v>
          </cell>
          <cell r="L14">
            <v>0.23103719731732403</v>
          </cell>
          <cell r="O14">
            <v>0.30221688292344911</v>
          </cell>
          <cell r="P14">
            <v>0.28741961153341039</v>
          </cell>
        </row>
        <row r="15">
          <cell r="K15">
            <v>16.751729411651102</v>
          </cell>
          <cell r="L15">
            <v>14.326208930557799</v>
          </cell>
          <cell r="O15">
            <v>12.955755620182382</v>
          </cell>
          <cell r="P15">
            <v>10.59274271010899</v>
          </cell>
        </row>
        <row r="16">
          <cell r="K16">
            <v>0.1928237491034715</v>
          </cell>
          <cell r="L16">
            <v>0.18126787090830482</v>
          </cell>
          <cell r="O16">
            <v>0.26907700511630112</v>
          </cell>
          <cell r="P16">
            <v>0.24097877288613684</v>
          </cell>
        </row>
        <row r="21">
          <cell r="K21">
            <v>81.923861970000004</v>
          </cell>
          <cell r="L21">
            <v>79.033360180000003</v>
          </cell>
          <cell r="O21">
            <v>45.83087699</v>
          </cell>
          <cell r="P21">
            <v>43.957160970000004</v>
          </cell>
        </row>
        <row r="22">
          <cell r="K22">
            <v>58.599776680000005</v>
          </cell>
          <cell r="L22">
            <v>57.101493320000003</v>
          </cell>
          <cell r="O22">
            <v>34.321687040000008</v>
          </cell>
          <cell r="P22">
            <v>33.852709950000005</v>
          </cell>
        </row>
        <row r="23">
          <cell r="K23">
            <v>23.324085289999999</v>
          </cell>
          <cell r="L23">
            <v>21.93186686</v>
          </cell>
          <cell r="O23">
            <v>11.509189949999993</v>
          </cell>
          <cell r="P23">
            <v>10.104451020000003</v>
          </cell>
        </row>
        <row r="24">
          <cell r="K24">
            <v>61.997293158348903</v>
          </cell>
          <cell r="L24">
            <v>60.773714149442199</v>
          </cell>
          <cell r="O24">
            <v>31.279473469817617</v>
          </cell>
          <cell r="P24">
            <v>31.323010839891012</v>
          </cell>
        </row>
        <row r="25">
          <cell r="K25">
            <v>19.926568811651101</v>
          </cell>
          <cell r="L25">
            <v>18.2596460305578</v>
          </cell>
          <cell r="O25">
            <v>14.551403520182381</v>
          </cell>
          <cell r="P25">
            <v>12.63415013010899</v>
          </cell>
        </row>
        <row r="26">
          <cell r="K26">
            <v>0.24323278142024218</v>
          </cell>
          <cell r="L26">
            <v>0.23103719731732403</v>
          </cell>
          <cell r="O26">
            <v>0.31750218359027699</v>
          </cell>
          <cell r="P26">
            <v>0.28741961153341039</v>
          </cell>
        </row>
        <row r="27">
          <cell r="K27">
            <v>16.751729411651102</v>
          </cell>
          <cell r="L27">
            <v>14.326208930557799</v>
          </cell>
          <cell r="O27">
            <v>12.955755620182382</v>
          </cell>
          <cell r="P27">
            <v>10.59274271010899</v>
          </cell>
        </row>
        <row r="28">
          <cell r="K28">
            <v>0.20447924461600062</v>
          </cell>
          <cell r="L28">
            <v>0.18126787090830482</v>
          </cell>
          <cell r="O28">
            <v>0.28268618169818666</v>
          </cell>
          <cell r="P28">
            <v>0.24097877288613684</v>
          </cell>
        </row>
        <row r="33">
          <cell r="K33">
            <v>86.875861970000003</v>
          </cell>
          <cell r="L33">
            <v>79.033360180000003</v>
          </cell>
          <cell r="O33">
            <v>48.148876989999998</v>
          </cell>
          <cell r="P33">
            <v>43.957160970000004</v>
          </cell>
        </row>
        <row r="34">
          <cell r="K34">
            <v>58.599776680000005</v>
          </cell>
          <cell r="L34">
            <v>57.101493320000003</v>
          </cell>
          <cell r="O34">
            <v>34.321687040000008</v>
          </cell>
          <cell r="P34">
            <v>33.852709950000005</v>
          </cell>
        </row>
        <row r="35">
          <cell r="K35">
            <v>28.276085289999997</v>
          </cell>
          <cell r="L35">
            <v>21.93186686</v>
          </cell>
          <cell r="O35">
            <v>13.82718994999999</v>
          </cell>
          <cell r="P35">
            <v>10.104451020000003</v>
          </cell>
        </row>
        <row r="36">
          <cell r="K36">
            <v>67.302304068348903</v>
          </cell>
          <cell r="L36">
            <v>61.606780839442202</v>
          </cell>
          <cell r="O36">
            <v>33.826678209817615</v>
          </cell>
          <cell r="P36">
            <v>31.572048919891014</v>
          </cell>
        </row>
        <row r="37">
          <cell r="K37">
            <v>19.5735579016511</v>
          </cell>
          <cell r="L37">
            <v>17.426579340557801</v>
          </cell>
          <cell r="O37">
            <v>14.322198780182379</v>
          </cell>
          <cell r="P37">
            <v>12.38511205010899</v>
          </cell>
        </row>
        <row r="38">
          <cell r="K38">
            <v>0.22530490584841906</v>
          </cell>
          <cell r="L38">
            <v>0.22049650047610819</v>
          </cell>
          <cell r="O38">
            <v>0.29745654884447142</v>
          </cell>
          <cell r="P38">
            <v>0.28175413918477615</v>
          </cell>
        </row>
        <row r="39">
          <cell r="K39">
            <v>16.3987185016511</v>
          </cell>
          <cell r="L39">
            <v>13.4931422405578</v>
          </cell>
          <cell r="O39">
            <v>12.72655088018238</v>
          </cell>
          <cell r="P39">
            <v>10.34370463010899</v>
          </cell>
        </row>
        <row r="40">
          <cell r="K40">
            <v>0.18876035448504569</v>
          </cell>
          <cell r="L40">
            <v>0.17072717406708898</v>
          </cell>
          <cell r="O40">
            <v>0.26431667103732343</v>
          </cell>
          <cell r="P40">
            <v>0.2353133005375026</v>
          </cell>
        </row>
        <row r="48">
          <cell r="K48">
            <v>0</v>
          </cell>
          <cell r="L48">
            <v>0</v>
          </cell>
          <cell r="O48">
            <v>0</v>
          </cell>
          <cell r="P48">
            <v>0</v>
          </cell>
        </row>
        <row r="54">
          <cell r="K54">
            <v>-0.35301091000000184</v>
          </cell>
          <cell r="L54">
            <v>-0.833066689999999</v>
          </cell>
          <cell r="O54">
            <v>-0.22920474000000191</v>
          </cell>
          <cell r="P54">
            <v>-0.24903807999999916</v>
          </cell>
        </row>
        <row r="55">
          <cell r="K55">
            <v>-0.35301091000000184</v>
          </cell>
          <cell r="L55">
            <v>-0.833066689999999</v>
          </cell>
          <cell r="O55">
            <v>-0.22920474000000191</v>
          </cell>
          <cell r="P55">
            <v>-0.24903807999999916</v>
          </cell>
        </row>
        <row r="60">
          <cell r="K60">
            <v>0</v>
          </cell>
          <cell r="L60">
            <v>0</v>
          </cell>
          <cell r="O60">
            <v>0</v>
          </cell>
          <cell r="P60">
            <v>0</v>
          </cell>
        </row>
        <row r="75">
          <cell r="K75">
            <v>19.5735579016511</v>
          </cell>
          <cell r="L75">
            <v>17.426579340557801</v>
          </cell>
          <cell r="O75">
            <v>14.322198780182379</v>
          </cell>
          <cell r="P75">
            <v>12.38511205010899</v>
          </cell>
        </row>
        <row r="76">
          <cell r="K76">
            <v>0.35301091000000184</v>
          </cell>
          <cell r="L76">
            <v>0.833066689999999</v>
          </cell>
          <cell r="O76">
            <v>0.22920474000000191</v>
          </cell>
          <cell r="P76">
            <v>0.24903807999999916</v>
          </cell>
        </row>
        <row r="77">
          <cell r="K77">
            <v>19.926568811651101</v>
          </cell>
          <cell r="L77">
            <v>18.2596460305578</v>
          </cell>
          <cell r="O77">
            <v>14.551403520182381</v>
          </cell>
          <cell r="P77">
            <v>12.63415013010899</v>
          </cell>
        </row>
        <row r="78">
          <cell r="K78">
            <v>3.0282796100000002</v>
          </cell>
          <cell r="L78">
            <v>3.83794916</v>
          </cell>
          <cell r="O78">
            <v>1.5010288500000004</v>
          </cell>
          <cell r="P78">
            <v>1.9725572699999998</v>
          </cell>
        </row>
        <row r="79">
          <cell r="K79">
            <v>0.14655979</v>
          </cell>
          <cell r="L79">
            <v>9.5487939999999993E-2</v>
          </cell>
          <cell r="O79">
            <v>9.4619049999999996E-2</v>
          </cell>
          <cell r="P79">
            <v>6.8850149999999999E-2</v>
          </cell>
        </row>
        <row r="80">
          <cell r="K80">
            <v>-4.7184478546569153E-16</v>
          </cell>
          <cell r="L80">
            <v>8.3266726846886741E-16</v>
          </cell>
          <cell r="O80">
            <v>-9.5756735873919752E-16</v>
          </cell>
          <cell r="P80">
            <v>1.169203622808368E-15</v>
          </cell>
        </row>
        <row r="81">
          <cell r="K81">
            <v>16.751729411651102</v>
          </cell>
          <cell r="L81">
            <v>14.326208930557799</v>
          </cell>
          <cell r="O81">
            <v>12.955755620182382</v>
          </cell>
          <cell r="P81">
            <v>10.59274271010899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187"/>
  <sheetViews>
    <sheetView tabSelected="1" workbookViewId="0">
      <selection activeCell="F19" sqref="F19"/>
    </sheetView>
  </sheetViews>
  <sheetFormatPr baseColWidth="10" defaultRowHeight="12.75" x14ac:dyDescent="0.2"/>
  <cols>
    <col min="1" max="1" width="6.5703125" style="1" bestFit="1" customWidth="1"/>
    <col min="2" max="3" width="11.42578125" style="1"/>
    <col min="4" max="4" width="48.7109375" style="1" customWidth="1"/>
    <col min="5" max="5" width="1" style="1" customWidth="1"/>
    <col min="6" max="8" width="11.42578125" style="1"/>
    <col min="9" max="9" width="6.85546875" style="1" customWidth="1"/>
    <col min="10" max="10" width="0.85546875" style="1" customWidth="1"/>
    <col min="11" max="13" width="11.42578125" style="1"/>
    <col min="14" max="14" width="7.140625" style="1" customWidth="1"/>
    <col min="15" max="16" width="11.42578125" style="1"/>
    <col min="17" max="17" width="48.7109375" style="1" customWidth="1"/>
    <col min="18" max="18" width="0.85546875" style="1" customWidth="1"/>
    <col min="19" max="21" width="11.42578125" style="1"/>
    <col min="22" max="22" width="6.85546875" style="1" customWidth="1"/>
    <col min="23" max="23" width="0.85546875" style="1" customWidth="1"/>
    <col min="24" max="26" width="11.42578125" style="1"/>
    <col min="27" max="27" width="7.140625" style="1" customWidth="1"/>
    <col min="28" max="29" width="11.42578125" style="1"/>
    <col min="30" max="30" width="48.7109375" style="1" customWidth="1"/>
    <col min="31" max="31" width="0.85546875" style="1" customWidth="1"/>
    <col min="32" max="34" width="11.42578125" style="1"/>
    <col min="35" max="35" width="6.85546875" style="1" customWidth="1"/>
    <col min="36" max="36" width="0.85546875" style="1" customWidth="1"/>
    <col min="37" max="39" width="11.42578125" style="1"/>
    <col min="40" max="40" width="7.140625" style="1" customWidth="1"/>
    <col min="41" max="42" width="11.42578125" style="1"/>
    <col min="43" max="43" width="48.7109375" style="1" customWidth="1"/>
    <col min="44" max="44" width="0.85546875" style="1" customWidth="1"/>
    <col min="45" max="47" width="11.42578125" style="1"/>
    <col min="48" max="48" width="6.85546875" style="1" customWidth="1"/>
    <col min="49" max="49" width="0.85546875" style="1" customWidth="1"/>
    <col min="50" max="52" width="11.42578125" style="1"/>
    <col min="53" max="53" width="7.140625" style="1" customWidth="1"/>
    <col min="54" max="55" width="11.42578125" style="1"/>
    <col min="56" max="56" width="48.7109375" style="1" customWidth="1"/>
    <col min="57" max="57" width="0.85546875" style="1" customWidth="1"/>
    <col min="58" max="60" width="11.42578125" style="1"/>
    <col min="61" max="61" width="6.85546875" style="1" customWidth="1"/>
    <col min="62" max="62" width="0.85546875" style="1" customWidth="1"/>
    <col min="63" max="16384" width="11.42578125" style="1"/>
  </cols>
  <sheetData>
    <row r="2" spans="1:65" ht="13.5" thickBot="1" x14ac:dyDescent="0.25"/>
    <row r="3" spans="1:65" ht="17.25" thickBot="1" x14ac:dyDescent="0.3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K3" s="4"/>
      <c r="L3" s="5"/>
      <c r="M3" s="4"/>
      <c r="Q3" s="3" t="str">
        <f>+IF($B$3="esp","EDUCACIÓN","EDUCATION")</f>
        <v>EDUCATION</v>
      </c>
      <c r="R3" s="4"/>
      <c r="S3" s="4"/>
      <c r="T3" s="5"/>
      <c r="U3" s="4"/>
      <c r="X3" s="4"/>
      <c r="Y3" s="5"/>
      <c r="Z3" s="4"/>
      <c r="AD3" s="3" t="str">
        <f>+IF($B$3="esp","RADIO","RADIO")</f>
        <v>RADIO</v>
      </c>
      <c r="AE3" s="4"/>
      <c r="AF3" s="4"/>
      <c r="AG3" s="5"/>
      <c r="AH3" s="4"/>
      <c r="AK3" s="4"/>
      <c r="AL3" s="5"/>
      <c r="AM3" s="4"/>
      <c r="AQ3" s="3" t="str">
        <f>+IF($B$3="esp","PRENSA","PRESS")</f>
        <v>PRESS</v>
      </c>
      <c r="AR3" s="4"/>
      <c r="AS3" s="4"/>
      <c r="AT3" s="5"/>
      <c r="AU3" s="4"/>
      <c r="AX3" s="4"/>
      <c r="AY3" s="5"/>
      <c r="AZ3" s="4"/>
      <c r="BD3" s="3" t="str">
        <f>+IF($B$3="esp","MEDIA CAPITAL","MEDIA CAPITAL")</f>
        <v>MEDIA CAPITAL</v>
      </c>
      <c r="BE3" s="4"/>
      <c r="BF3" s="4"/>
      <c r="BG3" s="5"/>
      <c r="BH3" s="4"/>
      <c r="BK3" s="4"/>
      <c r="BL3" s="5"/>
      <c r="BM3" s="4"/>
    </row>
    <row r="4" spans="1:65" x14ac:dyDescent="0.2">
      <c r="A4" s="1" t="s">
        <v>2</v>
      </c>
      <c r="B4" s="6" t="s">
        <v>3</v>
      </c>
    </row>
    <row r="5" spans="1:65" x14ac:dyDescent="0.2">
      <c r="A5" s="1" t="s">
        <v>4</v>
      </c>
      <c r="B5" s="1" t="s">
        <v>1</v>
      </c>
    </row>
    <row r="6" spans="1:65" x14ac:dyDescent="0.2">
      <c r="F6" s="7" t="str">
        <f>+IF($B$3="esp","ENERO - JUNIO","JANUARY - JUNE")</f>
        <v>JANUARY - JUNE</v>
      </c>
      <c r="G6" s="8"/>
      <c r="H6" s="8"/>
      <c r="K6" s="7" t="str">
        <f>+IF($B$3="esp","ABRIL - JUNIO","APRIL - JUNE")</f>
        <v>APRIL - JUNE</v>
      </c>
      <c r="L6" s="8"/>
      <c r="M6" s="8"/>
      <c r="S6" s="7" t="str">
        <f>+$F$6</f>
        <v>JANUARY - JUNE</v>
      </c>
      <c r="T6" s="8"/>
      <c r="U6" s="8"/>
      <c r="X6" s="7" t="str">
        <f>+K6</f>
        <v>APRIL - JUNE</v>
      </c>
      <c r="Y6" s="8"/>
      <c r="Z6" s="8"/>
      <c r="AF6" s="7" t="str">
        <f>+$F$6</f>
        <v>JANUARY - JUNE</v>
      </c>
      <c r="AG6" s="8"/>
      <c r="AH6" s="8"/>
      <c r="AK6" s="7" t="str">
        <f>+X6</f>
        <v>APRIL - JUNE</v>
      </c>
      <c r="AL6" s="8"/>
      <c r="AM6" s="8"/>
      <c r="AS6" s="7" t="str">
        <f>+$F$6</f>
        <v>JANUARY - JUNE</v>
      </c>
      <c r="AT6" s="8"/>
      <c r="AU6" s="8"/>
      <c r="AX6" s="7" t="str">
        <f>+AK6</f>
        <v>APRIL - JUNE</v>
      </c>
      <c r="AY6" s="8"/>
      <c r="AZ6" s="8"/>
      <c r="BF6" s="7" t="str">
        <f>+$F$6</f>
        <v>JANUARY - JUNE</v>
      </c>
      <c r="BG6" s="8"/>
      <c r="BH6" s="8"/>
      <c r="BK6" s="7" t="str">
        <f>+AX6</f>
        <v>APRIL - JUNE</v>
      </c>
      <c r="BL6" s="8"/>
      <c r="BM6" s="8"/>
    </row>
    <row r="8" spans="1:65" x14ac:dyDescent="0.2">
      <c r="D8" s="9" t="str">
        <f>+IF($B$3="esp","Millones de €","€ Millions")</f>
        <v>€ Millions</v>
      </c>
      <c r="F8" s="10">
        <v>2018</v>
      </c>
      <c r="G8" s="10">
        <v>2017</v>
      </c>
      <c r="H8" s="10" t="str">
        <f>+IF($B$3="esp","Var.%","% Chg.")</f>
        <v>% Chg.</v>
      </c>
      <c r="K8" s="10">
        <v>2018</v>
      </c>
      <c r="L8" s="10">
        <v>2017</v>
      </c>
      <c r="M8" s="10" t="str">
        <f>+IF($B$3="esp","Var.%","% Chg.")</f>
        <v>% Chg.</v>
      </c>
      <c r="Q8" s="9" t="str">
        <f>+IF($B$3="esp","Millones de €","€ Millions")</f>
        <v>€ Millions</v>
      </c>
      <c r="S8" s="10">
        <v>2018</v>
      </c>
      <c r="T8" s="10">
        <v>2017</v>
      </c>
      <c r="U8" s="10" t="str">
        <f>+IF($B$3="esp","Var.%","% Chg.")</f>
        <v>% Chg.</v>
      </c>
      <c r="X8" s="10">
        <v>2018</v>
      </c>
      <c r="Y8" s="10">
        <v>2017</v>
      </c>
      <c r="Z8" s="10" t="str">
        <f>+IF($B$3="esp","Var.%","% Chg.")</f>
        <v>% Chg.</v>
      </c>
      <c r="AD8" s="9" t="str">
        <f>+IF($B$3="esp","Millones de €","€ Millions")</f>
        <v>€ Millions</v>
      </c>
      <c r="AF8" s="10">
        <v>2018</v>
      </c>
      <c r="AG8" s="10">
        <v>2017</v>
      </c>
      <c r="AH8" s="10" t="str">
        <f>+IF($B$3="esp","Var.%","% Chg.")</f>
        <v>% Chg.</v>
      </c>
      <c r="AK8" s="10">
        <v>2018</v>
      </c>
      <c r="AL8" s="10">
        <v>2017</v>
      </c>
      <c r="AM8" s="10" t="str">
        <f>+IF($B$3="esp","Var.%","% Chg.")</f>
        <v>% Chg.</v>
      </c>
      <c r="AQ8" s="9" t="str">
        <f>+IF($B$3="esp","Millones de €","€ Millions")</f>
        <v>€ Millions</v>
      </c>
      <c r="AS8" s="10">
        <v>2018</v>
      </c>
      <c r="AT8" s="10">
        <v>2017</v>
      </c>
      <c r="AU8" s="10" t="str">
        <f>+IF($B$3="esp","Var.%","% Chg.")</f>
        <v>% Chg.</v>
      </c>
      <c r="AX8" s="10">
        <v>2018</v>
      </c>
      <c r="AY8" s="10">
        <v>2017</v>
      </c>
      <c r="AZ8" s="10" t="str">
        <f>+IF($B$3="esp","Var.%","% Chg.")</f>
        <v>% Chg.</v>
      </c>
      <c r="BD8" s="9" t="str">
        <f>+IF($B$3="esp","Millones de €","€ Millions")</f>
        <v>€ Millions</v>
      </c>
      <c r="BF8" s="10">
        <v>2018</v>
      </c>
      <c r="BG8" s="10">
        <v>2017</v>
      </c>
      <c r="BH8" s="10" t="str">
        <f>+IF($B$3="esp","Var.%","% Chg.")</f>
        <v>% Chg.</v>
      </c>
      <c r="BK8" s="10">
        <v>2018</v>
      </c>
      <c r="BL8" s="10">
        <v>2017</v>
      </c>
      <c r="BM8" s="10" t="str">
        <f>+IF($B$3="esp","Var.%","% Chg.")</f>
        <v>% Chg.</v>
      </c>
    </row>
    <row r="9" spans="1:65" ht="15.75" customHeight="1" x14ac:dyDescent="0.2">
      <c r="D9" s="11" t="str">
        <f>+IF($B$3="esp","Resultados de Explotación Ajustados","Operating Adjusted Results")</f>
        <v>Operating Adjusted Results</v>
      </c>
      <c r="F9" s="12"/>
      <c r="G9" s="12"/>
      <c r="H9" s="12"/>
      <c r="K9" s="12"/>
      <c r="L9" s="12"/>
      <c r="M9" s="12"/>
      <c r="Q9" s="11" t="str">
        <f>+IF($B$3="esp","Resultados de Explotación Ajustados","Operating Adjusted Results")</f>
        <v>Operating Adjusted Results</v>
      </c>
      <c r="S9" s="12"/>
      <c r="T9" s="12"/>
      <c r="U9" s="12"/>
      <c r="X9" s="12"/>
      <c r="Y9" s="12"/>
      <c r="Z9" s="12"/>
      <c r="AD9" s="11" t="str">
        <f>+IF($B$3="esp","Resultados de Explotación Ajustados","Operating Adjusted Results")</f>
        <v>Operating Adjusted Results</v>
      </c>
      <c r="AF9" s="12"/>
      <c r="AG9" s="12"/>
      <c r="AH9" s="12"/>
      <c r="AK9" s="12"/>
      <c r="AL9" s="12"/>
      <c r="AM9" s="12"/>
      <c r="AQ9" s="11" t="str">
        <f>+IF($B$3="esp","Resultados de Explotación Ajustados","Operating Adjusted Results")</f>
        <v>Operating Adjusted Results</v>
      </c>
      <c r="AS9" s="12"/>
      <c r="AT9" s="12"/>
      <c r="AU9" s="12"/>
      <c r="AX9" s="12"/>
      <c r="AY9" s="12"/>
      <c r="AZ9" s="12"/>
      <c r="BD9" s="11" t="str">
        <f>+IF($B$3="esp","Resultados de Explotación Ajustados","Operating Adjusted Results")</f>
        <v>Operating Adjusted Results</v>
      </c>
      <c r="BF9" s="12"/>
      <c r="BG9" s="12"/>
      <c r="BH9" s="12"/>
      <c r="BJ9" s="12"/>
      <c r="BK9" s="12"/>
      <c r="BL9" s="12"/>
      <c r="BM9" s="12"/>
    </row>
    <row r="10" spans="1:65" s="13" customFormat="1" ht="15" customHeight="1" x14ac:dyDescent="0.2">
      <c r="D10" s="13" t="str">
        <f>+IF($B$3="esp","Ingresos de Explotación Ajustados","Operating Adjusted Revenues")</f>
        <v>Operating Adjusted Revenues</v>
      </c>
      <c r="F10" s="14">
        <f>+[1]GRUPO!K10</f>
        <v>621.70596505891342</v>
      </c>
      <c r="G10" s="15">
        <f>+[1]GRUPO!L10</f>
        <v>655.02436052328699</v>
      </c>
      <c r="H10" s="16">
        <f t="shared" ref="H10:H19" si="0">IF(G10=0,"---",IF(OR(ABS((F10-G10)/ABS(G10))&gt;2,(F10*G10)&lt;0),"---",IF(G10="0","---",((F10-G10)/ABS(G10))*100)))</f>
        <v>-5.0865887549214364</v>
      </c>
      <c r="K10" s="14">
        <f>+[1]GRUPO!O10</f>
        <v>300.7058399430374</v>
      </c>
      <c r="L10" s="15">
        <f>+[1]GRUPO!P10</f>
        <v>292.503714107988</v>
      </c>
      <c r="M10" s="16">
        <f t="shared" ref="M10:M19" si="1">IF(L10=0,"---",IF(OR(ABS((K10-L10)/ABS(L10))&gt;2,(K10*L10)&lt;0),"---",IF(L10="0","---",((K10-L10)/ABS(L10))*100)))</f>
        <v>2.804109978590323</v>
      </c>
      <c r="Q10" s="13" t="str">
        <f>+IF($B$3="esp","Ingresos de Explotación Ajustados","Operating Adjusted Revenues")</f>
        <v>Operating Adjusted Revenues</v>
      </c>
      <c r="S10" s="14">
        <f>+[1]SANTILLANA!K10</f>
        <v>293.95733014860747</v>
      </c>
      <c r="T10" s="15">
        <f>+[1]SANTILLANA!L10</f>
        <v>328.02148342967899</v>
      </c>
      <c r="U10" s="16">
        <f t="shared" ref="U10:U19" si="2">IF(T10=0,"---",IF(OR(ABS((S10-T10)/ABS(T10))&gt;2,(S10*T10)&lt;0),"---",IF(T10="0","---",((S10-T10)/ABS(T10))*100)))</f>
        <v>-10.384732403776892</v>
      </c>
      <c r="X10" s="14">
        <f>+[1]SANTILLANA!O10</f>
        <v>120.20941290548348</v>
      </c>
      <c r="Y10" s="15">
        <f>+[1]SANTILLANA!P10</f>
        <v>112.42070918099799</v>
      </c>
      <c r="Z10" s="16">
        <f t="shared" ref="Z10:Z19" si="3">IF(Y10=0,"---",IF(OR(ABS((X10-Y10)/ABS(Y10))&gt;2,(X10*Y10)&lt;0),"---",IF(Y10="0","---",((X10-Y10)/ABS(Y10))*100)))</f>
        <v>6.9281752278805051</v>
      </c>
      <c r="AD10" s="13" t="str">
        <f>+IF($B$3="esp","Ingresos de Explotación","Operating Revenues")</f>
        <v>Operating Revenues</v>
      </c>
      <c r="AF10" s="14">
        <f>+[1]RADIO!K10</f>
        <v>135.97658028720701</v>
      </c>
      <c r="AG10" s="15">
        <f>+[1]RADIO!L10</f>
        <v>136.76790469200699</v>
      </c>
      <c r="AH10" s="16">
        <f t="shared" ref="AH10:AH20" si="4">IF(AG10=0,"---",IF(OR(ABS((AF10-AG10)/ABS(AG10))&gt;2,(AF10*AG10)&lt;0),"---",IF(AG10="0","---",((AF10-AG10)/ABS(AG10))*100)))</f>
        <v>-0.57858925789789217</v>
      </c>
      <c r="AK10" s="14">
        <f>+[1]RADIO!O10</f>
        <v>77.144301663427811</v>
      </c>
      <c r="AL10" s="15">
        <f>+[1]RADIO!P10</f>
        <v>75.783237870044189</v>
      </c>
      <c r="AM10" s="16">
        <f t="shared" ref="AM10:AM20" si="5">IF(AL10=0,"---",IF(OR(ABS((AK10-AL10)/ABS(AL10))&gt;2,(AK10*AL10)&lt;0),"---",IF(AL10="0","---",((AK10-AL10)/ABS(AL10))*100)))</f>
        <v>1.7959958318455891</v>
      </c>
      <c r="AQ10" s="13" t="str">
        <f>+IF($B$3="esp","Ingresos de Explotación","OperatingRevenues")</f>
        <v>OperatingRevenues</v>
      </c>
      <c r="AS10" s="14">
        <f>+[1]NOTICIAS!K10</f>
        <v>100.257352177893</v>
      </c>
      <c r="AT10" s="15">
        <f>+[1]NOTICIAS!L10</f>
        <v>109.053915504267</v>
      </c>
      <c r="AU10" s="16">
        <f>IF(AT10=0,"---",IF(OR(ABS((AS10-AT10)/ABS(AT10))&gt;2,(AS10*AT10)&lt;0),"---",IF(AT10="0","---",((AS10-AT10)/ABS(AT10))*100)))</f>
        <v>-8.0662517120073627</v>
      </c>
      <c r="AX10" s="14">
        <f>+[1]NOTICIAS!O10</f>
        <v>54.606470981266</v>
      </c>
      <c r="AY10" s="15">
        <f>+[1]NOTICIAS!P10</f>
        <v>58.659025464881594</v>
      </c>
      <c r="AZ10" s="16">
        <f>IF(AY10=0,"---",IF(OR(ABS((AX10-AY10)/ABS(AY10))&gt;2,(AX10*AY10)&lt;0),"---",IF(AY10="0","---",((AX10-AY10)/ABS(AY10))*100)))</f>
        <v>-6.9086631622303498</v>
      </c>
      <c r="BD10" s="13" t="str">
        <f>+IF($B$3="esp","Ingresos de Explotación","OperatingRevenues")</f>
        <v>OperatingRevenues</v>
      </c>
      <c r="BF10" s="14">
        <f>+'[1]MEDIA CAPITAL'!K10</f>
        <v>86.875861970000003</v>
      </c>
      <c r="BG10" s="15">
        <f>+'[1]MEDIA CAPITAL'!L10</f>
        <v>79.033360180000003</v>
      </c>
      <c r="BH10" s="16">
        <f>IF(BG10=0,"---",IF(OR(ABS((BF10-BG10)/ABS(BG10))&gt;2,(BF10*BG10)&lt;0),"---",IF(BG10="0","---",((BF10-BG10)/ABS(BG10))*100)))</f>
        <v>9.9230271522538711</v>
      </c>
      <c r="BK10" s="14">
        <f>+'[1]MEDIA CAPITAL'!O10</f>
        <v>48.148876989999998</v>
      </c>
      <c r="BL10" s="15">
        <f>+'[1]MEDIA CAPITAL'!P10</f>
        <v>43.957160970000004</v>
      </c>
      <c r="BM10" s="16">
        <f>IF(BL10=0,"---",IF(OR(ABS((BK10-BL10)/ABS(BL10))&gt;2,(BK10*BL10)&lt;0),"---",IF(BL10="0","---",((BK10-BL10)/ABS(BL10))*100)))</f>
        <v>9.5359116182702675</v>
      </c>
    </row>
    <row r="11" spans="1:65" ht="15" customHeight="1" x14ac:dyDescent="0.2">
      <c r="D11" s="17" t="str">
        <f>+IF($B$3="esp","España","Spain")</f>
        <v>Spain</v>
      </c>
      <c r="F11" s="18">
        <f>+[1]GRUPO!K11</f>
        <v>229.68618836459635</v>
      </c>
      <c r="G11" s="19">
        <f>+[1]GRUPO!L11</f>
        <v>244.90941677891732</v>
      </c>
      <c r="H11" s="20">
        <f t="shared" si="0"/>
        <v>-6.2158607923447722</v>
      </c>
      <c r="K11" s="18">
        <f>+[1]GRUPO!O11</f>
        <v>140.67299154746166</v>
      </c>
      <c r="L11" s="19">
        <f>+[1]GRUPO!P11</f>
        <v>151.67111356979279</v>
      </c>
      <c r="M11" s="20">
        <f t="shared" si="1"/>
        <v>-7.2512964159587634</v>
      </c>
      <c r="Q11" s="17" t="str">
        <f>+IF($B$3="esp","España","Spain")</f>
        <v>Spain</v>
      </c>
      <c r="S11" s="18">
        <f>+[1]SANTILLANA!K11</f>
        <v>37.301114477915405</v>
      </c>
      <c r="T11" s="19">
        <f>+[1]SANTILLANA!L11</f>
        <v>46.542836386892418</v>
      </c>
      <c r="U11" s="20">
        <f t="shared" si="2"/>
        <v>-19.856378825205642</v>
      </c>
      <c r="X11" s="18">
        <f>+[1]SANTILLANA!O11</f>
        <v>35.232237330981434</v>
      </c>
      <c r="Y11" s="19">
        <f>+[1]SANTILLANA!P11</f>
        <v>42.85473820050953</v>
      </c>
      <c r="Z11" s="20">
        <f t="shared" si="3"/>
        <v>-17.786833357524671</v>
      </c>
      <c r="AD11" s="17" t="str">
        <f>+IF($B$3="esp","España","Spain")</f>
        <v>Spain</v>
      </c>
      <c r="AF11" s="18">
        <f>+[1]RADIO!K11</f>
        <v>93.61553318</v>
      </c>
      <c r="AG11" s="19">
        <f>+[1]RADIO!L11</f>
        <v>91.782332190000005</v>
      </c>
      <c r="AH11" s="20">
        <f t="shared" si="4"/>
        <v>1.997335376273788</v>
      </c>
      <c r="AK11" s="18">
        <f>+[1]RADIO!O11</f>
        <v>53.672095929999998</v>
      </c>
      <c r="AL11" s="19">
        <f>+[1]RADIO!P11</f>
        <v>50.107936080000002</v>
      </c>
      <c r="AM11" s="20">
        <f t="shared" si="5"/>
        <v>7.1129647892693564</v>
      </c>
      <c r="AQ11" s="21" t="str">
        <f>+IF($B$3="esp","Publicidad","Advertising")</f>
        <v>Advertising</v>
      </c>
      <c r="AR11" s="22"/>
      <c r="AS11" s="23">
        <f>+[1]NOTICIAS!K11</f>
        <v>49.822359904582001</v>
      </c>
      <c r="AT11" s="24">
        <f>+[1]NOTICIAS!L11</f>
        <v>51.082768643365803</v>
      </c>
      <c r="AU11" s="25">
        <f>IF(AT11=0,"---",IF(OR(ABS((AS11-AT11)/ABS(AT11))&gt;2,(AS11*AT11)&lt;0),"---",IF(AT11="0","---",((AS11-AT11)/ABS(AT11))*100)))</f>
        <v>-2.4673853282764333</v>
      </c>
      <c r="AX11" s="23">
        <f>+[1]NOTICIAS!O11</f>
        <v>28.427429800497201</v>
      </c>
      <c r="AY11" s="24">
        <f>+[1]NOTICIAS!P11</f>
        <v>28.563877455307406</v>
      </c>
      <c r="AZ11" s="25">
        <f>IF(AY11=0,"---",IF(OR(ABS((AX11-AY11)/ABS(AY11))&gt;2,(AX11*AY11)&lt;0),"---",IF(AY11="0","---",((AX11-AY11)/ABS(AY11))*100)))</f>
        <v>-0.47769304088248565</v>
      </c>
      <c r="BD11" s="21" t="str">
        <f>+IF($B$3="esp","Publicidad","Advertising")</f>
        <v>Advertising</v>
      </c>
      <c r="BF11" s="23">
        <f>+'[1]MEDIA CAPITAL'!K11</f>
        <v>58.599776680000005</v>
      </c>
      <c r="BG11" s="24">
        <f>+'[1]MEDIA CAPITAL'!L11</f>
        <v>57.101493320000003</v>
      </c>
      <c r="BH11" s="25">
        <f>IF(BG11=0,"---",IF(OR(ABS((BF11-BG11)/ABS(BG11))&gt;2,(BF11*BG11)&lt;0),"---",IF(BG11="0","---",((BF11-BG11)/ABS(BG11))*100)))</f>
        <v>2.6238952309067245</v>
      </c>
      <c r="BI11" s="22"/>
      <c r="BK11" s="23">
        <f>+'[1]MEDIA CAPITAL'!O11</f>
        <v>34.321687040000008</v>
      </c>
      <c r="BL11" s="24">
        <f>+'[1]MEDIA CAPITAL'!P11</f>
        <v>33.852709950000005</v>
      </c>
      <c r="BM11" s="25">
        <f>IF(BL11=0,"---",IF(OR(ABS((BK11-BL11)/ABS(BL11))&gt;2,(BK11*BL11)&lt;0),"---",IF(BL11="0","---",((BK11-BL11)/ABS(BL11))*100)))</f>
        <v>1.3853457838166445</v>
      </c>
    </row>
    <row r="12" spans="1:65" ht="15" customHeight="1" x14ac:dyDescent="0.2">
      <c r="D12" s="17" t="str">
        <f>+IF($B$3="esp","Internacional","International")</f>
        <v>International</v>
      </c>
      <c r="F12" s="18">
        <f>+[1]GRUPO!K12</f>
        <v>392.0197766943171</v>
      </c>
      <c r="G12" s="19">
        <f>+[1]GRUPO!L12</f>
        <v>410.11494374436967</v>
      </c>
      <c r="H12" s="20">
        <f t="shared" si="0"/>
        <v>-4.4122184100005715</v>
      </c>
      <c r="K12" s="18">
        <f>+[1]GRUPO!O12</f>
        <v>160.03284839557577</v>
      </c>
      <c r="L12" s="19">
        <f>+[1]GRUPO!P12</f>
        <v>140.83260053819521</v>
      </c>
      <c r="M12" s="20">
        <f t="shared" si="1"/>
        <v>13.633383026377659</v>
      </c>
      <c r="Q12" s="17" t="str">
        <f>+IF($B$3="esp","Internacional","International")</f>
        <v>International</v>
      </c>
      <c r="S12" s="18">
        <f>+[1]SANTILLANA!K12</f>
        <v>256.65621567069206</v>
      </c>
      <c r="T12" s="19">
        <f>+[1]SANTILLANA!L12</f>
        <v>281.47864704278658</v>
      </c>
      <c r="U12" s="20">
        <f t="shared" si="2"/>
        <v>-8.8185841565173302</v>
      </c>
      <c r="X12" s="18">
        <f>+[1]SANTILLANA!O12</f>
        <v>84.977175574502041</v>
      </c>
      <c r="Y12" s="19">
        <f>+[1]SANTILLANA!P12</f>
        <v>69.565970980488459</v>
      </c>
      <c r="Z12" s="20">
        <f t="shared" si="3"/>
        <v>22.153366619918302</v>
      </c>
      <c r="AD12" s="17" t="str">
        <f>+IF($B$3="esp","Latam","Latam")</f>
        <v>Latam</v>
      </c>
      <c r="AF12" s="18">
        <f>+[1]RADIO!K12</f>
        <v>43.849909448527704</v>
      </c>
      <c r="AG12" s="19">
        <f>+[1]RADIO!L12</f>
        <v>44.709871196942899</v>
      </c>
      <c r="AH12" s="20">
        <f t="shared" si="4"/>
        <v>-1.9234270316439559</v>
      </c>
      <c r="AK12" s="18">
        <f>+[1]RADIO!O12</f>
        <v>24.443895095250504</v>
      </c>
      <c r="AL12" s="19">
        <f>+[1]RADIO!P12</f>
        <v>24.730219909769598</v>
      </c>
      <c r="AM12" s="20">
        <f t="shared" si="5"/>
        <v>-1.1577932406738636</v>
      </c>
      <c r="AQ12" s="21" t="str">
        <f>+IF($B$3="esp","Circulación","Circulation")</f>
        <v>Circulation</v>
      </c>
      <c r="AR12" s="22"/>
      <c r="AS12" s="23">
        <f>+[1]NOTICIAS!K12</f>
        <v>35.218538424773598</v>
      </c>
      <c r="AT12" s="24">
        <f>+[1]NOTICIAS!L12</f>
        <v>40.211427379887297</v>
      </c>
      <c r="AU12" s="25">
        <f>IF(AT12=0,"---",IF(OR(ABS((AS12-AT12)/ABS(AT12))&gt;2,(AS12*AT12)&lt;0),"---",IF(AT12="0","---",((AS12-AT12)/ABS(AT12))*100)))</f>
        <v>-12.416592198890735</v>
      </c>
      <c r="AX12" s="23">
        <f>+[1]NOTICIAS!O12</f>
        <v>17.859490229428197</v>
      </c>
      <c r="AY12" s="24">
        <f>+[1]NOTICIAS!P12</f>
        <v>20.113624483991998</v>
      </c>
      <c r="AZ12" s="25">
        <f>IF(AY12=0,"---",IF(OR(ABS((AX12-AY12)/ABS(AY12))&gt;2,(AX12*AY12)&lt;0),"---",IF(AY12="0","---",((AX12-AY12)/ABS(AY12))*100)))</f>
        <v>-11.207001783083992</v>
      </c>
      <c r="BD12" s="21" t="str">
        <f>+IF($B$3="esp","Otros","Others")</f>
        <v>Others</v>
      </c>
      <c r="BF12" s="23">
        <f>+'[1]MEDIA CAPITAL'!K12</f>
        <v>28.276085289999997</v>
      </c>
      <c r="BG12" s="24">
        <f>+'[1]MEDIA CAPITAL'!L12</f>
        <v>21.93186686</v>
      </c>
      <c r="BH12" s="25">
        <f>IF(BG12=0,"---",IF(OR(ABS((BF12-BG12)/ABS(BG12))&gt;2,(BF12*BG12)&lt;0),"---",IF(BG12="0","---",((BF12-BG12)/ABS(BG12))*100)))</f>
        <v>28.926942108930888</v>
      </c>
      <c r="BI12" s="22"/>
      <c r="BK12" s="23">
        <f>+'[1]MEDIA CAPITAL'!O12</f>
        <v>13.82718994999999</v>
      </c>
      <c r="BL12" s="24">
        <f>+'[1]MEDIA CAPITAL'!P12</f>
        <v>10.104451020000003</v>
      </c>
      <c r="BM12" s="25">
        <f>IF(BL12=0,"---",IF(OR(ABS((BK12-BL12)/ABS(BL12))&gt;2,(BK12*BL12)&lt;0),"---",IF(BL12="0","---",((BK12-BL12)/ABS(BL12))*100)))</f>
        <v>36.842564951143544</v>
      </c>
    </row>
    <row r="13" spans="1:65" ht="15" customHeight="1" x14ac:dyDescent="0.2">
      <c r="D13" s="26" t="str">
        <f>+IF($B$3="esp","Latam","Latam")</f>
        <v>Latam</v>
      </c>
      <c r="F13" s="18">
        <f>+[1]GRUPO!K13</f>
        <v>305.52000654431714</v>
      </c>
      <c r="G13" s="19">
        <f>+[1]GRUPO!L13</f>
        <v>331.51544048436972</v>
      </c>
      <c r="H13" s="20">
        <f t="shared" si="0"/>
        <v>-7.8413946276744264</v>
      </c>
      <c r="K13" s="18">
        <f>+[1]GRUPO!O13</f>
        <v>111.98946922557579</v>
      </c>
      <c r="L13" s="19">
        <f>+[1]GRUPO!P13</f>
        <v>97.128495538195295</v>
      </c>
      <c r="M13" s="20">
        <f t="shared" si="1"/>
        <v>15.300323149282683</v>
      </c>
      <c r="Q13" s="26" t="str">
        <f>+IF($B$3="esp","Latam","Latam")</f>
        <v>Latam</v>
      </c>
      <c r="S13" s="18">
        <f>+[1]SANTILLANA!K13</f>
        <v>256.62640767069206</v>
      </c>
      <c r="T13" s="19">
        <f>+[1]SANTILLANA!L13</f>
        <v>281.41056904278656</v>
      </c>
      <c r="U13" s="20">
        <f t="shared" si="2"/>
        <v>-8.8071181748423371</v>
      </c>
      <c r="X13" s="18">
        <f>+[1]SANTILLANA!O13</f>
        <v>84.976773574502033</v>
      </c>
      <c r="Y13" s="19">
        <f>+[1]SANTILLANA!P13</f>
        <v>69.544440980488446</v>
      </c>
      <c r="Z13" s="20">
        <f t="shared" si="3"/>
        <v>22.190605570247261</v>
      </c>
      <c r="AD13" s="17" t="str">
        <f>+IF($B$3="esp","Música","Music")</f>
        <v>Music</v>
      </c>
      <c r="AF13" s="18">
        <f>+[1]RADIO!K13</f>
        <v>2.47896495329605</v>
      </c>
      <c r="AG13" s="19">
        <f>+[1]RADIO!L13</f>
        <v>4.7338752815393503</v>
      </c>
      <c r="AH13" s="20">
        <f t="shared" si="4"/>
        <v>-47.633496747089076</v>
      </c>
      <c r="AK13" s="18">
        <f>+[1]RADIO!O13</f>
        <v>1.13066038428647</v>
      </c>
      <c r="AL13" s="19">
        <f>+[1]RADIO!P13</f>
        <v>3.3855274148689602</v>
      </c>
      <c r="AM13" s="20">
        <f t="shared" si="5"/>
        <v>-66.603124248213092</v>
      </c>
      <c r="AQ13" s="21" t="str">
        <f>+IF($B$3="esp","Promociones y Otros","Add-ons and Others")</f>
        <v>Add-ons and Others</v>
      </c>
      <c r="AR13" s="22"/>
      <c r="AS13" s="23">
        <f>+[1]NOTICIAS!K13</f>
        <v>15.216453848537398</v>
      </c>
      <c r="AT13" s="24">
        <f>+[1]NOTICIAS!L13</f>
        <v>17.759719481013896</v>
      </c>
      <c r="AU13" s="25">
        <f>IF(AT13=0,"---",IF(OR(ABS((AS13-AT13)/ABS(AT13))&gt;2,(AS13*AT13)&lt;0),"---",IF(AT13="0","---",((AS13-AT13)/ABS(AT13))*100)))</f>
        <v>-14.320415562843698</v>
      </c>
      <c r="AX13" s="23">
        <f>+[1]NOTICIAS!O13</f>
        <v>8.3195509513406023</v>
      </c>
      <c r="AY13" s="24">
        <f>+[1]NOTICIAS!P13</f>
        <v>9.9815235255821904</v>
      </c>
      <c r="AZ13" s="25">
        <f>IF(AY13=0,"---",IF(OR(ABS((AX13-AY13)/ABS(AY13))&gt;2,(AX13*AY13)&lt;0),"---",IF(AY13="0","---",((AX13-AY13)/ABS(AY13))*100)))</f>
        <v>-16.650489977627444</v>
      </c>
      <c r="BD13" s="13" t="str">
        <f>+IF($B$3="esp","EBITDA Ajustado","Adjusted EBITDA")</f>
        <v>Adjusted EBITDA</v>
      </c>
      <c r="BF13" s="14">
        <f>+'[1]MEDIA CAPITAL'!K13</f>
        <v>19.926568811651101</v>
      </c>
      <c r="BG13" s="15">
        <f>+'[1]MEDIA CAPITAL'!L13</f>
        <v>18.2596460305578</v>
      </c>
      <c r="BH13" s="16">
        <f>IF(BG13=0,"---",IF(OR(ABS((BF13-BG13)/ABS(BG13))&gt;2,(BF13*BG13)&lt;0),"---",IF(BG13="0","---",((BF13-BG13)/ABS(BG13))*100)))</f>
        <v>9.128998329451079</v>
      </c>
      <c r="BI13" s="13"/>
      <c r="BK13" s="14">
        <f>+'[1]MEDIA CAPITAL'!O13</f>
        <v>14.551403520182381</v>
      </c>
      <c r="BL13" s="15">
        <f>+'[1]MEDIA CAPITAL'!P13</f>
        <v>12.63415013010899</v>
      </c>
      <c r="BM13" s="16">
        <f>IF(BL13=0,"---",IF(OR(ABS((BK13-BL13)/ABS(BL13))&gt;2,(BK13*BL13)&lt;0),"---",IF(BL13="0","---",((BK13-BL13)/ABS(BL13))*100)))</f>
        <v>15.175167069641681</v>
      </c>
    </row>
    <row r="14" spans="1:65" ht="15" customHeight="1" x14ac:dyDescent="0.2">
      <c r="D14" s="26" t="str">
        <f>+IF($B$3="esp","Portugal","Portugal")</f>
        <v>Portugal</v>
      </c>
      <c r="F14" s="18">
        <f>+[1]GRUPO!K14</f>
        <v>86.499770150000018</v>
      </c>
      <c r="G14" s="19">
        <f>+[1]GRUPO!L14</f>
        <v>78.599503259999992</v>
      </c>
      <c r="H14" s="20">
        <f t="shared" si="0"/>
        <v>10.051293662590542</v>
      </c>
      <c r="K14" s="18">
        <f>+[1]GRUPO!O14</f>
        <v>48.043379170000016</v>
      </c>
      <c r="L14" s="19">
        <f>+[1]GRUPO!P14</f>
        <v>43.704104999999991</v>
      </c>
      <c r="M14" s="20">
        <f t="shared" si="1"/>
        <v>9.9287565092570258</v>
      </c>
      <c r="Q14" s="26" t="str">
        <f>+IF($B$3="esp","Portugal","Portugal")</f>
        <v>Portugal</v>
      </c>
      <c r="S14" s="18">
        <f>+[1]SANTILLANA!K14</f>
        <v>2.9808000000000001E-2</v>
      </c>
      <c r="T14" s="19">
        <f>+[1]SANTILLANA!L14</f>
        <v>6.8078E-2</v>
      </c>
      <c r="U14" s="20">
        <f t="shared" si="2"/>
        <v>-56.214929933311787</v>
      </c>
      <c r="X14" s="18">
        <f>+[1]SANTILLANA!O14</f>
        <v>4.0200000000000305E-4</v>
      </c>
      <c r="Y14" s="19">
        <f>+[1]SANTILLANA!P14</f>
        <v>2.1530000000000001E-2</v>
      </c>
      <c r="Z14" s="20">
        <f t="shared" si="3"/>
        <v>-98.132837900603803</v>
      </c>
      <c r="AD14" s="17" t="str">
        <f>+IF($B$3="esp","Ajustes y Otros","Adjustments &amp; others")</f>
        <v>Adjustments &amp; others</v>
      </c>
      <c r="AF14" s="18">
        <f>+[1]RADIO!K14</f>
        <v>-3.9678272946167401</v>
      </c>
      <c r="AG14" s="19">
        <f>+[1]RADIO!L14</f>
        <v>-4.458173976475261</v>
      </c>
      <c r="AH14" s="20">
        <f t="shared" si="4"/>
        <v>10.998823384775145</v>
      </c>
      <c r="AK14" s="18">
        <f>+[1]RADIO!O14</f>
        <v>-2.1023497461091605</v>
      </c>
      <c r="AL14" s="19">
        <f>+[1]RADIO!P14</f>
        <v>-2.4404455345943639</v>
      </c>
      <c r="AM14" s="20">
        <f t="shared" si="5"/>
        <v>13.853855113443442</v>
      </c>
      <c r="AQ14" s="13" t="str">
        <f>+IF($B$3="esp","EBITDA Ajustado","Adjusted EBITDA")</f>
        <v>Adjusted EBITDA</v>
      </c>
      <c r="AR14" s="13"/>
      <c r="AS14" s="14">
        <f>+[1]NOTICIAS!K14</f>
        <v>4.0065482534604628</v>
      </c>
      <c r="AT14" s="15">
        <f>+[1]NOTICIAS!L14</f>
        <v>5.9595375868221296</v>
      </c>
      <c r="AU14" s="16">
        <f>IF(AT14=0,"---",IF(OR(ABS((AS14-AT14)/ABS(AT14))&gt;2,(AS14*AT14)&lt;0),"---",IF(AT14="0","---",((AS14-AT14)/ABS(AT14))*100)))</f>
        <v>-32.770819965632278</v>
      </c>
      <c r="AX14" s="14">
        <f>+[1]NOTICIAS!O14</f>
        <v>4.6966426850119225</v>
      </c>
      <c r="AY14" s="15">
        <f>+[1]NOTICIAS!P14</f>
        <v>5.1058867729091792</v>
      </c>
      <c r="AZ14" s="16">
        <f>IF(AY14=0,"---",IF(OR(ABS((AX14-AY14)/ABS(AY14))&gt;2,(AX14*AY14)&lt;0),"---",IF(AY14="0","---",((AX14-AY14)/ABS(AY14))*100)))</f>
        <v>-8.0151422485242829</v>
      </c>
      <c r="BD14" s="21" t="str">
        <f>+IF($B$3="esp","Margen EBITDA Ajustado","Adjusted EBITDA Margin")</f>
        <v>Adjusted EBITDA Margin</v>
      </c>
      <c r="BF14" s="27">
        <f>+'[1]MEDIA CAPITAL'!K14</f>
        <v>0.22936830046684487</v>
      </c>
      <c r="BG14" s="28">
        <f>+'[1]MEDIA CAPITAL'!L14</f>
        <v>0.23103719731732403</v>
      </c>
      <c r="BH14" s="29"/>
      <c r="BI14" s="22"/>
      <c r="BK14" s="27">
        <f>+'[1]MEDIA CAPITAL'!O14</f>
        <v>0.30221688292344911</v>
      </c>
      <c r="BL14" s="28">
        <f>+'[1]MEDIA CAPITAL'!P14</f>
        <v>0.28741961153341039</v>
      </c>
      <c r="BM14" s="29"/>
    </row>
    <row r="15" spans="1:65" s="13" customFormat="1" ht="15" customHeight="1" x14ac:dyDescent="0.2">
      <c r="D15" s="13" t="str">
        <f>+IF($B$3="esp","EBITDA Ajustado","Adjusted EBITDA")</f>
        <v>Adjusted EBITDA</v>
      </c>
      <c r="F15" s="14">
        <f>+[1]GRUPO!K15</f>
        <v>128.22043671489058</v>
      </c>
      <c r="G15" s="15">
        <f>+[1]GRUPO!L15</f>
        <v>131.80012489130414</v>
      </c>
      <c r="H15" s="16">
        <f t="shared" si="0"/>
        <v>-2.715997560219106</v>
      </c>
      <c r="K15" s="14">
        <f>+[1]GRUPO!O15</f>
        <v>56.800962716780973</v>
      </c>
      <c r="L15" s="15">
        <f>+[1]GRUPO!P15</f>
        <v>40.911566296960572</v>
      </c>
      <c r="M15" s="16">
        <f t="shared" si="1"/>
        <v>38.838396712767427</v>
      </c>
      <c r="Q15" s="13" t="str">
        <f>+IF($B$3="esp","EBITDA Ajustado","Adjusted EBITDA")</f>
        <v>Adjusted EBITDA</v>
      </c>
      <c r="S15" s="14">
        <f>+[1]SANTILLANA!K15</f>
        <v>81.148683985070264</v>
      </c>
      <c r="T15" s="15">
        <f>+[1]SANTILLANA!L15</f>
        <v>94.203475473929714</v>
      </c>
      <c r="U15" s="16">
        <f t="shared" si="2"/>
        <v>-13.858078402290255</v>
      </c>
      <c r="X15" s="14">
        <f>+[1]SANTILLANA!O15</f>
        <v>18.175845204785979</v>
      </c>
      <c r="Y15" s="15">
        <f>+[1]SANTILLANA!P15</f>
        <v>11.200432742548159</v>
      </c>
      <c r="Z15" s="16">
        <f t="shared" si="3"/>
        <v>62.27806213004299</v>
      </c>
      <c r="AD15" s="13" t="str">
        <f>+IF($B$3="esp","Ingresos de Explotación con MX y CR","Operating Revenues w/MX&amp;CR")</f>
        <v>Operating Revenues w/MX&amp;CR</v>
      </c>
      <c r="AF15" s="14">
        <f>+[1]RADIO!K15</f>
        <v>146.60755948652351</v>
      </c>
      <c r="AG15" s="15">
        <f>+[1]RADIO!L15</f>
        <v>146.78221148804931</v>
      </c>
      <c r="AH15" s="16">
        <f t="shared" si="4"/>
        <v>-0.1189871713712528</v>
      </c>
      <c r="AK15" s="14">
        <f>+[1]RADIO!O15</f>
        <v>83.080303281820989</v>
      </c>
      <c r="AL15" s="15">
        <f>+[1]RADIO!P15</f>
        <v>81.109747264492839</v>
      </c>
      <c r="AM15" s="16">
        <f t="shared" si="5"/>
        <v>2.4294934749362658</v>
      </c>
      <c r="AQ15" s="21" t="str">
        <f>+IF($B$3="esp","Margen EBITDA Ajustado","Adjusted EBITDA Margin")</f>
        <v>Adjusted EBITDA Margin</v>
      </c>
      <c r="AR15" s="22"/>
      <c r="AS15" s="27">
        <f>+[1]NOTICIAS!K15</f>
        <v>3.996263781584207E-2</v>
      </c>
      <c r="AT15" s="28">
        <f>+[1]NOTICIAS!L15</f>
        <v>5.4647625986331029E-2</v>
      </c>
      <c r="AU15" s="29"/>
      <c r="AX15" s="27">
        <f>+[1]NOTICIAS!O15</f>
        <v>8.6008903351824609E-2</v>
      </c>
      <c r="AY15" s="28">
        <f>+[1]NOTICIAS!P15</f>
        <v>8.7043498122313809E-2</v>
      </c>
      <c r="AZ15" s="29"/>
      <c r="BD15" s="13" t="str">
        <f>+IF($B$3="esp","EBIT Ajustado","Adjusted EBIT")</f>
        <v>Adjusted EBIT</v>
      </c>
      <c r="BF15" s="14">
        <f>+'[1]MEDIA CAPITAL'!K15</f>
        <v>16.751729411651102</v>
      </c>
      <c r="BG15" s="15">
        <f>+'[1]MEDIA CAPITAL'!L15</f>
        <v>14.326208930557799</v>
      </c>
      <c r="BH15" s="16">
        <f>IF(BG15=0,"---",IF(OR(ABS((BF15-BG15)/ABS(BG15))&gt;2,(BF15*BG15)&lt;0),"---",IF(BG15="0","---",((BF15-BG15)/ABS(BG15))*100)))</f>
        <v>16.930651317807239</v>
      </c>
      <c r="BK15" s="14">
        <f>+'[1]MEDIA CAPITAL'!O15</f>
        <v>12.955755620182382</v>
      </c>
      <c r="BL15" s="15">
        <f>+'[1]MEDIA CAPITAL'!P15</f>
        <v>10.59274271010899</v>
      </c>
      <c r="BM15" s="16">
        <f>IF(BL15=0,"---",IF(OR(ABS((BK15-BL15)/ABS(BL15))&gt;2,(BK15*BL15)&lt;0),"---",IF(BL15="0","---",((BK15-BL15)/ABS(BL15))*100)))</f>
        <v>22.307847691026179</v>
      </c>
    </row>
    <row r="16" spans="1:65" ht="15" customHeight="1" x14ac:dyDescent="0.2">
      <c r="D16" s="17" t="str">
        <f>+IF($B$3="esp","España","Spain")</f>
        <v>Spain</v>
      </c>
      <c r="F16" s="18">
        <f>+[1]GRUPO!K16</f>
        <v>15.042480859999923</v>
      </c>
      <c r="G16" s="19">
        <f>+[1]GRUPO!L16</f>
        <v>15.666552966162445</v>
      </c>
      <c r="H16" s="20">
        <f t="shared" si="0"/>
        <v>-3.9834678854399583</v>
      </c>
      <c r="K16" s="18">
        <f>+[1]GRUPO!O16</f>
        <v>28.615073050000209</v>
      </c>
      <c r="L16" s="19">
        <f>+[1]GRUPO!P16</f>
        <v>29.239690739999858</v>
      </c>
      <c r="M16" s="20">
        <f t="shared" si="1"/>
        <v>-2.1361980041231181</v>
      </c>
      <c r="Q16" s="17" t="str">
        <f>+IF($B$3="esp","España","Spain")</f>
        <v>Spain</v>
      </c>
      <c r="S16" s="18">
        <f>+[1]SANTILLANA!K16</f>
        <v>-5.096120400000018</v>
      </c>
      <c r="T16" s="19">
        <f>+[1]SANTILLANA!L16</f>
        <v>2.3653616399990653</v>
      </c>
      <c r="U16" s="20" t="str">
        <f t="shared" si="2"/>
        <v>---</v>
      </c>
      <c r="X16" s="18">
        <f>+[1]SANTILLANA!O16</f>
        <v>10.506535639999761</v>
      </c>
      <c r="Y16" s="19">
        <f>+[1]SANTILLANA!P16</f>
        <v>17.509033509998929</v>
      </c>
      <c r="Z16" s="20">
        <f t="shared" si="3"/>
        <v>-39.993628808810229</v>
      </c>
      <c r="AD16" s="13" t="str">
        <f>+IF($B$3="esp","EBITDA Ajustado","Adjusted EBITDA")</f>
        <v>Adjusted EBITDA</v>
      </c>
      <c r="AE16" s="13"/>
      <c r="AF16" s="14">
        <f>+[1]RADIO!K16</f>
        <v>28.21189003778893</v>
      </c>
      <c r="AG16" s="15">
        <f>+[1]RADIO!L16</f>
        <v>22.013705716172801</v>
      </c>
      <c r="AH16" s="16">
        <f t="shared" si="4"/>
        <v>28.156024258389678</v>
      </c>
      <c r="AI16" s="13"/>
      <c r="AK16" s="14">
        <f>+[1]RADIO!O16</f>
        <v>21.2157219718218</v>
      </c>
      <c r="AL16" s="15">
        <f>+[1]RADIO!P16</f>
        <v>16.335453433327682</v>
      </c>
      <c r="AM16" s="16">
        <f t="shared" si="5"/>
        <v>29.875317256497862</v>
      </c>
      <c r="AN16" s="13"/>
      <c r="AQ16" s="13" t="str">
        <f>+IF($B$3="esp","EBIT Ajustado","Adjusted EBIT")</f>
        <v>Adjusted EBIT</v>
      </c>
      <c r="AR16" s="13"/>
      <c r="AS16" s="14">
        <f>+[1]NOTICIAS!K16</f>
        <v>0.91707103972562032</v>
      </c>
      <c r="AT16" s="15">
        <f>+[1]NOTICIAS!L16</f>
        <v>1.3519734724635524</v>
      </c>
      <c r="AU16" s="16">
        <f>IF(AT16=0,"---",IF(OR(ABS((AS16-AT16)/ABS(AT16))&gt;2,(AS16*AT16)&lt;0),"---",IF(AT16="0","---",((AS16-AT16)/ABS(AT16))*100)))</f>
        <v>-32.167970865985794</v>
      </c>
      <c r="AX16" s="14">
        <f>+[1]NOTICIAS!O16</f>
        <v>3.0956451140106704</v>
      </c>
      <c r="AY16" s="15">
        <f>+[1]NOTICIAS!P16</f>
        <v>2.9302019586283423</v>
      </c>
      <c r="AZ16" s="16">
        <f>IF(AY16=0,"---",IF(OR(ABS((AX16-AY16)/ABS(AY16))&gt;2,(AX16*AY16)&lt;0),"---",IF(AY16="0","---",((AX16-AY16)/ABS(AY16))*100)))</f>
        <v>5.6461348984891728</v>
      </c>
      <c r="BA16" s="13"/>
      <c r="BD16" s="30" t="str">
        <f>+IF($B$3="esp","Margen EBIT Ajustado","Adjusted EBIT Margin")</f>
        <v>Adjusted EBIT Margin</v>
      </c>
      <c r="BF16" s="31">
        <f>+'[1]MEDIA CAPITAL'!K16</f>
        <v>0.1928237491034715</v>
      </c>
      <c r="BG16" s="32">
        <f>+'[1]MEDIA CAPITAL'!L16</f>
        <v>0.18126787090830482</v>
      </c>
      <c r="BH16" s="33"/>
      <c r="BI16" s="22"/>
      <c r="BK16" s="31">
        <f>+'[1]MEDIA CAPITAL'!O16</f>
        <v>0.26907700511630112</v>
      </c>
      <c r="BL16" s="32">
        <f>+'[1]MEDIA CAPITAL'!P16</f>
        <v>0.24097877288613684</v>
      </c>
      <c r="BM16" s="33"/>
    </row>
    <row r="17" spans="4:65" ht="15" customHeight="1" x14ac:dyDescent="0.2">
      <c r="D17" s="17" t="str">
        <f>+IF($B$3="esp","Internacional","International")</f>
        <v>International</v>
      </c>
      <c r="F17" s="18">
        <f>+[1]GRUPO!K17</f>
        <v>113.17795585489066</v>
      </c>
      <c r="G17" s="19">
        <f>+[1]GRUPO!L17</f>
        <v>116.13357192514171</v>
      </c>
      <c r="H17" s="20">
        <f t="shared" si="0"/>
        <v>-2.5450143496457751</v>
      </c>
      <c r="K17" s="18">
        <f>+[1]GRUPO!O17</f>
        <v>28.185889666780767</v>
      </c>
      <c r="L17" s="19">
        <f>+[1]GRUPO!P17</f>
        <v>11.671875556960742</v>
      </c>
      <c r="M17" s="20">
        <f t="shared" si="1"/>
        <v>141.4855224357801</v>
      </c>
      <c r="Q17" s="17" t="str">
        <f>+IF($B$3="esp","Internacional","International")</f>
        <v>International</v>
      </c>
      <c r="S17" s="18">
        <f>+[1]SANTILLANA!K17</f>
        <v>86.244804385070282</v>
      </c>
      <c r="T17" s="19">
        <f>+[1]SANTILLANA!L17</f>
        <v>91.838113833930649</v>
      </c>
      <c r="U17" s="20">
        <f t="shared" si="2"/>
        <v>-6.0904010495845515</v>
      </c>
      <c r="X17" s="18">
        <f>+[1]SANTILLANA!O17</f>
        <v>7.6693095647862179</v>
      </c>
      <c r="Y17" s="19">
        <f>+[1]SANTILLANA!P17</f>
        <v>-6.3086007674507698</v>
      </c>
      <c r="Z17" s="20" t="str">
        <f t="shared" si="3"/>
        <v>---</v>
      </c>
      <c r="AD17" s="17" t="str">
        <f>+IF($B$3="esp","España","Spain")</f>
        <v>Spain</v>
      </c>
      <c r="AF17" s="18">
        <f>+[1]RADIO!K17</f>
        <v>18.820925630000001</v>
      </c>
      <c r="AG17" s="19">
        <f>+[1]RADIO!L17</f>
        <v>14.293106669999903</v>
      </c>
      <c r="AH17" s="20">
        <f t="shared" si="4"/>
        <v>31.678340227486245</v>
      </c>
      <c r="AK17" s="18">
        <f>+[1]RADIO!O17</f>
        <v>14.637548330000062</v>
      </c>
      <c r="AL17" s="19">
        <f>+[1]RADIO!P17</f>
        <v>9.8145030499998622</v>
      </c>
      <c r="AM17" s="20">
        <f t="shared" si="5"/>
        <v>49.142022325830013</v>
      </c>
      <c r="AQ17" s="30" t="str">
        <f>+IF($B$3="esp","Margen EBIT Ajustado","Adjusted EBIT Margin")</f>
        <v>Adjusted EBIT Margin</v>
      </c>
      <c r="AR17" s="22"/>
      <c r="AS17" s="31">
        <f>+[1]NOTICIAS!K17</f>
        <v>9.1471699561584546E-3</v>
      </c>
      <c r="AT17" s="32">
        <f>+[1]NOTICIAS!L17</f>
        <v>1.2397294184367484E-2</v>
      </c>
      <c r="AU17" s="33"/>
      <c r="AX17" s="31">
        <f>+[1]NOTICIAS!O17</f>
        <v>5.6690078270626616E-2</v>
      </c>
      <c r="AY17" s="32">
        <f>+[1]NOTICIAS!P17</f>
        <v>4.9953130578049183E-2</v>
      </c>
      <c r="AZ17" s="33"/>
    </row>
    <row r="18" spans="4:65" ht="15" customHeight="1" x14ac:dyDescent="0.2">
      <c r="D18" s="26" t="str">
        <f>+IF($B$3="esp","Latam","Latam")</f>
        <v>Latam</v>
      </c>
      <c r="F18" s="18">
        <f>+[1]GRUPO!K18</f>
        <v>94.447770093239555</v>
      </c>
      <c r="G18" s="19">
        <f>+[1]GRUPO!L18</f>
        <v>99.485043104583909</v>
      </c>
      <c r="H18" s="20">
        <f t="shared" si="0"/>
        <v>-5.0633470662006017</v>
      </c>
      <c r="K18" s="18">
        <f>+[1]GRUPO!O18</f>
        <v>14.02698998659838</v>
      </c>
      <c r="L18" s="19">
        <f>+[1]GRUPO!P18</f>
        <v>0.15313697685175498</v>
      </c>
      <c r="M18" s="20" t="str">
        <f t="shared" si="1"/>
        <v>---</v>
      </c>
      <c r="Q18" s="26" t="str">
        <f>+IF($B$3="esp","Latam","Latam")</f>
        <v>Latam</v>
      </c>
      <c r="S18" s="18">
        <f>+[1]SANTILLANA!K18</f>
        <v>87.168701385070278</v>
      </c>
      <c r="T18" s="19">
        <f>+[1]SANTILLANA!L18</f>
        <v>93.360345833930651</v>
      </c>
      <c r="U18" s="20">
        <f t="shared" si="2"/>
        <v>-6.631985339765202</v>
      </c>
      <c r="X18" s="18">
        <f>+[1]SANTILLANA!O18</f>
        <v>8.0843325647862088</v>
      </c>
      <c r="Y18" s="19">
        <f>+[1]SANTILLANA!P18</f>
        <v>-5.4152687674507689</v>
      </c>
      <c r="Z18" s="20" t="str">
        <f t="shared" si="3"/>
        <v>---</v>
      </c>
      <c r="AD18" s="17" t="str">
        <f>+IF($B$3="esp","Latam","Latam")</f>
        <v>Latam</v>
      </c>
      <c r="AF18" s="18">
        <f>+[1]RADIO!K18</f>
        <v>9.7538789345421062</v>
      </c>
      <c r="AG18" s="19">
        <f>+[1]RADIO!L18</f>
        <v>8.4262620378359099</v>
      </c>
      <c r="AH18" s="20">
        <f t="shared" si="4"/>
        <v>15.755703902215268</v>
      </c>
      <c r="AK18" s="18">
        <f>+[1]RADIO!O18</f>
        <v>6.6725644888519557</v>
      </c>
      <c r="AL18" s="19">
        <f>+[1]RADIO!P18</f>
        <v>6.6549939539336789</v>
      </c>
      <c r="AM18" s="20">
        <f t="shared" si="5"/>
        <v>0.26402029873958277</v>
      </c>
    </row>
    <row r="19" spans="4:65" ht="15" customHeight="1" x14ac:dyDescent="0.2">
      <c r="D19" s="26" t="str">
        <f>+IF($B$3="esp","Portugal","Portugal")</f>
        <v>Portugal</v>
      </c>
      <c r="F19" s="18">
        <f>+[1]GRUPO!K19</f>
        <v>18.7301857616511</v>
      </c>
      <c r="G19" s="19">
        <f>+[1]GRUPO!L19</f>
        <v>16.648528820557797</v>
      </c>
      <c r="H19" s="20">
        <f t="shared" si="0"/>
        <v>12.503548893298303</v>
      </c>
      <c r="K19" s="18">
        <f>+[1]GRUPO!O19</f>
        <v>14.15889968018238</v>
      </c>
      <c r="L19" s="19">
        <f>+[1]GRUPO!P19</f>
        <v>11.518738580108977</v>
      </c>
      <c r="M19" s="20">
        <f t="shared" si="1"/>
        <v>22.920574867742374</v>
      </c>
      <c r="Q19" s="26" t="str">
        <f>+IF($B$3="esp","Portugal","Portugal")</f>
        <v>Portugal</v>
      </c>
      <c r="S19" s="18">
        <f>+[1]SANTILLANA!K19</f>
        <v>-0.92389699999999997</v>
      </c>
      <c r="T19" s="19">
        <f>+[1]SANTILLANA!L19</f>
        <v>-1.522232</v>
      </c>
      <c r="U19" s="20">
        <f t="shared" si="2"/>
        <v>39.306426352881822</v>
      </c>
      <c r="X19" s="18">
        <f>+[1]SANTILLANA!O19</f>
        <v>-0.41502299999999992</v>
      </c>
      <c r="Y19" s="19">
        <f>+[1]SANTILLANA!P19</f>
        <v>-0.89333200000000001</v>
      </c>
      <c r="Z19" s="20">
        <f t="shared" si="3"/>
        <v>53.542132152436061</v>
      </c>
      <c r="AD19" s="17" t="str">
        <f>+IF($B$3="esp","Música","Music")</f>
        <v>Music</v>
      </c>
      <c r="AF19" s="18">
        <f>+[1]RADIO!K19</f>
        <v>-0.3629145267530845</v>
      </c>
      <c r="AG19" s="19">
        <f>+[1]RADIO!L19</f>
        <v>-0.70566299166302893</v>
      </c>
      <c r="AH19" s="20">
        <f t="shared" si="4"/>
        <v>48.57112658015302</v>
      </c>
      <c r="AK19" s="18">
        <f>+[1]RADIO!O19</f>
        <v>-9.4390847030146219E-2</v>
      </c>
      <c r="AL19" s="19">
        <f>+[1]RADIO!P19</f>
        <v>-0.134043570605891</v>
      </c>
      <c r="AM19" s="20">
        <f t="shared" si="5"/>
        <v>29.581966070069836</v>
      </c>
      <c r="BD19" s="9" t="str">
        <f>+IF($B$3="esp","Millones de €","€ Millions")</f>
        <v>€ Millions</v>
      </c>
      <c r="BF19" s="10">
        <v>2018</v>
      </c>
      <c r="BG19" s="10">
        <v>2017</v>
      </c>
      <c r="BH19" s="10" t="str">
        <f>+IF($B$3="esp","Var.%","% Chg.")</f>
        <v>% Chg.</v>
      </c>
      <c r="BK19" s="10">
        <v>2018</v>
      </c>
      <c r="BL19" s="10">
        <v>2017</v>
      </c>
      <c r="BM19" s="10" t="str">
        <f>+IF($B$3="esp","Var.%","% Chg.")</f>
        <v>% Chg.</v>
      </c>
    </row>
    <row r="20" spans="4:65" s="22" customFormat="1" ht="15" customHeight="1" x14ac:dyDescent="0.2">
      <c r="D20" s="21" t="str">
        <f>+IF($B$3="esp","Margen EBITDA Ajustado","Adjusted EBITDA Margin")</f>
        <v>Adjusted EBITDA Margin</v>
      </c>
      <c r="F20" s="27">
        <f>+[1]GRUPO!K20</f>
        <v>0.2062396758614666</v>
      </c>
      <c r="G20" s="28">
        <f>+[1]GRUPO!L20</f>
        <v>0.20121408123815643</v>
      </c>
      <c r="H20" s="29"/>
      <c r="K20" s="27">
        <f>+[1]GRUPO!O20</f>
        <v>0.1888921170521356</v>
      </c>
      <c r="L20" s="28">
        <f>+[1]GRUPO!P20</f>
        <v>0.13986682672294765</v>
      </c>
      <c r="M20" s="29"/>
      <c r="Q20" s="21" t="str">
        <f>+IF($B$3="esp","Margen EBITDA Ajustado","Adjusted EBITDA Margin")</f>
        <v>Adjusted EBITDA Margin</v>
      </c>
      <c r="S20" s="27">
        <f>+[1]SANTILLANA!K20</f>
        <v>0.27605599746074128</v>
      </c>
      <c r="T20" s="28">
        <f>+[1]SANTILLANA!L20</f>
        <v>0.28718690766522609</v>
      </c>
      <c r="U20" s="29"/>
      <c r="X20" s="27">
        <f>+[1]SANTILLANA!O20</f>
        <v>0.15120151380389005</v>
      </c>
      <c r="Y20" s="28">
        <f>+[1]SANTILLANA!P20</f>
        <v>9.9629621838761021E-2</v>
      </c>
      <c r="Z20" s="29"/>
      <c r="AD20" s="17" t="str">
        <f>+IF($B$3="esp","Ajustes y Otros","Adjustments &amp; others")</f>
        <v>Adjustments &amp; others</v>
      </c>
      <c r="AE20" s="1"/>
      <c r="AF20" s="18">
        <f>+[1]RADIO!K20</f>
        <v>-9.3425267522206923E-14</v>
      </c>
      <c r="AG20" s="19">
        <f>+[1]RADIO!L20</f>
        <v>1.7430501486614958E-14</v>
      </c>
      <c r="AH20" s="20" t="str">
        <f t="shared" si="4"/>
        <v>---</v>
      </c>
      <c r="AI20" s="1"/>
      <c r="AK20" s="18">
        <f>+[1]RADIO!O20</f>
        <v>-7.1498362785860081E-14</v>
      </c>
      <c r="AL20" s="19">
        <f>+[1]RADIO!P20</f>
        <v>3.141931159689193E-14</v>
      </c>
      <c r="AM20" s="20" t="str">
        <f t="shared" si="5"/>
        <v>---</v>
      </c>
      <c r="AN20" s="1"/>
      <c r="BA20" s="1"/>
      <c r="BD20" s="11" t="str">
        <f>+IF($B$3="esp","Resultados Comparables - sin efecto NIIF","Comparable results - excluding IFRS effect")</f>
        <v>Comparable results - excluding IFRS effect</v>
      </c>
      <c r="BF20" s="12"/>
      <c r="BG20" s="12"/>
      <c r="BH20" s="12"/>
      <c r="BI20" s="1"/>
      <c r="BK20" s="12"/>
      <c r="BL20" s="12"/>
      <c r="BM20" s="12"/>
    </row>
    <row r="21" spans="4:65" s="13" customFormat="1" ht="15" customHeight="1" x14ac:dyDescent="0.2">
      <c r="D21" s="13" t="str">
        <f>+IF($B$3="esp","EBIT Ajustado","Adjusted EBIT")</f>
        <v>Adjusted EBIT</v>
      </c>
      <c r="F21" s="14">
        <f>+[1]GRUPO!K21</f>
        <v>94.170775555505102</v>
      </c>
      <c r="G21" s="15">
        <f>+[1]GRUPO!L21</f>
        <v>93.118670396345962</v>
      </c>
      <c r="H21" s="16">
        <f>IF(G21=0,"---",IF(OR(ABS((F21-G21)/ABS(G21))&gt;2,(F21*G21)&lt;0),"---",IF(G21="0","---",((F21-G21)/ABS(G21))*100)))</f>
        <v>1.1298541470588108</v>
      </c>
      <c r="K21" s="14">
        <f>+[1]GRUPO!O21</f>
        <v>37.823941127345499</v>
      </c>
      <c r="L21" s="15">
        <f>+[1]GRUPO!P21</f>
        <v>23.12408571542268</v>
      </c>
      <c r="M21" s="16">
        <f>IF(L21=0,"---",IF(OR(ABS((K21-L21)/ABS(L21))&gt;2,(K21*L21)&lt;0),"---",IF(L21="0","---",((K21-L21)/ABS(L21))*100)))</f>
        <v>63.569455643899055</v>
      </c>
      <c r="Q21" s="13" t="str">
        <f>+IF($B$3="esp","EBIT Ajustado","Adjusted EBIT")</f>
        <v>Adjusted EBIT</v>
      </c>
      <c r="S21" s="14">
        <f>+[1]SANTILLANA!K21</f>
        <v>59.048059915523758</v>
      </c>
      <c r="T21" s="15">
        <f>+[1]SANTILLANA!L21</f>
        <v>70.789459627326522</v>
      </c>
      <c r="U21" s="16">
        <f>IF(T21=0,"---",IF(OR(ABS((S21-T21)/ABS(T21))&gt;2,(S21*T21)&lt;0),"---",IF(T21="0","---",((S21-T21)/ABS(T21))*100)))</f>
        <v>-16.586367198754949</v>
      </c>
      <c r="X21" s="14">
        <f>+[1]SANTILLANA!O21</f>
        <v>5.6076723452863746</v>
      </c>
      <c r="Y21" s="15">
        <f>+[1]SANTILLANA!P21</f>
        <v>7.1009712754275256E-2</v>
      </c>
      <c r="Z21" s="16" t="str">
        <f>IF(Y21=0,"---",IF(OR(ABS((X21-Y21)/ABS(Y21))&gt;2,(X21*Y21)&lt;0),"---",IF(Y21="0","---",((X21-Y21)/ABS(Y21))*100)))</f>
        <v>---</v>
      </c>
      <c r="AD21" s="21" t="str">
        <f>+IF($B$3="esp","Margen EBITDA Ajustado","Adjusted EBITDA Margin")</f>
        <v>Adjusted EBITDA Margin</v>
      </c>
      <c r="AE21" s="22"/>
      <c r="AF21" s="27">
        <f>+[1]RADIO!K21</f>
        <v>0.20747609609096168</v>
      </c>
      <c r="AG21" s="28">
        <f>+[1]RADIO!L21</f>
        <v>0.16095666425354932</v>
      </c>
      <c r="AH21" s="29"/>
      <c r="AI21" s="22"/>
      <c r="AK21" s="27">
        <f>+[1]RADIO!O21</f>
        <v>0.27501346845271457</v>
      </c>
      <c r="AL21" s="28">
        <f>+[1]RADIO!P21</f>
        <v>0.2155549682548574</v>
      </c>
      <c r="AM21" s="29"/>
      <c r="AN21" s="22"/>
      <c r="BA21" s="22"/>
      <c r="BD21" s="13" t="str">
        <f>+IF($B$3="esp","Ingresos de Explotación Comparables","Comparable Operating Revenues")</f>
        <v>Comparable Operating Revenues</v>
      </c>
      <c r="BF21" s="14">
        <f>+'[1]MEDIA CAPITAL'!K21</f>
        <v>81.923861970000004</v>
      </c>
      <c r="BG21" s="15">
        <f>+'[1]MEDIA CAPITAL'!L21</f>
        <v>79.033360180000003</v>
      </c>
      <c r="BH21" s="16">
        <f>IF(BG21=0,"---",IF(OR(ABS((BF21-BG21)/ABS(BG21))&gt;2,(BF21*BG21)&lt;0),"---",IF(BG21="0","---",((BF21-BG21)/ABS(BG21))*100)))</f>
        <v>3.6573186100361017</v>
      </c>
      <c r="BK21" s="14">
        <f>+'[1]MEDIA CAPITAL'!O21</f>
        <v>45.83087699</v>
      </c>
      <c r="BL21" s="15">
        <f>+'[1]MEDIA CAPITAL'!P21</f>
        <v>43.957160970000004</v>
      </c>
      <c r="BM21" s="16">
        <f>IF(BL21=0,"---",IF(OR(ABS((BK21-BL21)/ABS(BL21))&gt;2,(BK21*BL21)&lt;0),"---",IF(BL21="0","---",((BK21-BL21)/ABS(BL21))*100)))</f>
        <v>4.262595624132266</v>
      </c>
    </row>
    <row r="22" spans="4:65" ht="15" customHeight="1" x14ac:dyDescent="0.2">
      <c r="D22" s="17" t="str">
        <f>+IF($B$3="esp","España","Spain")</f>
        <v>Spain</v>
      </c>
      <c r="F22" s="18">
        <f>+[1]GRUPO!K22</f>
        <v>6.5188249100003306</v>
      </c>
      <c r="G22" s="19">
        <f>+[1]GRUPO!L22</f>
        <v>5.5783923374793227</v>
      </c>
      <c r="H22" s="20">
        <f>IF(G22=0,"---",IF(OR(ABS((F22-G22)/ABS(G22))&gt;2,(F22*G22)&lt;0),"---",IF(G22="0","---",((F22-G22)/ABS(G22))*100)))</f>
        <v>16.858487457086174</v>
      </c>
      <c r="K22" s="18">
        <f>+[1]GRUPO!O22</f>
        <v>23.780569410000613</v>
      </c>
      <c r="L22" s="19">
        <f>+[1]GRUPO!P22</f>
        <v>24.598021349999936</v>
      </c>
      <c r="M22" s="20">
        <f>IF(L22=0,"---",IF(OR(ABS((K22-L22)/ABS(L22))&gt;2,(K22*L22)&lt;0),"---",IF(L22="0","---",((K22-L22)/ABS(L22))*100)))</f>
        <v>-3.3232426639849431</v>
      </c>
      <c r="Q22" s="17" t="str">
        <f>+IF($B$3="esp","España","Spain")</f>
        <v>Spain</v>
      </c>
      <c r="S22" s="18">
        <f>+[1]SANTILLANA!K22</f>
        <v>-6.9767185100001612</v>
      </c>
      <c r="T22" s="19">
        <f>+[1]SANTILLANA!L22</f>
        <v>0.9232231099989292</v>
      </c>
      <c r="U22" s="20" t="str">
        <f>IF(T22=0,"---",IF(OR(ABS((S22-T22)/ABS(T22))&gt;2,(S22*T22)&lt;0),"---",IF(T22="0","---",((S22-T22)/ABS(T22))*100)))</f>
        <v>---</v>
      </c>
      <c r="X22" s="18">
        <f>+[1]SANTILLANA!O22</f>
        <v>9.2337533199995079</v>
      </c>
      <c r="Y22" s="19">
        <f>+[1]SANTILLANA!P22</f>
        <v>16.791630709998913</v>
      </c>
      <c r="Z22" s="20">
        <f>IF(Y22=0,"---",IF(OR(ABS((X22-Y22)/ABS(Y22))&gt;2,(X22*Y22)&lt;0),"---",IF(Y22="0","---",((X22-Y22)/ABS(Y22))*100)))</f>
        <v>-45.009788033862101</v>
      </c>
      <c r="AD22" s="34" t="str">
        <f>+IF($B$3="esp","EBITDA Ajustado con MX y CR","Adjusted EBITDA w/MX&amp;CR")</f>
        <v>Adjusted EBITDA w/MX&amp;CR</v>
      </c>
      <c r="AE22" s="13"/>
      <c r="AF22" s="35">
        <f>+[1]RADIO!K22</f>
        <v>32.560706904231608</v>
      </c>
      <c r="AG22" s="36">
        <f>+[1]RADIO!L22</f>
        <v>25.90879667940569</v>
      </c>
      <c r="AH22" s="37">
        <f t="shared" ref="AH22:AH27" si="6">IF(AG22=0,"---",IF(OR(ABS((AF22-AG22)/ABS(AG22))&gt;2,(AF22*AG22)&lt;0),"---",IF(AG22="0","---",((AF22-AG22)/ABS(AG22))*100)))</f>
        <v>25.67433102793759</v>
      </c>
      <c r="AI22" s="13"/>
      <c r="AK22" s="35">
        <f>+[1]RADIO!O22</f>
        <v>23.904299412917446</v>
      </c>
      <c r="AL22" s="36">
        <f>+[1]RADIO!P22</f>
        <v>18.640052505959716</v>
      </c>
      <c r="AM22" s="37">
        <f t="shared" ref="AM22:AM27" si="7">IF(AL22=0,"---",IF(OR(ABS((AK22-AL22)/ABS(AL22))&gt;2,(AK22*AL22)&lt;0),"---",IF(AL22="0","---",((AK22-AL22)/ABS(AL22))*100)))</f>
        <v>28.241588403651825</v>
      </c>
      <c r="AN22" s="13"/>
      <c r="BA22" s="13"/>
      <c r="BD22" s="21" t="str">
        <f>+IF($B$3="esp","Publicidad","Advertising")</f>
        <v>Advertising</v>
      </c>
      <c r="BF22" s="23">
        <f>+'[1]MEDIA CAPITAL'!K22</f>
        <v>58.599776680000005</v>
      </c>
      <c r="BG22" s="24">
        <f>+'[1]MEDIA CAPITAL'!L22</f>
        <v>57.101493320000003</v>
      </c>
      <c r="BH22" s="25">
        <f>IF(BG22=0,"---",IF(OR(ABS((BF22-BG22)/ABS(BG22))&gt;2,(BF22*BG22)&lt;0),"---",IF(BG22="0","---",((BF22-BG22)/ABS(BG22))*100)))</f>
        <v>2.6238952309067245</v>
      </c>
      <c r="BI22" s="22"/>
      <c r="BK22" s="23">
        <f>+'[1]MEDIA CAPITAL'!O22</f>
        <v>34.321687040000008</v>
      </c>
      <c r="BL22" s="24">
        <f>+'[1]MEDIA CAPITAL'!P22</f>
        <v>33.852709950000005</v>
      </c>
      <c r="BM22" s="25">
        <f>IF(BL22=0,"---",IF(OR(ABS((BK22-BL22)/ABS(BL22))&gt;2,(BK22*BL22)&lt;0),"---",IF(BL22="0","---",((BK22-BL22)/ABS(BL22))*100)))</f>
        <v>1.3853457838166445</v>
      </c>
    </row>
    <row r="23" spans="4:65" ht="15" customHeight="1" x14ac:dyDescent="0.2">
      <c r="D23" s="17" t="str">
        <f>+IF($B$3="esp","Internacional","International")</f>
        <v>International</v>
      </c>
      <c r="F23" s="18">
        <f>+[1]GRUPO!K23</f>
        <v>87.651950645504769</v>
      </c>
      <c r="G23" s="19">
        <f>+[1]GRUPO!L23</f>
        <v>87.540278058866633</v>
      </c>
      <c r="H23" s="20">
        <f>IF(G23=0,"---",IF(OR(ABS((F23-G23)/ABS(G23))&gt;2,(F23*G23)&lt;0),"---",IF(G23="0","---",((F23-G23)/ABS(G23))*100)))</f>
        <v>0.12756709153133072</v>
      </c>
      <c r="K23" s="18">
        <f>+[1]GRUPO!O23</f>
        <v>14.043371717344883</v>
      </c>
      <c r="L23" s="19">
        <f>+[1]GRUPO!P23</f>
        <v>-1.4739356345772592</v>
      </c>
      <c r="M23" s="20" t="str">
        <f>IF(L23=0,"---",IF(OR(ABS((K23-L23)/ABS(L23))&gt;2,(K23*L23)&lt;0),"---",IF(L23="0","---",((K23-L23)/ABS(L23))*100)))</f>
        <v>---</v>
      </c>
      <c r="Q23" s="17" t="str">
        <f>+IF($B$3="esp","Internacional","International")</f>
        <v>International</v>
      </c>
      <c r="S23" s="18">
        <f>+[1]SANTILLANA!K23</f>
        <v>66.02477842552392</v>
      </c>
      <c r="T23" s="19">
        <f>+[1]SANTILLANA!L23</f>
        <v>69.866236517327593</v>
      </c>
      <c r="U23" s="20">
        <f>IF(T23=0,"---",IF(OR(ABS((S23-T23)/ABS(T23))&gt;2,(S23*T23)&lt;0),"---",IF(T23="0","---",((S23-T23)/ABS(T23))*100)))</f>
        <v>-5.4983040210716796</v>
      </c>
      <c r="X23" s="18">
        <f>+[1]SANTILLANA!O23</f>
        <v>-3.6260809747131333</v>
      </c>
      <c r="Y23" s="19">
        <f>+[1]SANTILLANA!P23</f>
        <v>-16.720620997244637</v>
      </c>
      <c r="Z23" s="20">
        <f>IF(Y23=0,"---",IF(OR(ABS((X23-Y23)/ABS(Y23))&gt;2,(X23*Y23)&lt;0),"---",IF(Y23="0","---",((X23-Y23)/ABS(Y23))*100)))</f>
        <v>78.313718280495266</v>
      </c>
      <c r="AD23" s="13" t="str">
        <f>+IF($B$3="esp","EBIT Ajustado","Adjusted EBIT")</f>
        <v>Adjusted EBIT</v>
      </c>
      <c r="AE23" s="13"/>
      <c r="AF23" s="14">
        <f>+[1]RADIO!K23</f>
        <v>23.269448388627332</v>
      </c>
      <c r="AG23" s="15">
        <f>+[1]RADIO!L23</f>
        <v>15.897100182808122</v>
      </c>
      <c r="AH23" s="16">
        <f t="shared" si="6"/>
        <v>46.375427726070548</v>
      </c>
      <c r="AI23" s="13"/>
      <c r="AK23" s="14">
        <f>+[1]RADIO!O23</f>
        <v>18.512531876327984</v>
      </c>
      <c r="AL23" s="15">
        <f>+[1]RADIO!P23</f>
        <v>14.204621264095019</v>
      </c>
      <c r="AM23" s="16">
        <f t="shared" si="7"/>
        <v>30.327528852332431</v>
      </c>
      <c r="AN23" s="13"/>
      <c r="BA23" s="13"/>
      <c r="BD23" s="21" t="str">
        <f>+IF($B$3="esp","Otros","Others")</f>
        <v>Others</v>
      </c>
      <c r="BF23" s="23">
        <f>+'[1]MEDIA CAPITAL'!K23</f>
        <v>23.324085289999999</v>
      </c>
      <c r="BG23" s="24">
        <f>+'[1]MEDIA CAPITAL'!L23</f>
        <v>21.93186686</v>
      </c>
      <c r="BH23" s="25">
        <f>IF(BG23=0,"---",IF(OR(ABS((BF23-BG23)/ABS(BG23))&gt;2,(BF23*BG23)&lt;0),"---",IF(BG23="0","---",((BF23-BG23)/ABS(BG23))*100)))</f>
        <v>6.3479248660731651</v>
      </c>
      <c r="BI23" s="22"/>
      <c r="BK23" s="23">
        <f>+'[1]MEDIA CAPITAL'!O23</f>
        <v>11.509189949999993</v>
      </c>
      <c r="BL23" s="24">
        <f>+'[1]MEDIA CAPITAL'!P23</f>
        <v>10.104451020000003</v>
      </c>
      <c r="BM23" s="25">
        <f>IF(BL23=0,"---",IF(OR(ABS((BK23-BL23)/ABS(BL23))&gt;2,(BK23*BL23)&lt;0),"---",IF(BL23="0","---",((BK23-BL23)/ABS(BL23))*100)))</f>
        <v>13.90217961588961</v>
      </c>
    </row>
    <row r="24" spans="4:65" ht="15" customHeight="1" x14ac:dyDescent="0.2">
      <c r="D24" s="26" t="str">
        <f>+IF($B$3="esp","Latam","Latam")</f>
        <v>Latam</v>
      </c>
      <c r="F24" s="18">
        <f>+[1]GRUPO!K24</f>
        <v>72.08763299385366</v>
      </c>
      <c r="G24" s="19">
        <f>+[1]GRUPO!L24</f>
        <v>74.097959258308833</v>
      </c>
      <c r="H24" s="20">
        <f>IF(G24=0,"---",IF(OR(ABS((F24-G24)/ABS(G24))&gt;2,(F24*G24)&lt;0),"---",IF(G24="0","---",((F24-G24)/ABS(G24))*100)))</f>
        <v>-2.7130656290372119</v>
      </c>
      <c r="K24" s="18">
        <f>+[1]GRUPO!O24</f>
        <v>1.4767439271625022</v>
      </c>
      <c r="L24" s="19">
        <f>+[1]GRUPO!P24</f>
        <v>-11.322370164686234</v>
      </c>
      <c r="M24" s="20" t="str">
        <f>IF(L24=0,"---",IF(OR(ABS((K24-L24)/ABS(L24))&gt;2,(K24*L24)&lt;0),"---",IF(L24="0","---",((K24-L24)/ABS(L24))*100)))</f>
        <v>---</v>
      </c>
      <c r="Q24" s="26" t="str">
        <f>+IF($B$3="esp","Latam","Latam")</f>
        <v>Latam</v>
      </c>
      <c r="S24" s="18">
        <f>+[1]SANTILLANA!K24</f>
        <v>66.950577425523917</v>
      </c>
      <c r="T24" s="19">
        <f>+[1]SANTILLANA!L24</f>
        <v>71.393201517327597</v>
      </c>
      <c r="U24" s="20">
        <f>IF(T24=0,"---",IF(OR(ABS((S24-T24)/ABS(T24))&gt;2,(S24*T24)&lt;0),"---",IF(T24="0","---",((S24-T24)/ABS(T24))*100)))</f>
        <v>-6.2227551046655689</v>
      </c>
      <c r="X24" s="18">
        <f>+[1]SANTILLANA!O24</f>
        <v>-3.2101129747131409</v>
      </c>
      <c r="Y24" s="19">
        <f>+[1]SANTILLANA!P24</f>
        <v>-15.824764997244628</v>
      </c>
      <c r="Z24" s="20">
        <f>IF(Y24=0,"---",IF(OR(ABS((X24-Y24)/ABS(Y24))&gt;2,(X24*Y24)&lt;0),"---",IF(Y24="0","---",((X24-Y24)/ABS(Y24))*100)))</f>
        <v>79.714624670432215</v>
      </c>
      <c r="AD24" s="17" t="str">
        <f>+IF($B$3="esp","España","Spain")</f>
        <v>Spain</v>
      </c>
      <c r="AF24" s="18">
        <f>+[1]RADIO!K24</f>
        <v>16.067431889999998</v>
      </c>
      <c r="AG24" s="19">
        <f>+[1]RADIO!L24</f>
        <v>11.501285419999899</v>
      </c>
      <c r="AH24" s="20">
        <f t="shared" si="6"/>
        <v>39.701183852544887</v>
      </c>
      <c r="AK24" s="18">
        <f>+[1]RADIO!O24</f>
        <v>13.313566080000019</v>
      </c>
      <c r="AL24" s="19">
        <f>+[1]RADIO!P24</f>
        <v>8.6980054899998294</v>
      </c>
      <c r="AM24" s="20">
        <f t="shared" si="7"/>
        <v>53.064585844498936</v>
      </c>
      <c r="BD24" s="13" t="str">
        <f>+IF($B$3="esp","Gastos de Explotación Comparables","Comparable Operating Expenses")</f>
        <v>Comparable Operating Expenses</v>
      </c>
      <c r="BF24" s="14">
        <f>+'[1]MEDIA CAPITAL'!K24</f>
        <v>61.997293158348903</v>
      </c>
      <c r="BG24" s="15">
        <f>+'[1]MEDIA CAPITAL'!L24</f>
        <v>60.773714149442199</v>
      </c>
      <c r="BH24" s="16">
        <f>IF(BG24=0,"---",IF(OR(ABS((BF24-BG24)/ABS(BG24))&gt;2,(BF24*BG24)&lt;0),"---",IF(BG24="0","---",((BF24-BG24)/ABS(BG24))*100)))</f>
        <v>2.0133359068658043</v>
      </c>
      <c r="BI24" s="13"/>
      <c r="BK24" s="14">
        <f>+'[1]MEDIA CAPITAL'!O24</f>
        <v>31.279473469817617</v>
      </c>
      <c r="BL24" s="15">
        <f>+'[1]MEDIA CAPITAL'!P24</f>
        <v>31.323010839891012</v>
      </c>
      <c r="BM24" s="16">
        <f>IF(BL24=0,"---",IF(OR(ABS((BK24-BL24)/ABS(BL24))&gt;2,(BK24*BL24)&lt;0),"---",IF(BL24="0","---",((BK24-BL24)/ABS(BL24))*100)))</f>
        <v>-0.13899484406508045</v>
      </c>
    </row>
    <row r="25" spans="4:65" ht="15" customHeight="1" x14ac:dyDescent="0.2">
      <c r="D25" s="26" t="str">
        <f>+IF($B$3="esp","Portugal","Portugal")</f>
        <v>Portugal</v>
      </c>
      <c r="F25" s="18">
        <f>+[1]GRUPO!K25</f>
        <v>15.5643176516511</v>
      </c>
      <c r="G25" s="19">
        <f>+[1]GRUPO!L25</f>
        <v>13.4423188005578</v>
      </c>
      <c r="H25" s="20">
        <f>IF(G25=0,"---",IF(OR(ABS((F25-G25)/ABS(G25))&gt;2,(F25*G25)&lt;0),"---",IF(G25="0","---",((F25-G25)/ABS(G25))*100)))</f>
        <v>15.785958379481718</v>
      </c>
      <c r="K25" s="18">
        <f>+[1]GRUPO!O25</f>
        <v>12.56662779018238</v>
      </c>
      <c r="L25" s="19">
        <f>+[1]GRUPO!P25</f>
        <v>9.84843453010898</v>
      </c>
      <c r="M25" s="20">
        <f>IF(L25=0,"---",IF(OR(ABS((K25-L25)/ABS(L25))&gt;2,(K25*L25)&lt;0),"---",IF(L25="0","---",((K25-L25)/ABS(L25))*100)))</f>
        <v>27.600257195833962</v>
      </c>
      <c r="Q25" s="26" t="str">
        <f>+IF($B$3="esp","Portugal","Portugal")</f>
        <v>Portugal</v>
      </c>
      <c r="S25" s="18">
        <f>+[1]SANTILLANA!K25</f>
        <v>-0.92579899999999993</v>
      </c>
      <c r="T25" s="19">
        <f>+[1]SANTILLANA!L25</f>
        <v>-1.5269649999999999</v>
      </c>
      <c r="U25" s="20">
        <f>IF(T25=0,"---",IF(OR(ABS((S25-T25)/ABS(T25))&gt;2,(S25*T25)&lt;0),"---",IF(T25="0","---",((S25-T25)/ABS(T25))*100)))</f>
        <v>39.369992108529011</v>
      </c>
      <c r="X25" s="18">
        <f>+[1]SANTILLANA!O25</f>
        <v>-0.41596799999999989</v>
      </c>
      <c r="Y25" s="19">
        <f>+[1]SANTILLANA!P25</f>
        <v>-0.89585599999999987</v>
      </c>
      <c r="Z25" s="20">
        <f>IF(Y25=0,"---",IF(OR(ABS((X25-Y25)/ABS(Y25))&gt;2,(X25*Y25)&lt;0),"---",IF(Y25="0","---",((X25-Y25)/ABS(Y25))*100)))</f>
        <v>53.567537639977857</v>
      </c>
      <c r="AD25" s="17" t="str">
        <f>+IF($B$3="esp","Latam","Latam")</f>
        <v>Latam</v>
      </c>
      <c r="AF25" s="18">
        <f>+[1]RADIO!K25</f>
        <v>7.9486582841825371</v>
      </c>
      <c r="AG25" s="19">
        <f>+[1]RADIO!L25</f>
        <v>5.4872822097123333</v>
      </c>
      <c r="AH25" s="20">
        <f t="shared" si="6"/>
        <v>44.856013968329137</v>
      </c>
      <c r="AK25" s="18">
        <f>+[1]RADIO!O25</f>
        <v>5.6623720548877561</v>
      </c>
      <c r="AL25" s="19">
        <f>+[1]RADIO!P25</f>
        <v>5.7178480507569107</v>
      </c>
      <c r="AM25" s="20">
        <f t="shared" si="7"/>
        <v>-0.97022508077686498</v>
      </c>
      <c r="BD25" s="13" t="str">
        <f>+IF($B$3="esp","EBITDA Ajustado Comparable","Comparable Adjusted EBITDA")</f>
        <v>Comparable Adjusted EBITDA</v>
      </c>
      <c r="BF25" s="14">
        <f>+'[1]MEDIA CAPITAL'!K25</f>
        <v>19.926568811651101</v>
      </c>
      <c r="BG25" s="15">
        <f>+'[1]MEDIA CAPITAL'!L25</f>
        <v>18.2596460305578</v>
      </c>
      <c r="BH25" s="16">
        <f>IF(BG25=0,"---",IF(OR(ABS((BF25-BG25)/ABS(BG25))&gt;2,(BF25*BG25)&lt;0),"---",IF(BG25="0","---",((BF25-BG25)/ABS(BG25))*100)))</f>
        <v>9.128998329451079</v>
      </c>
      <c r="BI25" s="13"/>
      <c r="BK25" s="14">
        <f>+'[1]MEDIA CAPITAL'!O25</f>
        <v>14.551403520182381</v>
      </c>
      <c r="BL25" s="15">
        <f>+'[1]MEDIA CAPITAL'!P25</f>
        <v>12.63415013010899</v>
      </c>
      <c r="BM25" s="16">
        <f>IF(BL25=0,"---",IF(OR(ABS((BK25-BL25)/ABS(BL25))&gt;2,(BK25*BL25)&lt;0),"---",IF(BL25="0","---",((BK25-BL25)/ABS(BL25))*100)))</f>
        <v>15.175167069641681</v>
      </c>
    </row>
    <row r="26" spans="4:65" s="22" customFormat="1" ht="15" customHeight="1" x14ac:dyDescent="0.2">
      <c r="D26" s="30" t="str">
        <f>+IF($B$3="esp","Margen EBIT Ajustado","Adjusted EBIT Margin")</f>
        <v>Adjusted EBIT Margin</v>
      </c>
      <c r="F26" s="31">
        <f>+[1]GRUPO!K26</f>
        <v>0.15147156509360724</v>
      </c>
      <c r="G26" s="32">
        <f>+[1]GRUPO!L26</f>
        <v>0.14216062181558431</v>
      </c>
      <c r="H26" s="33"/>
      <c r="K26" s="31">
        <f>+[1]GRUPO!O26</f>
        <v>0.12578385951702992</v>
      </c>
      <c r="L26" s="32">
        <f>+[1]GRUPO!P26</f>
        <v>7.9055699466727497E-2</v>
      </c>
      <c r="M26" s="33"/>
      <c r="Q26" s="30" t="str">
        <f>+IF($B$3="esp","Margen EBIT Ajustado","Adjusted EBIT Margin")</f>
        <v>Adjusted EBIT Margin</v>
      </c>
      <c r="S26" s="31">
        <f>+[1]SANTILLANA!K26</f>
        <v>0.20087289500715136</v>
      </c>
      <c r="T26" s="32">
        <f>+[1]SANTILLANA!L26</f>
        <v>0.21580738824535653</v>
      </c>
      <c r="U26" s="33"/>
      <c r="X26" s="31">
        <f>+[1]SANTILLANA!O26</f>
        <v>4.6649195015164867E-2</v>
      </c>
      <c r="Y26" s="32">
        <f>+[1]SANTILLANA!P26</f>
        <v>6.3164263303079875E-4</v>
      </c>
      <c r="Z26" s="33"/>
      <c r="AD26" s="17" t="str">
        <f>+IF($B$3="esp","Música","Music")</f>
        <v>Music</v>
      </c>
      <c r="AE26" s="1"/>
      <c r="AF26" s="18">
        <f>+[1]RADIO!K26</f>
        <v>-0.31781178555527051</v>
      </c>
      <c r="AG26" s="19">
        <f>+[1]RADIO!L26</f>
        <v>-1.0914674469041601</v>
      </c>
      <c r="AH26" s="20">
        <f t="shared" si="6"/>
        <v>70.882156269826254</v>
      </c>
      <c r="AI26" s="1"/>
      <c r="AK26" s="18">
        <f>+[1]RADIO!O26</f>
        <v>-3.4576258559939288E-2</v>
      </c>
      <c r="AL26" s="19">
        <f>+[1]RADIO!P26</f>
        <v>-0.2112322766618131</v>
      </c>
      <c r="AM26" s="20">
        <f t="shared" si="7"/>
        <v>83.631167023164494</v>
      </c>
      <c r="AN26" s="1"/>
      <c r="BA26" s="1"/>
      <c r="BD26" s="21" t="str">
        <f>+IF($B$3="esp","Margen EBITDA Ajustado","Adjusted EBITDA Margin")</f>
        <v>Adjusted EBITDA Margin</v>
      </c>
      <c r="BF26" s="27">
        <f>+'[1]MEDIA CAPITAL'!K26</f>
        <v>0.24323278142024218</v>
      </c>
      <c r="BG26" s="28">
        <f>+'[1]MEDIA CAPITAL'!L26</f>
        <v>0.23103719731732403</v>
      </c>
      <c r="BH26" s="29"/>
      <c r="BK26" s="27">
        <f>+'[1]MEDIA CAPITAL'!O26</f>
        <v>0.31750218359027699</v>
      </c>
      <c r="BL26" s="28">
        <f>+'[1]MEDIA CAPITAL'!P26</f>
        <v>0.28741961153341039</v>
      </c>
      <c r="BM26" s="29"/>
    </row>
    <row r="27" spans="4:65" x14ac:dyDescent="0.2">
      <c r="AD27" s="17" t="str">
        <f>+IF($B$3="esp","Ajustes y Otros","Adjustments &amp; others")</f>
        <v>Adjustments &amp; others</v>
      </c>
      <c r="AF27" s="18">
        <f>+[1]RADIO!K27</f>
        <v>-0.42882999999993293</v>
      </c>
      <c r="AG27" s="19">
        <f>+[1]RADIO!L27</f>
        <v>5.0182080713057076E-14</v>
      </c>
      <c r="AH27" s="20" t="str">
        <f t="shared" si="6"/>
        <v>---</v>
      </c>
      <c r="AK27" s="18">
        <f>+[1]RADIO!O27</f>
        <v>-0.42882999999985205</v>
      </c>
      <c r="AL27" s="19">
        <f>+[1]RADIO!P27</f>
        <v>9.3258734068513149E-14</v>
      </c>
      <c r="AM27" s="20" t="str">
        <f t="shared" si="7"/>
        <v>---</v>
      </c>
      <c r="BD27" s="13" t="str">
        <f>+IF($B$3="esp","EBIT Ajustado Comparable","Comparable Adjusted EBIT")</f>
        <v>Comparable Adjusted EBIT</v>
      </c>
      <c r="BF27" s="14">
        <f>+'[1]MEDIA CAPITAL'!K27</f>
        <v>16.751729411651102</v>
      </c>
      <c r="BG27" s="15">
        <f>+'[1]MEDIA CAPITAL'!L27</f>
        <v>14.326208930557799</v>
      </c>
      <c r="BH27" s="16">
        <f>IF(BG27=0,"---",IF(OR(ABS((BF27-BG27)/ABS(BG27))&gt;2,(BF27*BG27)&lt;0),"---",IF(BG27="0","---",((BF27-BG27)/ABS(BG27))*100)))</f>
        <v>16.930651317807239</v>
      </c>
      <c r="BI27" s="13"/>
      <c r="BK27" s="14">
        <f>+'[1]MEDIA CAPITAL'!O27</f>
        <v>12.955755620182382</v>
      </c>
      <c r="BL27" s="15">
        <f>+'[1]MEDIA CAPITAL'!P27</f>
        <v>10.59274271010899</v>
      </c>
      <c r="BM27" s="16">
        <f>IF(BL27=0,"---",IF(OR(ABS((BK27-BL27)/ABS(BL27))&gt;2,(BK27*BL27)&lt;0),"---",IF(BL27="0","---",((BK27-BL27)/ABS(BL27))*100)))</f>
        <v>22.307847691026179</v>
      </c>
    </row>
    <row r="28" spans="4:65" x14ac:dyDescent="0.2">
      <c r="D28" s="9"/>
      <c r="F28" s="10">
        <v>2018</v>
      </c>
      <c r="G28" s="10">
        <v>2017</v>
      </c>
      <c r="H28" s="10" t="str">
        <f>+IF($B$3="esp","Var.%","% Chg.")</f>
        <v>% Chg.</v>
      </c>
      <c r="K28" s="10">
        <v>2018</v>
      </c>
      <c r="L28" s="10">
        <v>2017</v>
      </c>
      <c r="M28" s="10" t="str">
        <f>+IF($B$3="esp","Var.%","% Chg.")</f>
        <v>% Chg.</v>
      </c>
      <c r="Q28" s="9"/>
      <c r="S28" s="10">
        <v>2018</v>
      </c>
      <c r="T28" s="10">
        <v>2017</v>
      </c>
      <c r="U28" s="10" t="str">
        <f>+IF($B$3="esp","Var.%","% Chg.")</f>
        <v>% Chg.</v>
      </c>
      <c r="X28" s="10">
        <v>2018</v>
      </c>
      <c r="Y28" s="10">
        <v>2017</v>
      </c>
      <c r="Z28" s="10" t="str">
        <f>+IF($B$3="esp","Var.%","% Chg.")</f>
        <v>% Chg.</v>
      </c>
      <c r="AD28" s="38" t="str">
        <f>+IF($B$3="esp","Margen EBIT Ajustado","Adjusted EBIT Margin")</f>
        <v>Adjusted EBIT Margin</v>
      </c>
      <c r="AE28" s="22"/>
      <c r="AF28" s="39">
        <f>+[1]RADIO!K28</f>
        <v>0.17112835415832689</v>
      </c>
      <c r="AG28" s="40">
        <f>+[1]RADIO!L28</f>
        <v>0.11623414293439258</v>
      </c>
      <c r="AH28" s="41"/>
      <c r="AI28" s="22"/>
      <c r="AK28" s="39">
        <f>+[1]RADIO!O28</f>
        <v>0.23997277150937402</v>
      </c>
      <c r="AL28" s="40">
        <f>+[1]RADIO!P28</f>
        <v>0.18743750812618501</v>
      </c>
      <c r="AM28" s="41"/>
      <c r="AN28" s="22"/>
      <c r="BA28" s="22"/>
      <c r="BD28" s="30" t="str">
        <f>+IF($B$3="esp","Margen EBIT Ajustado","Adjusted EBIT Margin")</f>
        <v>Adjusted EBIT Margin</v>
      </c>
      <c r="BF28" s="31">
        <f>+'[1]MEDIA CAPITAL'!K28</f>
        <v>0.20447924461600062</v>
      </c>
      <c r="BG28" s="32">
        <f>+'[1]MEDIA CAPITAL'!L28</f>
        <v>0.18126787090830482</v>
      </c>
      <c r="BH28" s="33"/>
      <c r="BI28" s="22"/>
      <c r="BK28" s="31">
        <f>+'[1]MEDIA CAPITAL'!O28</f>
        <v>0.28268618169818666</v>
      </c>
      <c r="BL28" s="32">
        <f>+'[1]MEDIA CAPITAL'!P28</f>
        <v>0.24097877288613684</v>
      </c>
      <c r="BM28" s="33"/>
    </row>
    <row r="29" spans="4:65" ht="15.75" customHeight="1" x14ac:dyDescent="0.2">
      <c r="D29" s="11" t="str">
        <f>+IF($B$3="esp","Resultados de Explotación Ajustados a tipo constante","Operating Adjusted Results at constant currency")</f>
        <v>Operating Adjusted Results at constant currency</v>
      </c>
      <c r="F29" s="12"/>
      <c r="G29" s="12"/>
      <c r="H29" s="12"/>
      <c r="K29" s="12"/>
      <c r="L29" s="12"/>
      <c r="M29" s="12"/>
      <c r="Q29" s="11" t="str">
        <f>+IF($B$3="esp","Resultados de Explotación Ajustados a tipo constante","Operating Adjusted Results at constant currency")</f>
        <v>Operating Adjusted Results at constant currency</v>
      </c>
      <c r="S29" s="12"/>
      <c r="T29" s="12"/>
      <c r="U29" s="12"/>
      <c r="X29" s="12"/>
      <c r="Y29" s="12"/>
      <c r="Z29" s="12"/>
      <c r="AD29" s="34" t="str">
        <f>+IF($B$3="esp","EBIT Ajustado con MX y CR","Adjusted EBIT w/MX&amp;CR")</f>
        <v>Adjusted EBIT w/MX&amp;CR</v>
      </c>
      <c r="AE29" s="13"/>
      <c r="AF29" s="35">
        <f>+[1]RADIO!K29</f>
        <v>27.140242837424861</v>
      </c>
      <c r="AG29" s="36">
        <f>+[1]RADIO!L29</f>
        <v>19.359766848419525</v>
      </c>
      <c r="AH29" s="37">
        <f>IF(AG29=0,"---",IF(OR(ABS((AF29-AG29)/ABS(AG29))&gt;2,(AF29*AG29)&lt;0),"---",IF(AG29="0","---",((AF29-AG29)/ABS(AG29))*100)))</f>
        <v>40.188893027089897</v>
      </c>
      <c r="AI29" s="13"/>
      <c r="AK29" s="35">
        <f>+[1]RADIO!O29</f>
        <v>20.951975054512992</v>
      </c>
      <c r="AL29" s="36">
        <f>+[1]RADIO!P29</f>
        <v>16.298074787918864</v>
      </c>
      <c r="AM29" s="37">
        <f>IF(AL29=0,"---",IF(OR(ABS((AK29-AL29)/ABS(AL29))&gt;2,(AK29*AL29)&lt;0),"---",IF(AL29="0","---",((AK29-AL29)/ABS(AL29))*100)))</f>
        <v>28.554908031492687</v>
      </c>
      <c r="AN29" s="13"/>
      <c r="BA29" s="13"/>
    </row>
    <row r="30" spans="4:65" s="13" customFormat="1" ht="15" customHeight="1" x14ac:dyDescent="0.2">
      <c r="D30" s="13" t="str">
        <f>+IF($B$3="esp","Ingresos de Explotación Ajustados a tipo constante","Operating Adjusted Revenues on constant currency")</f>
        <v>Operating Adjusted Revenues on constant currency</v>
      </c>
      <c r="F30" s="14">
        <f>+[1]GRUPO!K30</f>
        <v>676.78477285587769</v>
      </c>
      <c r="G30" s="15">
        <f>+[1]GRUPO!L30</f>
        <v>655.02436052328699</v>
      </c>
      <c r="H30" s="16">
        <f t="shared" ref="H30:H39" si="8">IF(G30=0,"---",IF(OR(ABS((F30-G30)/ABS(G30))&gt;2,(F30*G30)&lt;0),"---",IF(G30="0","---",((F30-G30)/ABS(G30))*100)))</f>
        <v>3.3220768026408525</v>
      </c>
      <c r="K30" s="14">
        <f>+[1]GRUPO!O30</f>
        <v>319.61073109936927</v>
      </c>
      <c r="L30" s="15">
        <f>+[1]GRUPO!P30</f>
        <v>292.503714107988</v>
      </c>
      <c r="M30" s="16">
        <f t="shared" ref="M30:M39" si="9">IF(L30=0,"---",IF(OR(ABS((K30-L30)/ABS(L30))&gt;2,(K30*L30)&lt;0),"---",IF(L30="0","---",((K30-L30)/ABS(L30))*100)))</f>
        <v>9.2672385627806975</v>
      </c>
      <c r="Q30" s="13" t="str">
        <f>+IF($B$3="esp","Ingresos de Explotación Ajustados a tipo constante","Operating Adjusted Revenues on constant currency")</f>
        <v>Operating Adjusted Revenues on constant currency</v>
      </c>
      <c r="S30" s="14">
        <f>+[1]SANTILLANA!K30</f>
        <v>344.24198669043602</v>
      </c>
      <c r="T30" s="15">
        <f>+[1]SANTILLANA!L30</f>
        <v>328.02148342967899</v>
      </c>
      <c r="U30" s="16">
        <f t="shared" ref="U30:U39" si="10">IF(T30=0,"---",IF(OR(ABS((S30-T30)/ABS(T30))&gt;2,(S30*T30)&lt;0),"---",IF(T30="0","---",((S30-T30)/ABS(T30))*100)))</f>
        <v>4.9449514986521805</v>
      </c>
      <c r="X30" s="14">
        <f>+[1]SANTILLANA!O30</f>
        <v>137.36920483414463</v>
      </c>
      <c r="Y30" s="15">
        <f>+[1]SANTILLANA!P30</f>
        <v>112.42070918099799</v>
      </c>
      <c r="Z30" s="16">
        <f t="shared" ref="Z30:Z39" si="11">IF(Y30=0,"---",IF(OR(ABS((X30-Y30)/ABS(Y30))&gt;2,(X30*Y30)&lt;0),"---",IF(Y30="0","---",((X30-Y30)/ABS(Y30))*100)))</f>
        <v>22.192081721330734</v>
      </c>
      <c r="AD30" s="1"/>
      <c r="AE30" s="1"/>
      <c r="AF30" s="1"/>
      <c r="AG30" s="1"/>
      <c r="AH30" s="1"/>
      <c r="AI30" s="1"/>
      <c r="AK30" s="1"/>
      <c r="AL30" s="1"/>
      <c r="AM30" s="1"/>
      <c r="AN30" s="1"/>
      <c r="BA30" s="1"/>
      <c r="BD30" s="1"/>
      <c r="BF30" s="1"/>
      <c r="BG30" s="1"/>
      <c r="BH30" s="1"/>
      <c r="BI30" s="1"/>
      <c r="BK30" s="1"/>
      <c r="BL30" s="1"/>
      <c r="BM30" s="1"/>
    </row>
    <row r="31" spans="4:65" ht="15" customHeight="1" x14ac:dyDescent="0.2">
      <c r="D31" s="17" t="str">
        <f>+IF($B$3="esp","España","Spain")</f>
        <v>Spain</v>
      </c>
      <c r="F31" s="18">
        <f>+[1]GRUPO!K31</f>
        <v>229.68618836459635</v>
      </c>
      <c r="G31" s="19">
        <f>+[1]GRUPO!L31</f>
        <v>244.90941677891732</v>
      </c>
      <c r="H31" s="20">
        <f t="shared" si="8"/>
        <v>-6.2158607923447722</v>
      </c>
      <c r="K31" s="18">
        <f>+[1]GRUPO!O31</f>
        <v>140.67299154746166</v>
      </c>
      <c r="L31" s="19">
        <f>+[1]GRUPO!P31</f>
        <v>151.67111356979279</v>
      </c>
      <c r="M31" s="20">
        <f t="shared" si="9"/>
        <v>-7.2512964159587634</v>
      </c>
      <c r="Q31" s="17" t="str">
        <f>+IF($B$3="esp","España","Spain")</f>
        <v>Spain</v>
      </c>
      <c r="S31" s="18">
        <f>+[1]SANTILLANA!K31</f>
        <v>37.301114477915462</v>
      </c>
      <c r="T31" s="19">
        <f>+[1]SANTILLANA!L31</f>
        <v>46.542836386892418</v>
      </c>
      <c r="U31" s="20">
        <f t="shared" si="10"/>
        <v>-19.856378825205521</v>
      </c>
      <c r="X31" s="18">
        <f>+[1]SANTILLANA!O31</f>
        <v>35.232237330981519</v>
      </c>
      <c r="Y31" s="19">
        <f>+[1]SANTILLANA!P31</f>
        <v>42.85473820050953</v>
      </c>
      <c r="Z31" s="20">
        <f t="shared" si="11"/>
        <v>-17.786833357524472</v>
      </c>
      <c r="AD31" s="9"/>
      <c r="AF31" s="10">
        <v>2018</v>
      </c>
      <c r="AG31" s="10">
        <v>2017</v>
      </c>
      <c r="AH31" s="10" t="str">
        <f>+IF($B$3="esp","Var.%","% Chg.")</f>
        <v>% Chg.</v>
      </c>
      <c r="AK31" s="10">
        <v>2018</v>
      </c>
      <c r="AL31" s="10">
        <v>2017</v>
      </c>
      <c r="AM31" s="10" t="str">
        <f>+IF($B$3="esp","Var.%","% Chg.")</f>
        <v>% Chg.</v>
      </c>
    </row>
    <row r="32" spans="4:65" ht="15" customHeight="1" x14ac:dyDescent="0.2">
      <c r="D32" s="17" t="str">
        <f>+IF($B$3="esp","Internacional","International")</f>
        <v>International</v>
      </c>
      <c r="F32" s="18">
        <f>+[1]GRUPO!K32</f>
        <v>447.09858449128137</v>
      </c>
      <c r="G32" s="19">
        <f>+[1]GRUPO!L32</f>
        <v>410.11494374436967</v>
      </c>
      <c r="H32" s="20">
        <f t="shared" si="8"/>
        <v>9.0178720163789308</v>
      </c>
      <c r="K32" s="18">
        <f>+[1]GRUPO!O32</f>
        <v>178.93773955190767</v>
      </c>
      <c r="L32" s="19">
        <f>+[1]GRUPO!P32</f>
        <v>140.83260053819521</v>
      </c>
      <c r="M32" s="20">
        <f t="shared" si="9"/>
        <v>27.057044227041711</v>
      </c>
      <c r="Q32" s="17" t="str">
        <f>+IF($B$3="esp","Internacional","International")</f>
        <v>International</v>
      </c>
      <c r="S32" s="18">
        <f>+[1]SANTILLANA!K32</f>
        <v>306.94087221252056</v>
      </c>
      <c r="T32" s="19">
        <f>+[1]SANTILLANA!L32</f>
        <v>281.47864704278658</v>
      </c>
      <c r="U32" s="20">
        <f t="shared" si="10"/>
        <v>9.0458816102890953</v>
      </c>
      <c r="X32" s="18">
        <f>+[1]SANTILLANA!O32</f>
        <v>102.13696750316311</v>
      </c>
      <c r="Y32" s="19">
        <f>+[1]SANTILLANA!P32</f>
        <v>69.565970980488459</v>
      </c>
      <c r="Z32" s="20">
        <f t="shared" si="11"/>
        <v>46.820300304311161</v>
      </c>
      <c r="AD32" s="11" t="str">
        <f>+IF($B$3="esp","Resultados de Explotación Ajustados a tipo constante","Operating Adjusted Results at constant currency")</f>
        <v>Operating Adjusted Results at constant currency</v>
      </c>
      <c r="AF32" s="12"/>
      <c r="AG32" s="12"/>
      <c r="AH32" s="12"/>
      <c r="AK32" s="12"/>
      <c r="AL32" s="12"/>
      <c r="AM32" s="12"/>
    </row>
    <row r="33" spans="4:65" ht="15" customHeight="1" x14ac:dyDescent="0.2">
      <c r="D33" s="26" t="str">
        <f>D18</f>
        <v>Latam</v>
      </c>
      <c r="F33" s="18">
        <f>+[1]GRUPO!K33</f>
        <v>360.59881434128135</v>
      </c>
      <c r="G33" s="19">
        <f>+[1]GRUPO!L33</f>
        <v>331.51544048436972</v>
      </c>
      <c r="H33" s="20">
        <f t="shared" si="8"/>
        <v>8.7728564963425466</v>
      </c>
      <c r="K33" s="18">
        <f>+[1]GRUPO!O33</f>
        <v>130.8943603819076</v>
      </c>
      <c r="L33" s="19">
        <f>+[1]GRUPO!P33</f>
        <v>97.128495538195295</v>
      </c>
      <c r="M33" s="20">
        <f t="shared" si="9"/>
        <v>34.764118044466208</v>
      </c>
      <c r="Q33" s="26" t="str">
        <f>+IF($B$3="esp","Latam","Latam")</f>
        <v>Latam</v>
      </c>
      <c r="S33" s="18">
        <f>+[1]SANTILLANA!K33</f>
        <v>306.91106421252056</v>
      </c>
      <c r="T33" s="19">
        <f>+[1]SANTILLANA!L33</f>
        <v>281.41056904278656</v>
      </c>
      <c r="U33" s="20">
        <f t="shared" si="10"/>
        <v>9.0616693098889325</v>
      </c>
      <c r="X33" s="18">
        <f>+[1]SANTILLANA!O33</f>
        <v>102.1365655031631</v>
      </c>
      <c r="Y33" s="19">
        <f>+[1]SANTILLANA!P33</f>
        <v>69.544440980488446</v>
      </c>
      <c r="Z33" s="20">
        <f t="shared" si="11"/>
        <v>46.865175797183809</v>
      </c>
      <c r="AD33" s="13" t="str">
        <f>+IF($B$3="esp","Ingresos de Explotación Ajustados a tipo constante","Operating Adjusted Revenues on constant currency")</f>
        <v>Operating Adjusted Revenues on constant currency</v>
      </c>
      <c r="AE33" s="13"/>
      <c r="AF33" s="14">
        <f>+[1]RADIO!K33</f>
        <v>140.125523254325</v>
      </c>
      <c r="AG33" s="15">
        <f>+[1]RADIO!L33</f>
        <v>136.76790469200699</v>
      </c>
      <c r="AH33" s="16">
        <f t="shared" ref="AH33:AH43" si="12">IF(AG33=0,"---",IF(OR(ABS((AF33-AG33)/ABS(AG33))&gt;2,(AF33*AG33)&lt;0),"---",IF(AG33="0","---",((AF33-AG33)/ABS(AG33))*100)))</f>
        <v>2.4549755075060644</v>
      </c>
      <c r="AI33" s="13"/>
      <c r="AK33" s="14">
        <f>+[1]RADIO!O33</f>
        <v>78.620863267745392</v>
      </c>
      <c r="AL33" s="15">
        <f>+[1]RADIO!P33</f>
        <v>75.783237870044189</v>
      </c>
      <c r="AM33" s="16">
        <f t="shared" ref="AM33:AM43" si="13">IF(AL33=0,"---",IF(OR(ABS((AK33-AL33)/ABS(AL33))&gt;2,(AK33*AL33)&lt;0),"---",IF(AL33="0","---",((AK33-AL33)/ABS(AL33))*100)))</f>
        <v>3.7443971483077356</v>
      </c>
      <c r="AN33" s="13"/>
      <c r="BA33" s="13"/>
    </row>
    <row r="34" spans="4:65" ht="15" customHeight="1" x14ac:dyDescent="0.2">
      <c r="D34" s="26" t="str">
        <f>D19</f>
        <v>Portugal</v>
      </c>
      <c r="F34" s="18">
        <f>+[1]GRUPO!K34</f>
        <v>86.499770150000018</v>
      </c>
      <c r="G34" s="19">
        <f>+[1]GRUPO!L34</f>
        <v>78.599503259999992</v>
      </c>
      <c r="H34" s="20">
        <f t="shared" si="8"/>
        <v>10.051293662590542</v>
      </c>
      <c r="K34" s="18">
        <f>+[1]GRUPO!O34</f>
        <v>48.043379170000016</v>
      </c>
      <c r="L34" s="19">
        <f>+[1]GRUPO!P34</f>
        <v>43.704104999999991</v>
      </c>
      <c r="M34" s="20">
        <f t="shared" si="9"/>
        <v>9.9287565092570258</v>
      </c>
      <c r="Q34" s="26" t="str">
        <f>+IF($B$3="esp","Portugal","Portugal")</f>
        <v>Portugal</v>
      </c>
      <c r="S34" s="18">
        <f>+[1]SANTILLANA!K34</f>
        <v>2.9808000000000001E-2</v>
      </c>
      <c r="T34" s="19">
        <f>+[1]SANTILLANA!L34</f>
        <v>6.8078E-2</v>
      </c>
      <c r="U34" s="20">
        <f t="shared" si="10"/>
        <v>-56.214929933311787</v>
      </c>
      <c r="X34" s="18">
        <f>+[1]SANTILLANA!O34</f>
        <v>4.0200000000000305E-4</v>
      </c>
      <c r="Y34" s="19">
        <f>+[1]SANTILLANA!P34</f>
        <v>2.1530000000000001E-2</v>
      </c>
      <c r="Z34" s="20">
        <f t="shared" si="11"/>
        <v>-98.132837900603803</v>
      </c>
      <c r="AD34" s="17" t="str">
        <f>+IF($B$3="esp","España","Spain")</f>
        <v>Spain</v>
      </c>
      <c r="AF34" s="18">
        <f>+[1]RADIO!K34</f>
        <v>93.61553318</v>
      </c>
      <c r="AG34" s="19">
        <f>+[1]RADIO!L34</f>
        <v>91.782332190000005</v>
      </c>
      <c r="AH34" s="20">
        <f t="shared" si="12"/>
        <v>1.997335376273788</v>
      </c>
      <c r="AK34" s="18">
        <f>+[1]RADIO!O34</f>
        <v>53.672095929999998</v>
      </c>
      <c r="AL34" s="19">
        <f>+[1]RADIO!P34</f>
        <v>50.107936080000002</v>
      </c>
      <c r="AM34" s="20">
        <f t="shared" si="13"/>
        <v>7.1129647892693564</v>
      </c>
    </row>
    <row r="35" spans="4:65" s="13" customFormat="1" ht="15" customHeight="1" x14ac:dyDescent="0.2">
      <c r="D35" s="13" t="str">
        <f>+IF($B$3="esp","EBITDA Ajustado a tipo constante","Adjusted EBITDA on constant currency")</f>
        <v>Adjusted EBITDA on constant currency</v>
      </c>
      <c r="F35" s="14">
        <f>+[1]GRUPO!K35</f>
        <v>146.85559213314377</v>
      </c>
      <c r="G35" s="15">
        <f>+[1]GRUPO!L35</f>
        <v>131.80012489130414</v>
      </c>
      <c r="H35" s="16">
        <f t="shared" si="8"/>
        <v>11.422953699213801</v>
      </c>
      <c r="K35" s="14">
        <f>+[1]GRUPO!O35</f>
        <v>58.335298507677834</v>
      </c>
      <c r="L35" s="15">
        <f>+[1]GRUPO!P35</f>
        <v>40.911566296960572</v>
      </c>
      <c r="M35" s="16">
        <f t="shared" si="9"/>
        <v>42.588768379693434</v>
      </c>
      <c r="Q35" s="13" t="str">
        <f>+IF($B$3="esp","EBITDA Ajustado a tipo constante","Adjusted EBITDA on constant currency")</f>
        <v>Adjusted EBITDA on constant currency</v>
      </c>
      <c r="S35" s="14">
        <f>+[1]SANTILLANA!K35</f>
        <v>99.973921661928671</v>
      </c>
      <c r="T35" s="15">
        <f>+[1]SANTILLANA!L35</f>
        <v>94.203475473929714</v>
      </c>
      <c r="U35" s="16">
        <f t="shared" si="10"/>
        <v>6.1255130545538048</v>
      </c>
      <c r="X35" s="14">
        <f>+[1]SANTILLANA!O35</f>
        <v>19.965658127983261</v>
      </c>
      <c r="Y35" s="15">
        <f>+[1]SANTILLANA!P35</f>
        <v>11.200432742548159</v>
      </c>
      <c r="Z35" s="16">
        <f t="shared" si="11"/>
        <v>78.257917233302948</v>
      </c>
      <c r="AD35" s="17" t="str">
        <f>+IF($B$3="esp","Latam","Latam")</f>
        <v>Latam</v>
      </c>
      <c r="AE35" s="1"/>
      <c r="AF35" s="18">
        <f>+[1]RADIO!K35</f>
        <v>48.020288220824199</v>
      </c>
      <c r="AG35" s="19">
        <f>+[1]RADIO!L35</f>
        <v>44.709871196942899</v>
      </c>
      <c r="AH35" s="20">
        <f t="shared" si="12"/>
        <v>7.4042195498600636</v>
      </c>
      <c r="AI35" s="1"/>
      <c r="AK35" s="18">
        <f>+[1]RADIO!O35</f>
        <v>25.940977189319899</v>
      </c>
      <c r="AL35" s="19">
        <f>+[1]RADIO!P35</f>
        <v>24.730219909769598</v>
      </c>
      <c r="AM35" s="20">
        <f t="shared" si="13"/>
        <v>4.8958613549246861</v>
      </c>
      <c r="AN35" s="1"/>
      <c r="BA35" s="1"/>
    </row>
    <row r="36" spans="4:65" ht="15" customHeight="1" x14ac:dyDescent="0.2">
      <c r="D36" s="17" t="str">
        <f>+IF($B$3="esp","España","Spain")</f>
        <v>Spain</v>
      </c>
      <c r="F36" s="18">
        <f>+[1]GRUPO!K36</f>
        <v>15.042480859999923</v>
      </c>
      <c r="G36" s="19">
        <f>+[1]GRUPO!L36</f>
        <v>15.666552966162445</v>
      </c>
      <c r="H36" s="20">
        <f t="shared" si="8"/>
        <v>-3.9834678854399583</v>
      </c>
      <c r="K36" s="18">
        <f>+[1]GRUPO!O36</f>
        <v>28.615073050000209</v>
      </c>
      <c r="L36" s="19">
        <f>+[1]GRUPO!P36</f>
        <v>29.239690739999858</v>
      </c>
      <c r="M36" s="20">
        <f t="shared" si="9"/>
        <v>-2.1361980041231181</v>
      </c>
      <c r="Q36" s="17" t="str">
        <f>+IF($B$3="esp","España","Spain")</f>
        <v>Spain</v>
      </c>
      <c r="S36" s="18">
        <f>+[1]SANTILLANA!K36</f>
        <v>-5.096120400000018</v>
      </c>
      <c r="T36" s="19">
        <f>+[1]SANTILLANA!L36</f>
        <v>2.3653616399990653</v>
      </c>
      <c r="U36" s="20" t="str">
        <f t="shared" si="10"/>
        <v>---</v>
      </c>
      <c r="X36" s="18">
        <f>+[1]SANTILLANA!O36</f>
        <v>10.506535639999768</v>
      </c>
      <c r="Y36" s="19">
        <f>+[1]SANTILLANA!P36</f>
        <v>17.509033509998929</v>
      </c>
      <c r="Z36" s="20">
        <f t="shared" si="11"/>
        <v>-39.993628808810186</v>
      </c>
      <c r="AD36" s="17" t="str">
        <f>+IF($B$3="esp","Música","Music")</f>
        <v>Music</v>
      </c>
      <c r="AF36" s="18">
        <f>+[1]RADIO!K36</f>
        <v>2.5320836780472891</v>
      </c>
      <c r="AG36" s="19">
        <f>+[1]RADIO!L36</f>
        <v>4.7338752815393503</v>
      </c>
      <c r="AH36" s="20">
        <f t="shared" si="12"/>
        <v>-46.511398643694051</v>
      </c>
      <c r="AK36" s="18">
        <f>+[1]RADIO!O36</f>
        <v>1.136714846659896</v>
      </c>
      <c r="AL36" s="19">
        <f>+[1]RADIO!P36</f>
        <v>3.3855274148689602</v>
      </c>
      <c r="AM36" s="20">
        <f t="shared" si="13"/>
        <v>-66.424290594501258</v>
      </c>
    </row>
    <row r="37" spans="4:65" ht="15" customHeight="1" x14ac:dyDescent="0.2">
      <c r="D37" s="17" t="str">
        <f>+IF($B$3="esp","Internacional","International")</f>
        <v>International</v>
      </c>
      <c r="F37" s="18">
        <f>+[1]GRUPO!K37</f>
        <v>131.81311127314385</v>
      </c>
      <c r="G37" s="19">
        <f>+[1]GRUPO!L37</f>
        <v>116.13357192514171</v>
      </c>
      <c r="H37" s="20">
        <f t="shared" si="8"/>
        <v>13.501297762639194</v>
      </c>
      <c r="K37" s="18">
        <f>+[1]GRUPO!O37</f>
        <v>29.720225457677614</v>
      </c>
      <c r="L37" s="19">
        <f>+[1]GRUPO!P37</f>
        <v>11.671875556960742</v>
      </c>
      <c r="M37" s="20">
        <f t="shared" si="9"/>
        <v>154.63110288177634</v>
      </c>
      <c r="Q37" s="17" t="str">
        <f>+IF($B$3="esp","Internacional","International")</f>
        <v>International</v>
      </c>
      <c r="S37" s="18">
        <f>+[1]SANTILLANA!K37</f>
        <v>105.07004206192869</v>
      </c>
      <c r="T37" s="19">
        <f>+[1]SANTILLANA!L37</f>
        <v>91.838113833930649</v>
      </c>
      <c r="U37" s="20">
        <f t="shared" si="10"/>
        <v>14.407883258496703</v>
      </c>
      <c r="X37" s="18">
        <f>+[1]SANTILLANA!O37</f>
        <v>9.4591224879834925</v>
      </c>
      <c r="Y37" s="19">
        <f>+[1]SANTILLANA!P37</f>
        <v>-6.3086007674507698</v>
      </c>
      <c r="Z37" s="20" t="str">
        <f t="shared" si="11"/>
        <v>---</v>
      </c>
      <c r="AD37" s="17" t="str">
        <f>+IF($B$3="esp","Ajustes y Otros","Adjustments &amp; others")</f>
        <v>Adjustments &amp; others</v>
      </c>
      <c r="AF37" s="18">
        <f>+[1]RADIO!K37</f>
        <v>-4.0423818245464851</v>
      </c>
      <c r="AG37" s="19">
        <f>+[1]RADIO!L37</f>
        <v>-4.458173976475261</v>
      </c>
      <c r="AH37" s="20">
        <f t="shared" si="12"/>
        <v>9.3265124717611663</v>
      </c>
      <c r="AK37" s="18">
        <f>+[1]RADIO!O37</f>
        <v>-2.1289246982343935</v>
      </c>
      <c r="AL37" s="19">
        <f>+[1]RADIO!P37</f>
        <v>-2.4404455345943639</v>
      </c>
      <c r="AM37" s="20">
        <f t="shared" si="13"/>
        <v>12.76491656724269</v>
      </c>
    </row>
    <row r="38" spans="4:65" ht="15" customHeight="1" x14ac:dyDescent="0.2">
      <c r="D38" s="26" t="str">
        <f>D33</f>
        <v>Latam</v>
      </c>
      <c r="F38" s="18">
        <f>+[1]GRUPO!K38</f>
        <v>113.08292551149275</v>
      </c>
      <c r="G38" s="19">
        <f>+[1]GRUPO!L38</f>
        <v>99.485043104583909</v>
      </c>
      <c r="H38" s="20">
        <f t="shared" si="8"/>
        <v>13.668268095952904</v>
      </c>
      <c r="K38" s="18">
        <f>+[1]GRUPO!O38</f>
        <v>15.561325777495227</v>
      </c>
      <c r="L38" s="19">
        <f>+[1]GRUPO!P38</f>
        <v>0.15313697685175498</v>
      </c>
      <c r="M38" s="20" t="str">
        <f t="shared" si="9"/>
        <v>---</v>
      </c>
      <c r="Q38" s="26" t="str">
        <f>+IF($B$3="esp","Latam","Latam")</f>
        <v>Latam</v>
      </c>
      <c r="S38" s="18">
        <f>+[1]SANTILLANA!K38</f>
        <v>105.99393906192869</v>
      </c>
      <c r="T38" s="19">
        <f>+[1]SANTILLANA!L38</f>
        <v>93.360345833930651</v>
      </c>
      <c r="U38" s="20">
        <f t="shared" si="10"/>
        <v>13.532076295508444</v>
      </c>
      <c r="X38" s="18">
        <f>+[1]SANTILLANA!O38</f>
        <v>9.8741454879834833</v>
      </c>
      <c r="Y38" s="19">
        <f>+[1]SANTILLANA!P38</f>
        <v>-5.4152687674507689</v>
      </c>
      <c r="Z38" s="20" t="str">
        <f t="shared" si="11"/>
        <v>---</v>
      </c>
      <c r="AD38" s="13" t="str">
        <f>+IF($B$3="esp","Ingresos de Explotación a TC CTE con MX y CR","Operating Revenues on ctt ccy w/MX&amp;CR")</f>
        <v>Operating Revenues on ctt ccy w/MX&amp;CR</v>
      </c>
      <c r="AE38" s="13"/>
      <c r="AF38" s="14">
        <f>+[1]RADIO!K38</f>
        <v>151.88317071548698</v>
      </c>
      <c r="AG38" s="15">
        <f>+[1]RADIO!L38</f>
        <v>146.78221148804931</v>
      </c>
      <c r="AH38" s="16">
        <f t="shared" si="12"/>
        <v>3.4751889726453529</v>
      </c>
      <c r="AI38" s="13"/>
      <c r="AK38" s="14">
        <f>+[1]RADIO!O38</f>
        <v>85.31985496976182</v>
      </c>
      <c r="AL38" s="15">
        <f>+[1]RADIO!P38</f>
        <v>81.109747264492839</v>
      </c>
      <c r="AM38" s="16">
        <f t="shared" si="13"/>
        <v>5.1906310243331593</v>
      </c>
      <c r="AN38" s="13"/>
      <c r="BA38" s="13"/>
    </row>
    <row r="39" spans="4:65" ht="15" customHeight="1" x14ac:dyDescent="0.2">
      <c r="D39" s="26" t="str">
        <f>D34</f>
        <v>Portugal</v>
      </c>
      <c r="F39" s="18">
        <f>+[1]GRUPO!K39</f>
        <v>18.7301857616511</v>
      </c>
      <c r="G39" s="19">
        <f>+[1]GRUPO!L39</f>
        <v>16.648528820557797</v>
      </c>
      <c r="H39" s="20">
        <f t="shared" si="8"/>
        <v>12.503548893298303</v>
      </c>
      <c r="K39" s="18">
        <f>+[1]GRUPO!O39</f>
        <v>14.15889968018238</v>
      </c>
      <c r="L39" s="19">
        <f>+[1]GRUPO!P39</f>
        <v>11.518738580108977</v>
      </c>
      <c r="M39" s="20">
        <f t="shared" si="9"/>
        <v>22.920574867742374</v>
      </c>
      <c r="Q39" s="26" t="str">
        <f>+IF($B$3="esp","Portugal","Portugal")</f>
        <v>Portugal</v>
      </c>
      <c r="S39" s="18">
        <f>+[1]SANTILLANA!K39</f>
        <v>-0.92389699999999997</v>
      </c>
      <c r="T39" s="19">
        <f>+[1]SANTILLANA!L39</f>
        <v>-1.522232</v>
      </c>
      <c r="U39" s="20">
        <f t="shared" si="10"/>
        <v>39.306426352881822</v>
      </c>
      <c r="X39" s="18">
        <f>+[1]SANTILLANA!O39</f>
        <v>-0.41502299999999992</v>
      </c>
      <c r="Y39" s="19">
        <f>+[1]SANTILLANA!P39</f>
        <v>-0.89333200000000001</v>
      </c>
      <c r="Z39" s="20">
        <f t="shared" si="11"/>
        <v>53.542132152436061</v>
      </c>
      <c r="AD39" s="13" t="str">
        <f>+IF($B$3="esp","EBITDA Ajustado a tipo constante","Adjusted EBITDA on constant currency")</f>
        <v>Adjusted EBITDA on constant currency</v>
      </c>
      <c r="AE39" s="13"/>
      <c r="AF39" s="14">
        <f>+[1]RADIO!K39</f>
        <v>28.318695744071814</v>
      </c>
      <c r="AG39" s="15">
        <f>+[1]RADIO!L39</f>
        <v>22.013705716172801</v>
      </c>
      <c r="AH39" s="16">
        <f t="shared" si="12"/>
        <v>28.641202481719962</v>
      </c>
      <c r="AI39" s="13"/>
      <c r="AK39" s="14">
        <f>+[1]RADIO!O39</f>
        <v>21.109020912062274</v>
      </c>
      <c r="AL39" s="15">
        <f>+[1]RADIO!P39</f>
        <v>16.335453433327682</v>
      </c>
      <c r="AM39" s="16">
        <f t="shared" si="13"/>
        <v>29.22213024705842</v>
      </c>
      <c r="AN39" s="13"/>
      <c r="BA39" s="13"/>
    </row>
    <row r="40" spans="4:65" s="22" customFormat="1" ht="15" customHeight="1" x14ac:dyDescent="0.2">
      <c r="D40" s="21" t="str">
        <f>+IF($B$3="esp","Margen EBITDA Ajustado","Adjusted EBITDA Margin")</f>
        <v>Adjusted EBITDA Margin</v>
      </c>
      <c r="F40" s="27">
        <f>+[1]GRUPO!K40</f>
        <v>0.21699009496541508</v>
      </c>
      <c r="G40" s="28">
        <f>+[1]GRUPO!L40</f>
        <v>0.20121408123815643</v>
      </c>
      <c r="H40" s="29"/>
      <c r="K40" s="27">
        <f>+[1]GRUPO!O40</f>
        <v>0.1825198368872695</v>
      </c>
      <c r="L40" s="28">
        <f>+[1]GRUPO!P40</f>
        <v>0.13986682672294765</v>
      </c>
      <c r="M40" s="29"/>
      <c r="Q40" s="21" t="str">
        <f>+IF($B$3="esp","Margen EBITDA Ajustado","Adjusted EBITDA Margin")</f>
        <v>Adjusted EBITDA Margin</v>
      </c>
      <c r="S40" s="27">
        <f>+[1]SANTILLANA!K40</f>
        <v>0.29041757114837791</v>
      </c>
      <c r="T40" s="28">
        <f>+[1]SANTILLANA!L40</f>
        <v>0.28718690766522609</v>
      </c>
      <c r="U40" s="29"/>
      <c r="X40" s="27">
        <f>+[1]SANTILLANA!O40</f>
        <v>0.1453430421475409</v>
      </c>
      <c r="Y40" s="28">
        <f>+[1]SANTILLANA!P40</f>
        <v>9.9629621838761021E-2</v>
      </c>
      <c r="Z40" s="29"/>
      <c r="AD40" s="17" t="str">
        <f>+IF($B$3="esp","España","Spain")</f>
        <v>Spain</v>
      </c>
      <c r="AE40" s="1"/>
      <c r="AF40" s="18">
        <f>+[1]RADIO!K40</f>
        <v>18.820925630000001</v>
      </c>
      <c r="AG40" s="19">
        <f>+[1]RADIO!L40</f>
        <v>14.293106669999903</v>
      </c>
      <c r="AH40" s="20">
        <f t="shared" si="12"/>
        <v>31.678340227486245</v>
      </c>
      <c r="AI40" s="1"/>
      <c r="AK40" s="18">
        <f>+[1]RADIO!O40</f>
        <v>14.637548330000062</v>
      </c>
      <c r="AL40" s="19">
        <f>+[1]RADIO!P40</f>
        <v>9.8145030499998622</v>
      </c>
      <c r="AM40" s="20">
        <f t="shared" si="13"/>
        <v>49.142022325830013</v>
      </c>
      <c r="AN40" s="1"/>
      <c r="BA40" s="1"/>
    </row>
    <row r="41" spans="4:65" s="13" customFormat="1" ht="15" customHeight="1" x14ac:dyDescent="0.2">
      <c r="D41" s="13" t="str">
        <f>+IF($B$3="esp","EBIT Ajustado a tipo constante","Adjusted EBIT on constant currency")</f>
        <v>Adjusted EBIT on constant currency</v>
      </c>
      <c r="F41" s="14">
        <f>+[1]GRUPO!K41</f>
        <v>109.05122328630868</v>
      </c>
      <c r="G41" s="15">
        <f>+[1]GRUPO!L41</f>
        <v>93.118670396345962</v>
      </c>
      <c r="H41" s="16">
        <f>IF(G41=0,"---",IF(OR(ABS((F41-G41)/ABS(G41))&gt;2,(F41*G41)&lt;0),"---",IF(G41="0","---",((F41-G41)/ABS(G41))*100)))</f>
        <v>17.109944570888036</v>
      </c>
      <c r="K41" s="14">
        <f>+[1]GRUPO!O41</f>
        <v>37.209284790732951</v>
      </c>
      <c r="L41" s="15">
        <f>+[1]GRUPO!P41</f>
        <v>23.12408571542268</v>
      </c>
      <c r="M41" s="16">
        <f>IF(L41=0,"---",IF(OR(ABS((K41-L41)/ABS(L41))&gt;2,(K41*L41)&lt;0),"---",IF(L41="0","---",((K41-L41)/ABS(L41))*100)))</f>
        <v>60.911377204920605</v>
      </c>
      <c r="Q41" s="13" t="str">
        <f>+IF($B$3="esp","EBIT Ajustado a tipo constante","Adjusted EBIT on constant currency")</f>
        <v>Adjusted EBIT on constant currency</v>
      </c>
      <c r="S41" s="14">
        <f>+[1]SANTILLANA!K41</f>
        <v>74.302297659423161</v>
      </c>
      <c r="T41" s="15">
        <f>+[1]SANTILLANA!L41</f>
        <v>70.789459627326522</v>
      </c>
      <c r="U41" s="16">
        <f>IF(T41=0,"---",IF(OR(ABS((S41-T41)/ABS(T41))&gt;2,(S41*T41)&lt;0),"---",IF(T41="0","---",((S41-T41)/ABS(T41))*100)))</f>
        <v>4.9623744136345893</v>
      </c>
      <c r="X41" s="14">
        <f>+[1]SANTILLANA!O41</f>
        <v>5.3192500139818151</v>
      </c>
      <c r="Y41" s="15">
        <f>+[1]SANTILLANA!P41</f>
        <v>7.1009712754275256E-2</v>
      </c>
      <c r="Z41" s="16" t="str">
        <f>IF(Y41=0,"---",IF(OR(ABS((X41-Y41)/ABS(Y41))&gt;2,(X41*Y41)&lt;0),"---",IF(Y41="0","---",((X41-Y41)/ABS(Y41))*100)))</f>
        <v>---</v>
      </c>
      <c r="AD41" s="17" t="str">
        <f>+IF($B$3="esp","Latam","Latam")</f>
        <v>Latam</v>
      </c>
      <c r="AE41" s="1"/>
      <c r="AF41" s="18">
        <f>+[1]RADIO!K41</f>
        <v>9.88679136744455</v>
      </c>
      <c r="AG41" s="19">
        <f>+[1]RADIO!L41</f>
        <v>8.4262620378359099</v>
      </c>
      <c r="AH41" s="20">
        <f t="shared" si="12"/>
        <v>17.333063261627967</v>
      </c>
      <c r="AI41" s="1"/>
      <c r="AK41" s="18">
        <f>+[1]RADIO!O41</f>
        <v>6.5654368352270769</v>
      </c>
      <c r="AL41" s="19">
        <f>+[1]RADIO!P41</f>
        <v>6.6549939539336789</v>
      </c>
      <c r="AM41" s="20">
        <f t="shared" si="13"/>
        <v>-1.3457129987874139</v>
      </c>
      <c r="AN41" s="1"/>
      <c r="BA41" s="1"/>
    </row>
    <row r="42" spans="4:65" ht="15" customHeight="1" x14ac:dyDescent="0.2">
      <c r="D42" s="17" t="str">
        <f>+IF($B$3="esp","España","Spain")</f>
        <v>Spain</v>
      </c>
      <c r="F42" s="18">
        <f>+[1]GRUPO!K42</f>
        <v>6.5188249100003306</v>
      </c>
      <c r="G42" s="19">
        <f>+[1]GRUPO!L42</f>
        <v>5.5783923374793227</v>
      </c>
      <c r="H42" s="20">
        <f>IF(G42=0,"---",IF(OR(ABS((F42-G42)/ABS(G42))&gt;2,(F42*G42)&lt;0),"---",IF(G42="0","---",((F42-G42)/ABS(G42))*100)))</f>
        <v>16.858487457086174</v>
      </c>
      <c r="K42" s="18">
        <f>+[1]GRUPO!O42</f>
        <v>23.780569410000613</v>
      </c>
      <c r="L42" s="19">
        <f>+[1]GRUPO!P42</f>
        <v>24.598021349999936</v>
      </c>
      <c r="M42" s="20">
        <f>IF(L42=0,"---",IF(OR(ABS((K42-L42)/ABS(L42))&gt;2,(K42*L42)&lt;0),"---",IF(L42="0","---",((K42-L42)/ABS(L42))*100)))</f>
        <v>-3.3232426639849431</v>
      </c>
      <c r="Q42" s="17" t="str">
        <f>+IF($B$3="esp","España","Spain")</f>
        <v>Spain</v>
      </c>
      <c r="S42" s="18">
        <f>+[1]SANTILLANA!K42</f>
        <v>-6.9767185100001683</v>
      </c>
      <c r="T42" s="19">
        <f>+[1]SANTILLANA!L42</f>
        <v>0.9232231099989292</v>
      </c>
      <c r="U42" s="20" t="str">
        <f>IF(T42=0,"---",IF(OR(ABS((S42-T42)/ABS(T42))&gt;2,(S42*T42)&lt;0),"---",IF(T42="0","---",((S42-T42)/ABS(T42))*100)))</f>
        <v>---</v>
      </c>
      <c r="X42" s="18">
        <f>+[1]SANTILLANA!O42</f>
        <v>9.2337533199995079</v>
      </c>
      <c r="Y42" s="19">
        <f>+[1]SANTILLANA!P42</f>
        <v>16.791630709998913</v>
      </c>
      <c r="Z42" s="20">
        <f>IF(Y42=0,"---",IF(OR(ABS((X42-Y42)/ABS(Y42))&gt;2,(X42*Y42)&lt;0),"---",IF(Y42="0","---",((X42-Y42)/ABS(Y42))*100)))</f>
        <v>-45.009788033862101</v>
      </c>
      <c r="AD42" s="17" t="str">
        <f>+IF($B$3="esp","Música","Music")</f>
        <v>Music</v>
      </c>
      <c r="AF42" s="18">
        <f>+[1]RADIO!K42</f>
        <v>-0.3890212533726416</v>
      </c>
      <c r="AG42" s="19">
        <f>+[1]RADIO!L42</f>
        <v>-0.70566299166302893</v>
      </c>
      <c r="AH42" s="20">
        <f t="shared" si="12"/>
        <v>44.871523947169301</v>
      </c>
      <c r="AK42" s="18">
        <f>+[1]RADIO!O42</f>
        <v>-9.3964253164676048E-2</v>
      </c>
      <c r="AL42" s="19">
        <f>+[1]RADIO!P42</f>
        <v>-0.134043570605891</v>
      </c>
      <c r="AM42" s="20">
        <f t="shared" si="13"/>
        <v>29.900216220779736</v>
      </c>
    </row>
    <row r="43" spans="4:65" ht="15" customHeight="1" x14ac:dyDescent="0.2">
      <c r="D43" s="17" t="str">
        <f>+IF($B$3="esp","Internacional","International")</f>
        <v>International</v>
      </c>
      <c r="F43" s="18">
        <f>+[1]GRUPO!K43</f>
        <v>102.53239837630835</v>
      </c>
      <c r="G43" s="19">
        <f>+[1]GRUPO!L43</f>
        <v>87.540278058866633</v>
      </c>
      <c r="H43" s="20">
        <f>IF(G43=0,"---",IF(OR(ABS((F43-G43)/ABS(G43))&gt;2,(F43*G43)&lt;0),"---",IF(G43="0","---",((F43-G43)/ABS(G43))*100)))</f>
        <v>17.125968354087519</v>
      </c>
      <c r="K43" s="18">
        <f>+[1]GRUPO!O43</f>
        <v>13.428715380732328</v>
      </c>
      <c r="L43" s="19">
        <f>+[1]GRUPO!P43</f>
        <v>-1.4739356345772592</v>
      </c>
      <c r="M43" s="20" t="str">
        <f>IF(L43=0,"---",IF(OR(ABS((K43-L43)/ABS(L43))&gt;2,(K43*L43)&lt;0),"---",IF(L43="0","---",((K43-L43)/ABS(L43))*100)))</f>
        <v>---</v>
      </c>
      <c r="Q43" s="17" t="str">
        <f>+IF($B$3="esp","Internacional","International")</f>
        <v>International</v>
      </c>
      <c r="S43" s="18">
        <f>+[1]SANTILLANA!K43</f>
        <v>81.279016169423329</v>
      </c>
      <c r="T43" s="19">
        <f>+[1]SANTILLANA!L43</f>
        <v>69.866236517327593</v>
      </c>
      <c r="U43" s="20">
        <f>IF(T43=0,"---",IF(OR(ABS((S43-T43)/ABS(T43))&gt;2,(S43*T43)&lt;0),"---",IF(T43="0","---",((S43-T43)/ABS(T43))*100)))</f>
        <v>16.335185951035509</v>
      </c>
      <c r="X43" s="18">
        <f>+[1]SANTILLANA!O43</f>
        <v>-3.9145033060176928</v>
      </c>
      <c r="Y43" s="19">
        <f>+[1]SANTILLANA!P43</f>
        <v>-16.720620997244637</v>
      </c>
      <c r="Z43" s="20">
        <f>IF(Y43=0,"---",IF(OR(ABS((X43-Y43)/ABS(Y43))&gt;2,(X43*Y43)&lt;0),"---",IF(Y43="0","---",((X43-Y43)/ABS(Y43))*100)))</f>
        <v>76.58876840362116</v>
      </c>
      <c r="AD43" s="17" t="str">
        <f>+IF($B$3="esp","Ajustes y Otros","Adjustments &amp; others")</f>
        <v>Adjustments &amp; others</v>
      </c>
      <c r="AF43" s="18">
        <f>+[1]RADIO!K43</f>
        <v>-9.5923269327613525E-14</v>
      </c>
      <c r="AG43" s="19">
        <f>+[1]RADIO!L43</f>
        <v>1.7430501486614958E-14</v>
      </c>
      <c r="AH43" s="20" t="str">
        <f t="shared" si="12"/>
        <v>---</v>
      </c>
      <c r="AK43" s="18">
        <f>+[1]RADIO!O43</f>
        <v>-1.8829382497642655E-13</v>
      </c>
      <c r="AL43" s="19">
        <f>+[1]RADIO!P43</f>
        <v>3.141931159689193E-14</v>
      </c>
      <c r="AM43" s="20" t="str">
        <f t="shared" si="13"/>
        <v>---</v>
      </c>
    </row>
    <row r="44" spans="4:65" ht="15" customHeight="1" x14ac:dyDescent="0.2">
      <c r="D44" s="26" t="str">
        <f>D38</f>
        <v>Latam</v>
      </c>
      <c r="F44" s="18">
        <f>+[1]GRUPO!K44</f>
        <v>86.968080724657256</v>
      </c>
      <c r="G44" s="19">
        <f>+[1]GRUPO!L44</f>
        <v>74.097959258308833</v>
      </c>
      <c r="H44" s="20">
        <f>IF(G44=0,"---",IF(OR(ABS((F44-G44)/ABS(G44))&gt;2,(F44*G44)&lt;0),"---",IF(G44="0","---",((F44-G44)/ABS(G44))*100)))</f>
        <v>17.369063325323978</v>
      </c>
      <c r="K44" s="18">
        <f>+[1]GRUPO!O44</f>
        <v>0.86208759054996165</v>
      </c>
      <c r="L44" s="19">
        <f>+[1]GRUPO!P44</f>
        <v>-11.322370164686234</v>
      </c>
      <c r="M44" s="20" t="str">
        <f>IF(L44=0,"---",IF(OR(ABS((K44-L44)/ABS(L44))&gt;2,(K44*L44)&lt;0),"---",IF(L44="0","---",((K44-L44)/ABS(L44))*100)))</f>
        <v>---</v>
      </c>
      <c r="Q44" s="26" t="str">
        <f>+IF($B$3="esp","Latam","Latam")</f>
        <v>Latam</v>
      </c>
      <c r="S44" s="18">
        <f>+[1]SANTILLANA!K44</f>
        <v>82.204815169423327</v>
      </c>
      <c r="T44" s="19">
        <f>+[1]SANTILLANA!L44</f>
        <v>71.393201517327597</v>
      </c>
      <c r="U44" s="20">
        <f>IF(T44=0,"---",IF(OR(ABS((S44-T44)/ABS(T44))&gt;2,(S44*T44)&lt;0),"---",IF(T44="0","---",((S44-T44)/ABS(T44))*100)))</f>
        <v>15.143757980193225</v>
      </c>
      <c r="X44" s="18">
        <f>+[1]SANTILLANA!O44</f>
        <v>-3.4985353060177005</v>
      </c>
      <c r="Y44" s="19">
        <f>+[1]SANTILLANA!P44</f>
        <v>-15.824764997244628</v>
      </c>
      <c r="Z44" s="20">
        <f>IF(Y44=0,"---",IF(OR(ABS((X44-Y44)/ABS(Y44))&gt;2,(X44*Y44)&lt;0),"---",IF(Y44="0","---",((X44-Y44)/ABS(Y44))*100)))</f>
        <v>77.892023631144866</v>
      </c>
      <c r="AD44" s="21" t="str">
        <f>+IF($B$3="esp","Margen EBITDA Ajustado","Adjusted EBITDA Margin")</f>
        <v>Adjusted EBITDA Margin</v>
      </c>
      <c r="AE44" s="22"/>
      <c r="AF44" s="27">
        <f>+[1]RADIO!K44</f>
        <v>0.20209520069141115</v>
      </c>
      <c r="AG44" s="28">
        <f>+[1]RADIO!L44</f>
        <v>0.16095666425354932</v>
      </c>
      <c r="AH44" s="29"/>
      <c r="AI44" s="22"/>
      <c r="AK44" s="27">
        <f>+[1]RADIO!O44</f>
        <v>0.26849133976276696</v>
      </c>
      <c r="AL44" s="28">
        <f>+[1]RADIO!P44</f>
        <v>0.2155549682548574</v>
      </c>
      <c r="AM44" s="29"/>
      <c r="AN44" s="22"/>
      <c r="BA44" s="22"/>
    </row>
    <row r="45" spans="4:65" ht="15" customHeight="1" x14ac:dyDescent="0.2">
      <c r="D45" s="26" t="str">
        <f>D39</f>
        <v>Portugal</v>
      </c>
      <c r="F45" s="18">
        <f>+[1]GRUPO!K45</f>
        <v>15.5643176516511</v>
      </c>
      <c r="G45" s="19">
        <f>+[1]GRUPO!L45</f>
        <v>13.4423188005578</v>
      </c>
      <c r="H45" s="20">
        <f>IF(G45=0,"---",IF(OR(ABS((F45-G45)/ABS(G45))&gt;2,(F45*G45)&lt;0),"---",IF(G45="0","---",((F45-G45)/ABS(G45))*100)))</f>
        <v>15.785958379481718</v>
      </c>
      <c r="K45" s="18">
        <f>+[1]GRUPO!O45</f>
        <v>12.56662779018238</v>
      </c>
      <c r="L45" s="19">
        <f>+[1]GRUPO!P45</f>
        <v>9.84843453010898</v>
      </c>
      <c r="M45" s="20">
        <f>IF(L45=0,"---",IF(OR(ABS((K45-L45)/ABS(L45))&gt;2,(K45*L45)&lt;0),"---",IF(L45="0","---",((K45-L45)/ABS(L45))*100)))</f>
        <v>27.600257195833962</v>
      </c>
      <c r="Q45" s="26" t="str">
        <f>+IF($B$3="esp","Portugal","Portugal")</f>
        <v>Portugal</v>
      </c>
      <c r="S45" s="18">
        <f>+[1]SANTILLANA!K45</f>
        <v>-0.92579899999999993</v>
      </c>
      <c r="T45" s="19">
        <f>+[1]SANTILLANA!L45</f>
        <v>-1.5269649999999999</v>
      </c>
      <c r="U45" s="20">
        <f>IF(T45=0,"---",IF(OR(ABS((S45-T45)/ABS(T45))&gt;2,(S45*T45)&lt;0),"---",IF(T45="0","---",((S45-T45)/ABS(T45))*100)))</f>
        <v>39.369992108529011</v>
      </c>
      <c r="X45" s="18">
        <f>+[1]SANTILLANA!O45</f>
        <v>-0.41596799999999989</v>
      </c>
      <c r="Y45" s="19">
        <f>+[1]SANTILLANA!P45</f>
        <v>-0.89585599999999987</v>
      </c>
      <c r="Z45" s="20">
        <f>IF(Y45=0,"---",IF(OR(ABS((X45-Y45)/ABS(Y45))&gt;2,(X45*Y45)&lt;0),"---",IF(Y45="0","---",((X45-Y45)/ABS(Y45))*100)))</f>
        <v>53.567537639977857</v>
      </c>
      <c r="AD45" s="13" t="str">
        <f>+IF($B$3="esp","EBITDA Ajustado a TC CTE con MX y CR","Adjusted EBITDA on ctt ccy w/MX&amp;CR")</f>
        <v>Adjusted EBITDA on ctt ccy w/MX&amp;CR</v>
      </c>
      <c r="AE45" s="13"/>
      <c r="AF45" s="14">
        <f>+[1]RADIO!K45</f>
        <v>33.143190321824477</v>
      </c>
      <c r="AG45" s="15">
        <f>+[1]RADIO!L45</f>
        <v>25.90879667940569</v>
      </c>
      <c r="AH45" s="16">
        <f t="shared" ref="AH45:AH50" si="14">IF(AG45=0,"---",IF(OR(ABS((AF45-AG45)/ABS(AG45))&gt;2,(AF45*AG45)&lt;0),"---",IF(AG45="0","---",((AF45-AG45)/ABS(AG45))*100)))</f>
        <v>27.92253817086473</v>
      </c>
      <c r="AI45" s="13"/>
      <c r="AK45" s="14">
        <f>+[1]RADIO!O45</f>
        <v>24.142851849415493</v>
      </c>
      <c r="AL45" s="15">
        <f>+[1]RADIO!P45</f>
        <v>18.640052505959716</v>
      </c>
      <c r="AM45" s="16">
        <f t="shared" ref="AM45:AM50" si="15">IF(AL45=0,"---",IF(OR(ABS((AK45-AL45)/ABS(AL45))&gt;2,(AK45*AL45)&lt;0),"---",IF(AL45="0","---",((AK45-AL45)/ABS(AL45))*100)))</f>
        <v>29.52137254815343</v>
      </c>
      <c r="AN45" s="13"/>
      <c r="BA45" s="13"/>
    </row>
    <row r="46" spans="4:65" s="22" customFormat="1" ht="15" customHeight="1" x14ac:dyDescent="0.2">
      <c r="D46" s="30" t="str">
        <f>+IF($B$3="esp","Margen EBIT Ajustado","Adjusted EBIT Margin")</f>
        <v>Adjusted EBIT Margin</v>
      </c>
      <c r="F46" s="31">
        <f>+[1]GRUPO!K46</f>
        <v>0.16113131923186946</v>
      </c>
      <c r="G46" s="32">
        <f>+[1]GRUPO!L46</f>
        <v>0.14216062181558431</v>
      </c>
      <c r="H46" s="33"/>
      <c r="K46" s="31">
        <f>+[1]GRUPO!O46</f>
        <v>0.1164206366373985</v>
      </c>
      <c r="L46" s="32">
        <f>+[1]GRUPO!P46</f>
        <v>7.9055699466727497E-2</v>
      </c>
      <c r="M46" s="33"/>
      <c r="Q46" s="30" t="str">
        <f>+IF($B$3="esp","Margen EBIT Ajustado","Adjusted EBIT Margin")</f>
        <v>Adjusted EBIT Margin</v>
      </c>
      <c r="S46" s="31">
        <f>+[1]SANTILLANA!K46</f>
        <v>0.21584321649363605</v>
      </c>
      <c r="T46" s="32">
        <f>+[1]SANTILLANA!L46</f>
        <v>0.21580738824535653</v>
      </c>
      <c r="U46" s="33"/>
      <c r="X46" s="31">
        <f>+[1]SANTILLANA!O46</f>
        <v>3.8722288742983661E-2</v>
      </c>
      <c r="Y46" s="32">
        <f>+[1]SANTILLANA!P46</f>
        <v>6.3164263303079875E-4</v>
      </c>
      <c r="Z46" s="33"/>
      <c r="AD46" s="13" t="str">
        <f>+IF($B$3="esp","EBIT Ajustado a tipo constante","Adjusted EBIT on constant currency")</f>
        <v>Adjusted EBIT on constant currency</v>
      </c>
      <c r="AE46" s="13"/>
      <c r="AF46" s="14">
        <f>+[1]RADIO!K46</f>
        <v>23.208294633465417</v>
      </c>
      <c r="AG46" s="15">
        <f>+[1]RADIO!L46</f>
        <v>15.897100182808122</v>
      </c>
      <c r="AH46" s="16">
        <f t="shared" si="14"/>
        <v>45.990742755486735</v>
      </c>
      <c r="AI46" s="13"/>
      <c r="AK46" s="14">
        <f>+[1]RADIO!O46</f>
        <v>18.343931604620344</v>
      </c>
      <c r="AL46" s="15">
        <f>+[1]RADIO!P46</f>
        <v>14.204621264095019</v>
      </c>
      <c r="AM46" s="16">
        <f t="shared" si="15"/>
        <v>29.140589274198025</v>
      </c>
      <c r="AN46" s="13"/>
      <c r="BA46" s="13"/>
    </row>
    <row r="47" spans="4:65" x14ac:dyDescent="0.2">
      <c r="AD47" s="17" t="str">
        <f>+IF($B$3="esp","España","Spain")</f>
        <v>Spain</v>
      </c>
      <c r="AF47" s="18">
        <f>+[1]RADIO!K47</f>
        <v>16.067431889999998</v>
      </c>
      <c r="AG47" s="19">
        <f>+[1]RADIO!L47</f>
        <v>11.501285419999899</v>
      </c>
      <c r="AH47" s="20">
        <f t="shared" si="14"/>
        <v>39.701183852544887</v>
      </c>
      <c r="AK47" s="18">
        <f>+[1]RADIO!O47</f>
        <v>13.313566080000019</v>
      </c>
      <c r="AL47" s="19">
        <f>+[1]RADIO!P47</f>
        <v>8.6980054899998294</v>
      </c>
      <c r="AM47" s="20">
        <f t="shared" si="15"/>
        <v>53.064585844498936</v>
      </c>
    </row>
    <row r="48" spans="4:65" x14ac:dyDescent="0.2">
      <c r="D48" s="9" t="s">
        <v>5</v>
      </c>
      <c r="F48" s="10">
        <v>2018</v>
      </c>
      <c r="G48" s="10">
        <v>2017</v>
      </c>
      <c r="H48" s="10" t="str">
        <f>+IF($B$3="esp","Var.%","% Chg.")</f>
        <v>% Chg.</v>
      </c>
      <c r="K48" s="10">
        <v>2018</v>
      </c>
      <c r="L48" s="10">
        <v>2017</v>
      </c>
      <c r="M48" s="10" t="str">
        <f>+IF($B$3="esp","Var.%","% Chg.")</f>
        <v>% Chg.</v>
      </c>
      <c r="Q48" s="9"/>
      <c r="S48" s="10">
        <v>2018</v>
      </c>
      <c r="T48" s="10">
        <v>2017</v>
      </c>
      <c r="U48" s="10" t="str">
        <f>+IF($B$3="esp","Var.%","% Chg.")</f>
        <v>% Chg.</v>
      </c>
      <c r="X48" s="10">
        <v>2018</v>
      </c>
      <c r="Y48" s="10">
        <v>2017</v>
      </c>
      <c r="Z48" s="10" t="str">
        <f>+IF($B$3="esp","Var.%","% Chg.")</f>
        <v>% Chg.</v>
      </c>
      <c r="AD48" s="17" t="str">
        <f>+IF($B$3="esp","Latam","Latam")</f>
        <v>Latam</v>
      </c>
      <c r="AF48" s="18">
        <f>+[1]RADIO!K48</f>
        <v>7.9199798378129502</v>
      </c>
      <c r="AG48" s="19">
        <f>+[1]RADIO!L48</f>
        <v>5.4872822097123333</v>
      </c>
      <c r="AH48" s="20">
        <f t="shared" si="14"/>
        <v>44.333379168922846</v>
      </c>
      <c r="AK48" s="18">
        <f>+[1]RADIO!O48</f>
        <v>5.4974400789635274</v>
      </c>
      <c r="AL48" s="19">
        <f>+[1]RADIO!P48</f>
        <v>5.7178480507569107</v>
      </c>
      <c r="AM48" s="20">
        <f t="shared" si="15"/>
        <v>-3.8547364294545465</v>
      </c>
      <c r="AQ48" s="9"/>
      <c r="AS48" s="10">
        <v>2018</v>
      </c>
      <c r="AT48" s="10">
        <v>2017</v>
      </c>
      <c r="AU48" s="10" t="str">
        <f>+IF($B$3="esp","Var.%","% Chg.")</f>
        <v>% Chg.</v>
      </c>
      <c r="AX48" s="10">
        <v>2018</v>
      </c>
      <c r="AY48" s="10">
        <v>2017</v>
      </c>
      <c r="AZ48" s="10" t="str">
        <f>+IF($B$3="esp","Var.%","% Chg.")</f>
        <v>% Chg.</v>
      </c>
      <c r="BD48" s="9"/>
      <c r="BF48" s="10">
        <v>2018</v>
      </c>
      <c r="BG48" s="10">
        <v>2017</v>
      </c>
      <c r="BH48" s="10" t="str">
        <f>+IF($B$3="esp","Var.%","% Chg.")</f>
        <v>% Chg.</v>
      </c>
      <c r="BK48" s="10">
        <v>2018</v>
      </c>
      <c r="BL48" s="10">
        <v>2017</v>
      </c>
      <c r="BM48" s="10" t="str">
        <f>+IF($B$3="esp","Var.%","% Chg.")</f>
        <v>% Chg.</v>
      </c>
    </row>
    <row r="49" spans="4:65" ht="15.75" customHeight="1" x14ac:dyDescent="0.2">
      <c r="D49" s="11" t="str">
        <f>+IF($B$3="esp","Resultados Reportados","Reported Results")</f>
        <v>Reported Results</v>
      </c>
      <c r="F49" s="12"/>
      <c r="G49" s="12"/>
      <c r="H49" s="12"/>
      <c r="K49" s="12"/>
      <c r="L49" s="12"/>
      <c r="M49" s="12"/>
      <c r="Q49" s="11" t="str">
        <f>+IF($B$3="esp","Resultados Reportados","Reported Results")</f>
        <v>Reported Results</v>
      </c>
      <c r="S49" s="12"/>
      <c r="T49" s="12"/>
      <c r="U49" s="12"/>
      <c r="X49" s="12"/>
      <c r="Y49" s="12"/>
      <c r="Z49" s="12"/>
      <c r="AD49" s="17" t="str">
        <f>+IF($B$3="esp","Música","Music")</f>
        <v>Music</v>
      </c>
      <c r="AF49" s="18">
        <f>+[1]RADIO!K49</f>
        <v>-0.35028709434752359</v>
      </c>
      <c r="AG49" s="19">
        <f>+[1]RADIO!L49</f>
        <v>-1.0914674469041601</v>
      </c>
      <c r="AH49" s="20">
        <f t="shared" si="14"/>
        <v>67.906775841910957</v>
      </c>
      <c r="AK49" s="18">
        <f>+[1]RADIO!O49</f>
        <v>-3.8244554343134118E-2</v>
      </c>
      <c r="AL49" s="19">
        <f>+[1]RADIO!P49</f>
        <v>-0.2112322766618131</v>
      </c>
      <c r="AM49" s="20">
        <f t="shared" si="15"/>
        <v>81.89454994874464</v>
      </c>
      <c r="AQ49" s="11" t="str">
        <f>+IF($B$3="esp","Resultados Reportados","Reported Results")</f>
        <v>Reported Results</v>
      </c>
      <c r="AS49" s="12"/>
      <c r="AT49" s="12"/>
      <c r="AU49" s="12"/>
      <c r="AX49" s="12"/>
      <c r="AY49" s="12"/>
      <c r="AZ49" s="12"/>
      <c r="BD49" s="11" t="str">
        <f>+IF($B$3="esp","Resultados Reportados","Reported Results")</f>
        <v>Reported Results</v>
      </c>
      <c r="BF49" s="12"/>
      <c r="BG49" s="12"/>
      <c r="BH49" s="12"/>
      <c r="BK49" s="12"/>
      <c r="BL49" s="12"/>
      <c r="BM49" s="12"/>
    </row>
    <row r="50" spans="4:65" s="13" customFormat="1" ht="15" customHeight="1" x14ac:dyDescent="0.2">
      <c r="D50" s="13" t="str">
        <f>+IF($B$3="esp","Ingresos de Explotación","Operating Revenues")</f>
        <v>Operating Revenues</v>
      </c>
      <c r="F50" s="14">
        <f>+[1]GRUPO!K64</f>
        <v>629.08382391468604</v>
      </c>
      <c r="G50" s="15">
        <f>+[1]GRUPO!L64</f>
        <v>655.02436052328699</v>
      </c>
      <c r="H50" s="16">
        <f t="shared" ref="H50:H64" si="16">IF(G50=0,"---",IF(OR(ABS((F50-G50)/ABS(G50))&gt;2,(F50*G50)&lt;0),"---",IF(G50="0","---",((F50-G50)/ABS(G50))*100)))</f>
        <v>-3.9602399806745403</v>
      </c>
      <c r="K50" s="14">
        <f>+[1]GRUPO!O64</f>
        <v>308.08369879881002</v>
      </c>
      <c r="L50" s="15">
        <f>+[1]GRUPO!P64</f>
        <v>292.503714107988</v>
      </c>
      <c r="M50" s="16">
        <f t="shared" ref="M50:M64" si="17">IF(L50=0,"---",IF(OR(ABS((K50-L50)/ABS(L50))&gt;2,(K50*L50)&lt;0),"---",IF(L50="0","---",((K50-L50)/ABS(L50))*100)))</f>
        <v>5.326422858709452</v>
      </c>
      <c r="Q50" s="13" t="str">
        <f>+IF($B$3="esp","Ingresos de Explotación","Operating Revenues")</f>
        <v>Operating Revenues</v>
      </c>
      <c r="S50" s="14">
        <f>+[1]SANTILLANA!K64</f>
        <v>301.33518900438003</v>
      </c>
      <c r="T50" s="15">
        <f>+[1]SANTILLANA!L64</f>
        <v>328.02148342967899</v>
      </c>
      <c r="U50" s="16">
        <f t="shared" ref="U50:U64" si="18">IF(T50=0,"---",IF(OR(ABS((S50-T50)/ABS(T50))&gt;2,(S50*T50)&lt;0),"---",IF(T50="0","---",((S50-T50)/ABS(T50))*100)))</f>
        <v>-8.1355325103332614</v>
      </c>
      <c r="X50" s="14">
        <f>+[1]SANTILLANA!O64</f>
        <v>127.58727176125603</v>
      </c>
      <c r="Y50" s="15">
        <f>+[1]SANTILLANA!P64</f>
        <v>112.42070918099799</v>
      </c>
      <c r="Z50" s="16">
        <f t="shared" ref="Z50:Z64" si="19">IF(Y50=0,"---",IF(OR(ABS((X50-Y50)/ABS(Y50))&gt;2,(X50*Y50)&lt;0),"---",IF(Y50="0","---",((X50-Y50)/ABS(Y50))*100)))</f>
        <v>13.490897442961147</v>
      </c>
      <c r="AD50" s="17" t="str">
        <f>+IF($B$3="esp","Ajustes y Otros","Adjustments &amp; others")</f>
        <v>Adjustments &amp; others</v>
      </c>
      <c r="AE50" s="1"/>
      <c r="AF50" s="18">
        <f>+[1]RADIO!K50</f>
        <v>-0.42883000000000737</v>
      </c>
      <c r="AG50" s="19">
        <f>+[1]RADIO!L50</f>
        <v>5.0182080713057076E-14</v>
      </c>
      <c r="AH50" s="20" t="str">
        <f t="shared" si="14"/>
        <v>---</v>
      </c>
      <c r="AI50" s="1"/>
      <c r="AK50" s="18">
        <f>+[1]RADIO!O50</f>
        <v>-0.42883000000006855</v>
      </c>
      <c r="AL50" s="19">
        <f>+[1]RADIO!P50</f>
        <v>9.3258734068513149E-14</v>
      </c>
      <c r="AM50" s="20" t="str">
        <f t="shared" si="15"/>
        <v>---</v>
      </c>
      <c r="AN50" s="1"/>
      <c r="AQ50" s="13" t="str">
        <f>+IF($B$3="esp","Ingresos de Explotación","Operating Revenues")</f>
        <v>Operating Revenues</v>
      </c>
      <c r="AS50" s="14">
        <f>+[1]NOTICIAS!K22</f>
        <v>100.257352177893</v>
      </c>
      <c r="AT50" s="15">
        <f>+[1]NOTICIAS!L22</f>
        <v>109.053915504267</v>
      </c>
      <c r="AU50" s="16">
        <f t="shared" ref="AU50:AU55" si="20">IF(AT50=0,"---",IF(OR(ABS((AS50-AT50)/ABS(AT50))&gt;2,(AS50*AT50)&lt;0),"---",IF(AT50="0","---",((AS50-AT50)/ABS(AT50))*100)))</f>
        <v>-8.0662517120073627</v>
      </c>
      <c r="AX50" s="14">
        <f>+[1]NOTICIAS!O22</f>
        <v>54.606470981266</v>
      </c>
      <c r="AY50" s="15">
        <f>+[1]NOTICIAS!P22</f>
        <v>58.659025464881594</v>
      </c>
      <c r="AZ50" s="16">
        <f t="shared" ref="AZ50:AZ55" si="21">IF(AY50=0,"---",IF(OR(ABS((AX50-AY50)/ABS(AY50))&gt;2,(AX50*AY50)&lt;0),"---",IF(AY50="0","---",((AX50-AY50)/ABS(AY50))*100)))</f>
        <v>-6.9086631622303498</v>
      </c>
      <c r="BA50" s="1"/>
      <c r="BD50" s="13" t="str">
        <f>+IF($B$3="esp","Ingresos de Explotación","Operating Revenues")</f>
        <v>Operating Revenues</v>
      </c>
      <c r="BE50" s="1"/>
      <c r="BF50" s="14">
        <f>+'[1]MEDIA CAPITAL'!K33</f>
        <v>86.875861970000003</v>
      </c>
      <c r="BG50" s="15">
        <f>+'[1]MEDIA CAPITAL'!L33</f>
        <v>79.033360180000003</v>
      </c>
      <c r="BH50" s="16">
        <f>IF(BG50=0,"---",IF(OR(ABS((BF50-BG50)/ABS(BG50))&gt;2,(BF50*BG50)&lt;0),"---",IF(BG50="0","---",((BF50-BG50)/ABS(BG50))*100)))</f>
        <v>9.9230271522538711</v>
      </c>
      <c r="BJ50" s="1"/>
      <c r="BK50" s="14">
        <f>+'[1]MEDIA CAPITAL'!O33</f>
        <v>48.148876989999998</v>
      </c>
      <c r="BL50" s="15">
        <f>+'[1]MEDIA CAPITAL'!P33</f>
        <v>43.957160970000004</v>
      </c>
      <c r="BM50" s="16">
        <f>IF(BL50=0,"---",IF(OR(ABS((BK50-BL50)/ABS(BL50))&gt;2,(BK50*BL50)&lt;0),"---",IF(BL50="0","---",((BK50-BL50)/ABS(BL50))*100)))</f>
        <v>9.5359116182702675</v>
      </c>
    </row>
    <row r="51" spans="4:65" ht="15" customHeight="1" x14ac:dyDescent="0.2">
      <c r="D51" s="17" t="str">
        <f>+IF($B$3="esp","España","Spain")</f>
        <v>Spain</v>
      </c>
      <c r="F51" s="18">
        <f>+[1]GRUPO!K65</f>
        <v>229.68618836459635</v>
      </c>
      <c r="G51" s="19">
        <f>+[1]GRUPO!L65</f>
        <v>244.90941677891732</v>
      </c>
      <c r="H51" s="20">
        <f t="shared" si="16"/>
        <v>-6.2158607923447722</v>
      </c>
      <c r="K51" s="18">
        <f>+[1]GRUPO!O65</f>
        <v>140.67299154746166</v>
      </c>
      <c r="L51" s="19">
        <f>+[1]GRUPO!P65</f>
        <v>151.67111356979279</v>
      </c>
      <c r="M51" s="20">
        <f t="shared" si="17"/>
        <v>-7.2512964159587634</v>
      </c>
      <c r="Q51" s="17" t="str">
        <f>+IF($B$3="esp","España","Spain")</f>
        <v>Spain</v>
      </c>
      <c r="S51" s="18">
        <f>+[1]SANTILLANA!K65</f>
        <v>37.301114477915462</v>
      </c>
      <c r="T51" s="19">
        <f>+[1]SANTILLANA!L65</f>
        <v>46.542836386892418</v>
      </c>
      <c r="U51" s="20">
        <f t="shared" si="18"/>
        <v>-19.856378825205521</v>
      </c>
      <c r="X51" s="18">
        <f>+[1]SANTILLANA!O65</f>
        <v>35.232237330981491</v>
      </c>
      <c r="Y51" s="19">
        <f>+[1]SANTILLANA!P65</f>
        <v>42.85473820050953</v>
      </c>
      <c r="Z51" s="20">
        <f t="shared" si="19"/>
        <v>-17.786833357524536</v>
      </c>
      <c r="AD51" s="38" t="str">
        <f>+IF($B$3="esp","Margen EBIT Ajustado","Adjusted EBIT Margin")</f>
        <v>Adjusted EBIT Margin</v>
      </c>
      <c r="AE51" s="22"/>
      <c r="AF51" s="39">
        <f>+[1]RADIO!K51</f>
        <v>0.16562503457234432</v>
      </c>
      <c r="AG51" s="40">
        <f>+[1]RADIO!L51</f>
        <v>0.11623414293439258</v>
      </c>
      <c r="AH51" s="41"/>
      <c r="AI51" s="22"/>
      <c r="AK51" s="39">
        <f>+[1]RADIO!O51</f>
        <v>0.23332142184892588</v>
      </c>
      <c r="AL51" s="40">
        <f>+[1]RADIO!P51</f>
        <v>0.18743750812618501</v>
      </c>
      <c r="AM51" s="41"/>
      <c r="AN51" s="22"/>
      <c r="AQ51" s="21" t="str">
        <f>+IF($B$3="esp","Publicidad","Advertising")</f>
        <v>Advertising</v>
      </c>
      <c r="AR51" s="22"/>
      <c r="AS51" s="23">
        <f>+[1]NOTICIAS!K23</f>
        <v>49.822359904582001</v>
      </c>
      <c r="AT51" s="24">
        <f>+[1]NOTICIAS!L23</f>
        <v>51.082768643365803</v>
      </c>
      <c r="AU51" s="25">
        <f t="shared" si="20"/>
        <v>-2.4673853282764333</v>
      </c>
      <c r="AX51" s="23">
        <f>+[1]NOTICIAS!O23</f>
        <v>28.427429800497201</v>
      </c>
      <c r="AY51" s="24">
        <f>+[1]NOTICIAS!P23</f>
        <v>28.563877455307406</v>
      </c>
      <c r="AZ51" s="25">
        <f t="shared" si="21"/>
        <v>-0.47769304088248565</v>
      </c>
      <c r="BA51" s="22"/>
      <c r="BD51" s="21" t="str">
        <f>+IF($B$3="esp","Publicidad","Advertising")</f>
        <v>Advertising</v>
      </c>
      <c r="BF51" s="23">
        <f>+'[1]MEDIA CAPITAL'!K34</f>
        <v>58.599776680000005</v>
      </c>
      <c r="BG51" s="24">
        <f>+'[1]MEDIA CAPITAL'!L34</f>
        <v>57.101493320000003</v>
      </c>
      <c r="BH51" s="25">
        <f>IF(BG51=0,"---",IF(OR(ABS((BF51-BG51)/ABS(BG51))&gt;2,(BF51*BG51)&lt;0),"---",IF(BG51="0","---",((BF51-BG51)/ABS(BG51))*100)))</f>
        <v>2.6238952309067245</v>
      </c>
      <c r="BI51" s="22"/>
      <c r="BK51" s="23">
        <f>+'[1]MEDIA CAPITAL'!O34</f>
        <v>34.321687040000008</v>
      </c>
      <c r="BL51" s="24">
        <f>+'[1]MEDIA CAPITAL'!P34</f>
        <v>33.852709950000005</v>
      </c>
      <c r="BM51" s="25">
        <f>IF(BL51=0,"---",IF(OR(ABS((BK51-BL51)/ABS(BL51))&gt;2,(BK51*BL51)&lt;0),"---",IF(BL51="0","---",((BK51-BL51)/ABS(BL51))*100)))</f>
        <v>1.3853457838166445</v>
      </c>
    </row>
    <row r="52" spans="4:65" ht="15" customHeight="1" x14ac:dyDescent="0.2">
      <c r="D52" s="17" t="str">
        <f>+IF($B$3="esp","Internacional","International")</f>
        <v>International</v>
      </c>
      <c r="F52" s="18">
        <f>+[1]GRUPO!K66</f>
        <v>399.39763555008966</v>
      </c>
      <c r="G52" s="19">
        <f>+[1]GRUPO!L66</f>
        <v>410.11494374436967</v>
      </c>
      <c r="H52" s="20">
        <f t="shared" si="16"/>
        <v>-2.6132449835722773</v>
      </c>
      <c r="K52" s="18">
        <f>+[1]GRUPO!O66</f>
        <v>167.41070725134833</v>
      </c>
      <c r="L52" s="19">
        <f>+[1]GRUPO!P66</f>
        <v>140.83260053819521</v>
      </c>
      <c r="M52" s="20">
        <f t="shared" si="17"/>
        <v>18.872126632316835</v>
      </c>
      <c r="Q52" s="17" t="str">
        <f>+IF($B$3="esp","Internacional","International")</f>
        <v>International</v>
      </c>
      <c r="S52" s="18">
        <f>+[1]SANTILLANA!K66</f>
        <v>264.03407452646456</v>
      </c>
      <c r="T52" s="19">
        <f>+[1]SANTILLANA!L66</f>
        <v>281.47864704278658</v>
      </c>
      <c r="U52" s="20">
        <f t="shared" si="18"/>
        <v>-6.1974763271014037</v>
      </c>
      <c r="X52" s="18">
        <f>+[1]SANTILLANA!O66</f>
        <v>92.355034430274543</v>
      </c>
      <c r="Y52" s="19">
        <f>+[1]SANTILLANA!P66</f>
        <v>69.565970980488459</v>
      </c>
      <c r="Z52" s="20">
        <f t="shared" si="19"/>
        <v>32.75892383673888</v>
      </c>
      <c r="AD52" s="34" t="str">
        <f>+IF($B$3="esp","EBITDA Ajustado a TC CTE con MX y CR","Adjusted EBITDA on ctt ccy w/MX&amp;CR")</f>
        <v>Adjusted EBITDA on ctt ccy w/MX&amp;CR</v>
      </c>
      <c r="AE52" s="13"/>
      <c r="AF52" s="35">
        <f>+[1]RADIO!K52</f>
        <v>27.506032850524917</v>
      </c>
      <c r="AG52" s="36">
        <f>+[1]RADIO!L52</f>
        <v>19.359766848419525</v>
      </c>
      <c r="AH52" s="37">
        <f>IF(AG52=0,"---",IF(OR(ABS((AF52-AG52)/ABS(AG52))&gt;2,(AF52*AG52)&lt;0),"---",IF(AG52="0","---",((AF52-AG52)/ABS(AG52))*100)))</f>
        <v>42.078327006145891</v>
      </c>
      <c r="AI52" s="13"/>
      <c r="AK52" s="35">
        <f>+[1]RADIO!O52</f>
        <v>21.096627341309425</v>
      </c>
      <c r="AL52" s="36">
        <f>+[1]RADIO!P52</f>
        <v>16.298074787918864</v>
      </c>
      <c r="AM52" s="37">
        <f>IF(AL52=0,"---",IF(OR(ABS((AK52-AL52)/ABS(AL52))&gt;2,(AK52*AL52)&lt;0),"---",IF(AL52="0","---",((AK52-AL52)/ABS(AL52))*100)))</f>
        <v>29.442450202446874</v>
      </c>
      <c r="AN52" s="13"/>
      <c r="AQ52" s="21" t="str">
        <f>+IF($B$3="esp","Circulación","Circulation")</f>
        <v>Circulation</v>
      </c>
      <c r="AR52" s="22"/>
      <c r="AS52" s="23">
        <f>+[1]NOTICIAS!K24</f>
        <v>35.218538424773598</v>
      </c>
      <c r="AT52" s="24">
        <f>+[1]NOTICIAS!L24</f>
        <v>40.211427379887297</v>
      </c>
      <c r="AU52" s="25">
        <f t="shared" si="20"/>
        <v>-12.416592198890735</v>
      </c>
      <c r="AX52" s="23">
        <f>+[1]NOTICIAS!O24</f>
        <v>17.859490229428197</v>
      </c>
      <c r="AY52" s="24">
        <f>+[1]NOTICIAS!P24</f>
        <v>20.113624483991998</v>
      </c>
      <c r="AZ52" s="25">
        <f t="shared" si="21"/>
        <v>-11.207001783083992</v>
      </c>
      <c r="BA52" s="13"/>
      <c r="BD52" s="21" t="str">
        <f>+IF($B$3="esp","Otros","Others")</f>
        <v>Others</v>
      </c>
      <c r="BE52" s="13"/>
      <c r="BF52" s="23">
        <f>+'[1]MEDIA CAPITAL'!K35</f>
        <v>28.276085289999997</v>
      </c>
      <c r="BG52" s="24">
        <f>+'[1]MEDIA CAPITAL'!L35</f>
        <v>21.93186686</v>
      </c>
      <c r="BH52" s="25">
        <f>IF(BG52=0,"---",IF(OR(ABS((BF52-BG52)/ABS(BG52))&gt;2,(BF52*BG52)&lt;0),"---",IF(BG52="0","---",((BF52-BG52)/ABS(BG52))*100)))</f>
        <v>28.926942108930888</v>
      </c>
      <c r="BI52" s="22"/>
      <c r="BJ52" s="13"/>
      <c r="BK52" s="23">
        <f>+'[1]MEDIA CAPITAL'!O35</f>
        <v>13.82718994999999</v>
      </c>
      <c r="BL52" s="24">
        <f>+'[1]MEDIA CAPITAL'!P35</f>
        <v>10.104451020000003</v>
      </c>
      <c r="BM52" s="25">
        <f>IF(BL52=0,"---",IF(OR(ABS((BK52-BL52)/ABS(BL52))&gt;2,(BK52*BL52)&lt;0),"---",IF(BL52="0","---",((BK52-BL52)/ABS(BL52))*100)))</f>
        <v>36.842564951143544</v>
      </c>
    </row>
    <row r="53" spans="4:65" ht="15" customHeight="1" x14ac:dyDescent="0.2">
      <c r="D53" s="26" t="str">
        <f>D38</f>
        <v>Latam</v>
      </c>
      <c r="F53" s="18">
        <f>+[1]GRUPO!K67</f>
        <v>312.89786540008964</v>
      </c>
      <c r="G53" s="19">
        <f>+[1]GRUPO!L67</f>
        <v>331.51544048436972</v>
      </c>
      <c r="H53" s="20">
        <f t="shared" si="16"/>
        <v>-5.6158998377506517</v>
      </c>
      <c r="K53" s="18">
        <f>+[1]GRUPO!O67</f>
        <v>119.36732808134829</v>
      </c>
      <c r="L53" s="19">
        <f>+[1]GRUPO!P67</f>
        <v>97.128495538195295</v>
      </c>
      <c r="M53" s="20">
        <f t="shared" si="17"/>
        <v>22.896300843461212</v>
      </c>
      <c r="Q53" s="26" t="str">
        <f>+IF($B$3="esp","Latam","Latam")</f>
        <v>Latam</v>
      </c>
      <c r="S53" s="18">
        <f>+[1]SANTILLANA!K67</f>
        <v>264.00426652646456</v>
      </c>
      <c r="T53" s="19">
        <f>+[1]SANTILLANA!L67</f>
        <v>281.41056904278656</v>
      </c>
      <c r="U53" s="20">
        <f t="shared" si="18"/>
        <v>-6.1853762548895208</v>
      </c>
      <c r="X53" s="18">
        <f>+[1]SANTILLANA!O67</f>
        <v>92.354632430274535</v>
      </c>
      <c r="Y53" s="19">
        <f>+[1]SANTILLANA!P67</f>
        <v>69.544440980488446</v>
      </c>
      <c r="Z53" s="20">
        <f t="shared" si="19"/>
        <v>32.799446121345298</v>
      </c>
      <c r="AQ53" s="21" t="str">
        <f>+IF($B$3="esp","Promociones y Otros","Add-ons and Others")</f>
        <v>Add-ons and Others</v>
      </c>
      <c r="AR53" s="22"/>
      <c r="AS53" s="23">
        <f>+[1]NOTICIAS!K25</f>
        <v>15.216453848537398</v>
      </c>
      <c r="AT53" s="24">
        <f>+[1]NOTICIAS!L25</f>
        <v>17.759719481013896</v>
      </c>
      <c r="AU53" s="25">
        <f t="shared" si="20"/>
        <v>-14.320415562843698</v>
      </c>
      <c r="AX53" s="23">
        <f>+[1]NOTICIAS!O25</f>
        <v>8.3195509513406023</v>
      </c>
      <c r="AY53" s="24">
        <f>+[1]NOTICIAS!P25</f>
        <v>9.9815235255821904</v>
      </c>
      <c r="AZ53" s="25">
        <f t="shared" si="21"/>
        <v>-16.650489977627444</v>
      </c>
      <c r="BD53" s="13" t="str">
        <f>+IF($B$3="esp","Gastos de Explotación","Operating Expenses")</f>
        <v>Operating Expenses</v>
      </c>
      <c r="BF53" s="14">
        <f>+'[1]MEDIA CAPITAL'!K36</f>
        <v>67.302304068348903</v>
      </c>
      <c r="BG53" s="15">
        <f>+'[1]MEDIA CAPITAL'!L36</f>
        <v>61.606780839442202</v>
      </c>
      <c r="BH53" s="16">
        <f>IF(BG53=0,"---",IF(OR(ABS((BF53-BG53)/ABS(BG53))&gt;2,(BF53*BG53)&lt;0),"---",IF(BG53="0","---",((BF53-BG53)/ABS(BG53))*100)))</f>
        <v>9.2449615956240407</v>
      </c>
      <c r="BI53" s="13"/>
      <c r="BK53" s="14">
        <f>+'[1]MEDIA CAPITAL'!O36</f>
        <v>33.826678209817615</v>
      </c>
      <c r="BL53" s="15">
        <f>+'[1]MEDIA CAPITAL'!P36</f>
        <v>31.572048919891014</v>
      </c>
      <c r="BM53" s="16">
        <f>IF(BL53=0,"---",IF(OR(ABS((BK53-BL53)/ABS(BL53))&gt;2,(BK53*BL53)&lt;0),"---",IF(BL53="0","---",((BK53-BL53)/ABS(BL53))*100)))</f>
        <v>7.1412194236977147</v>
      </c>
    </row>
    <row r="54" spans="4:65" ht="15" customHeight="1" x14ac:dyDescent="0.2">
      <c r="D54" s="26" t="str">
        <f>D39</f>
        <v>Portugal</v>
      </c>
      <c r="F54" s="18">
        <f>+[1]GRUPO!K68</f>
        <v>86.499770150000018</v>
      </c>
      <c r="G54" s="19">
        <f>+[1]GRUPO!L68</f>
        <v>78.599503259999992</v>
      </c>
      <c r="H54" s="20">
        <f t="shared" si="16"/>
        <v>10.051293662590542</v>
      </c>
      <c r="K54" s="18">
        <f>+[1]GRUPO!O68</f>
        <v>48.043379170000016</v>
      </c>
      <c r="L54" s="19">
        <f>+[1]GRUPO!P68</f>
        <v>43.704104999999991</v>
      </c>
      <c r="M54" s="20">
        <f t="shared" si="17"/>
        <v>9.9287565092570258</v>
      </c>
      <c r="Q54" s="26" t="str">
        <f>+IF($B$3="esp","Portugal","Portugal")</f>
        <v>Portugal</v>
      </c>
      <c r="S54" s="18">
        <f>+[1]SANTILLANA!K68</f>
        <v>2.9808000000000001E-2</v>
      </c>
      <c r="T54" s="19">
        <f>+[1]SANTILLANA!L68</f>
        <v>6.8078E-2</v>
      </c>
      <c r="U54" s="20">
        <f t="shared" si="18"/>
        <v>-56.214929933311787</v>
      </c>
      <c r="X54" s="18">
        <f>+[1]SANTILLANA!O68</f>
        <v>4.0200000000000305E-4</v>
      </c>
      <c r="Y54" s="19">
        <f>+[1]SANTILLANA!P68</f>
        <v>2.1530000000000001E-2</v>
      </c>
      <c r="Z54" s="20">
        <f t="shared" si="19"/>
        <v>-98.132837900603803</v>
      </c>
      <c r="AD54" s="9"/>
      <c r="AF54" s="10">
        <v>2018</v>
      </c>
      <c r="AG54" s="10">
        <v>2017</v>
      </c>
      <c r="AH54" s="10" t="str">
        <f>+IF($B$3="esp","Var.%","% Chg.")</f>
        <v>% Chg.</v>
      </c>
      <c r="AK54" s="10">
        <v>2018</v>
      </c>
      <c r="AL54" s="10">
        <v>2017</v>
      </c>
      <c r="AM54" s="10" t="str">
        <f>+IF($B$3="esp","Var.%","% Chg.")</f>
        <v>% Chg.</v>
      </c>
      <c r="AQ54" s="13" t="str">
        <f>+IF($B$3="esp","Gastos de Explotación","Operating Expenses")</f>
        <v>Operating Expenses</v>
      </c>
      <c r="AR54" s="13"/>
      <c r="AS54" s="14">
        <f>+[1]NOTICIAS!K26</f>
        <v>101.00808450587759</v>
      </c>
      <c r="AT54" s="15">
        <f>+[1]NOTICIAS!L26</f>
        <v>105.39700126744486</v>
      </c>
      <c r="AU54" s="16">
        <f t="shared" si="20"/>
        <v>-4.164176123408291</v>
      </c>
      <c r="AX54" s="14">
        <f>+[1]NOTICIAS!O26</f>
        <v>53.40102900625407</v>
      </c>
      <c r="AY54" s="15">
        <f>+[1]NOTICIAS!P26</f>
        <v>53.468772951972412</v>
      </c>
      <c r="AZ54" s="16">
        <f t="shared" si="21"/>
        <v>-0.12669814917800926</v>
      </c>
      <c r="BD54" s="13" t="str">
        <f>+IF($B$3="esp","EBITDA","EBITDA")</f>
        <v>EBITDA</v>
      </c>
      <c r="BF54" s="14">
        <f>+'[1]MEDIA CAPITAL'!K37</f>
        <v>19.5735579016511</v>
      </c>
      <c r="BG54" s="15">
        <f>+'[1]MEDIA CAPITAL'!L37</f>
        <v>17.426579340557801</v>
      </c>
      <c r="BH54" s="16">
        <f>IF(BG54=0,"---",IF(OR(ABS((BF54-BG54)/ABS(BG54))&gt;2,(BF54*BG54)&lt;0),"---",IF(BG54="0","---",((BF54-BG54)/ABS(BG54))*100)))</f>
        <v>12.320137642253876</v>
      </c>
      <c r="BI54" s="13"/>
      <c r="BK54" s="14">
        <f>+'[1]MEDIA CAPITAL'!O37</f>
        <v>14.322198780182379</v>
      </c>
      <c r="BL54" s="15">
        <f>+'[1]MEDIA CAPITAL'!P37</f>
        <v>12.38511205010899</v>
      </c>
      <c r="BM54" s="16">
        <f>IF(BL54=0,"---",IF(OR(ABS((BK54-BL54)/ABS(BL54))&gt;2,(BK54*BL54)&lt;0),"---",IF(BL54="0","---",((BK54-BL54)/ABS(BL54))*100)))</f>
        <v>15.640445740305939</v>
      </c>
    </row>
    <row r="55" spans="4:65" s="13" customFormat="1" ht="15" customHeight="1" x14ac:dyDescent="0.2">
      <c r="D55" s="13" t="str">
        <f>+IF($B$3="esp","Gastos de Explotación","Operating Expenses")</f>
        <v>Operating Expenses</v>
      </c>
      <c r="F55" s="14">
        <f>+[1]GRUPO!K69</f>
        <v>514.52617106964999</v>
      </c>
      <c r="G55" s="15">
        <f>+[1]GRUPO!L69</f>
        <v>536.47501402934995</v>
      </c>
      <c r="H55" s="16">
        <f t="shared" si="16"/>
        <v>-4.0913075885579202</v>
      </c>
      <c r="K55" s="14">
        <f>+[1]GRUPO!O69</f>
        <v>254.00433745709569</v>
      </c>
      <c r="L55" s="15">
        <f>+[1]GRUPO!P69</f>
        <v>256.78527546819555</v>
      </c>
      <c r="M55" s="16">
        <f t="shared" si="17"/>
        <v>-1.0829818828316344</v>
      </c>
      <c r="Q55" s="13" t="str">
        <f>+IF($B$3="esp","Gastos de Explotación","Operating Expenses")</f>
        <v>Operating Expenses</v>
      </c>
      <c r="S55" s="14">
        <f>+[1]SANTILLANA!K69</f>
        <v>215.47938316573712</v>
      </c>
      <c r="T55" s="15">
        <f>+[1]SANTILLANA!L69</f>
        <v>236.12452510680978</v>
      </c>
      <c r="U55" s="16">
        <f t="shared" si="18"/>
        <v>-8.7433280942476994</v>
      </c>
      <c r="X55" s="14">
        <f>+[1]SANTILLANA!O69</f>
        <v>103.53640216996203</v>
      </c>
      <c r="Y55" s="15">
        <f>+[1]SANTILLANA!P69</f>
        <v>102.10972163970479</v>
      </c>
      <c r="Z55" s="16">
        <f t="shared" si="19"/>
        <v>1.3972034272028482</v>
      </c>
      <c r="AD55" s="11" t="str">
        <f>+IF($B$3="esp","Resultados Reportados","Reported Results")</f>
        <v>Reported Results</v>
      </c>
      <c r="AE55" s="1"/>
      <c r="AF55" s="12"/>
      <c r="AG55" s="12"/>
      <c r="AH55" s="12"/>
      <c r="AI55" s="1"/>
      <c r="AK55" s="12"/>
      <c r="AL55" s="12"/>
      <c r="AM55" s="12"/>
      <c r="AN55" s="1"/>
      <c r="AQ55" s="13" t="str">
        <f>+IF($B$3="esp","EBITDA","EBITDA")</f>
        <v>EBITDA</v>
      </c>
      <c r="AS55" s="14">
        <f>+[1]NOTICIAS!K27</f>
        <v>-0.75073232798459799</v>
      </c>
      <c r="AT55" s="15">
        <f>+[1]NOTICIAS!L27</f>
        <v>3.6569142368221299</v>
      </c>
      <c r="AU55" s="16" t="str">
        <f t="shared" si="20"/>
        <v>---</v>
      </c>
      <c r="AX55" s="14">
        <f>+[1]NOTICIAS!O27</f>
        <v>1.2054419750119219</v>
      </c>
      <c r="AY55" s="15">
        <f>+[1]NOTICIAS!P27</f>
        <v>5.1902525129091801</v>
      </c>
      <c r="AZ55" s="16">
        <f t="shared" si="21"/>
        <v>-76.774887695468564</v>
      </c>
      <c r="BA55" s="1"/>
      <c r="BD55" s="21" t="str">
        <f>+IF($B$3="esp","Margen EBITDA ","EBITDA Margin")</f>
        <v>EBITDA Margin</v>
      </c>
      <c r="BE55" s="1"/>
      <c r="BF55" s="27">
        <f>+'[1]MEDIA CAPITAL'!K38</f>
        <v>0.22530490584841906</v>
      </c>
      <c r="BG55" s="28">
        <f>+'[1]MEDIA CAPITAL'!L38</f>
        <v>0.22049650047610819</v>
      </c>
      <c r="BH55" s="29"/>
      <c r="BI55" s="22"/>
      <c r="BJ55" s="1"/>
      <c r="BK55" s="27">
        <f>+'[1]MEDIA CAPITAL'!O38</f>
        <v>0.29745654884447142</v>
      </c>
      <c r="BL55" s="28">
        <f>+'[1]MEDIA CAPITAL'!P38</f>
        <v>0.28175413918477615</v>
      </c>
      <c r="BM55" s="29"/>
    </row>
    <row r="56" spans="4:65" ht="15" customHeight="1" x14ac:dyDescent="0.2">
      <c r="D56" s="17" t="str">
        <f>+IF($B$3="esp","España","Spain")</f>
        <v>Spain</v>
      </c>
      <c r="F56" s="18">
        <f>+[1]GRUPO!K70</f>
        <v>232.14713506459643</v>
      </c>
      <c r="G56" s="19">
        <f>+[1]GRUPO!L70</f>
        <v>238.97785637891806</v>
      </c>
      <c r="H56" s="20">
        <f t="shared" si="16"/>
        <v>-2.8583072163351373</v>
      </c>
      <c r="K56" s="18">
        <f>+[1]GRUPO!O70</f>
        <v>119.98030476746149</v>
      </c>
      <c r="L56" s="19">
        <f>+[1]GRUPO!P70</f>
        <v>126.43785326979297</v>
      </c>
      <c r="M56" s="20">
        <f t="shared" si="17"/>
        <v>-5.1072905267952997</v>
      </c>
      <c r="Q56" s="17" t="str">
        <f>+IF($B$3="esp","España","Spain")</f>
        <v>Spain</v>
      </c>
      <c r="S56" s="18">
        <f>+[1]SANTILLANA!K70</f>
        <v>42.656001637915466</v>
      </c>
      <c r="T56" s="19">
        <f>+[1]SANTILLANA!L70</f>
        <v>44.941125826893355</v>
      </c>
      <c r="U56" s="20">
        <f t="shared" si="18"/>
        <v>-5.0847061503974178</v>
      </c>
      <c r="X56" s="18">
        <f>+[1]SANTILLANA!O70</f>
        <v>24.740154040981714</v>
      </c>
      <c r="Y56" s="19">
        <f>+[1]SANTILLANA!P70</f>
        <v>25.356941830510607</v>
      </c>
      <c r="Z56" s="20">
        <f t="shared" si="19"/>
        <v>-2.4324218340349932</v>
      </c>
      <c r="AD56" s="13" t="str">
        <f>+IF($B$3="esp","Ingresos de Explotación","Operating Revenues")</f>
        <v>Operating Revenues</v>
      </c>
      <c r="AE56" s="13"/>
      <c r="AF56" s="14">
        <f>+[1]RADIO!K56</f>
        <v>135.97658028720701</v>
      </c>
      <c r="AG56" s="15">
        <f>+[1]RADIO!L56</f>
        <v>136.76790469200699</v>
      </c>
      <c r="AH56" s="16">
        <f t="shared" ref="AH56:AH71" si="22">IF(AG56=0,"---",IF(OR(ABS((AF56-AG56)/ABS(AG56))&gt;2,(AF56*AG56)&lt;0),"---",IF(AG56="0","---",((AF56-AG56)/ABS(AG56))*100)))</f>
        <v>-0.57858925789789217</v>
      </c>
      <c r="AI56" s="13"/>
      <c r="AK56" s="14">
        <f>+[1]RADIO!O56</f>
        <v>77.144301663427811</v>
      </c>
      <c r="AL56" s="15">
        <f>+[1]RADIO!P56</f>
        <v>75.783237870044189</v>
      </c>
      <c r="AM56" s="16">
        <f t="shared" ref="AM56:AM71" si="23">IF(AL56=0,"---",IF(OR(ABS((AK56-AL56)/ABS(AL56))&gt;2,(AK56*AL56)&lt;0),"---",IF(AL56="0","---",((AK56-AL56)/ABS(AL56))*100)))</f>
        <v>1.7959958318455891</v>
      </c>
      <c r="AN56" s="13"/>
      <c r="AQ56" s="21" t="str">
        <f>+IF($B$3="esp","Margen EBITDA ","EBITDA Margin")</f>
        <v>EBITDA Margin</v>
      </c>
      <c r="AR56" s="22"/>
      <c r="AS56" s="27">
        <f>+[1]NOTICIAS!K28</f>
        <v>-7.4880526133637151E-3</v>
      </c>
      <c r="AT56" s="28">
        <f>+[1]NOTICIAS!L28</f>
        <v>3.3533085170876276E-2</v>
      </c>
      <c r="AU56" s="29"/>
      <c r="AX56" s="27">
        <f>+[1]NOTICIAS!O28</f>
        <v>2.2075075597276308E-2</v>
      </c>
      <c r="AY56" s="28">
        <f>+[1]NOTICIAS!P28</f>
        <v>8.8481737836175231E-2</v>
      </c>
      <c r="AZ56" s="29"/>
      <c r="BA56" s="13"/>
      <c r="BD56" s="13" t="str">
        <f>+IF($B$3="esp","EBIT","EBIT")</f>
        <v>EBIT</v>
      </c>
      <c r="BF56" s="14">
        <f>+'[1]MEDIA CAPITAL'!K39</f>
        <v>16.3987185016511</v>
      </c>
      <c r="BG56" s="15">
        <f>+'[1]MEDIA CAPITAL'!L39</f>
        <v>13.4931422405578</v>
      </c>
      <c r="BH56" s="16">
        <f>IF(BG56=0,"---",IF(OR(ABS((BF56-BG56)/ABS(BG56))&gt;2,(BF56*BG56)&lt;0),"---",IF(BG56="0","---",((BF56-BG56)/ABS(BG56))*100)))</f>
        <v>21.533725868239159</v>
      </c>
      <c r="BI56" s="13"/>
      <c r="BK56" s="14">
        <f>+'[1]MEDIA CAPITAL'!O39</f>
        <v>12.72655088018238</v>
      </c>
      <c r="BL56" s="15">
        <f>+'[1]MEDIA CAPITAL'!P39</f>
        <v>10.34370463010899</v>
      </c>
      <c r="BM56" s="16">
        <f>IF(BL56=0,"---",IF(OR(ABS((BK56-BL56)/ABS(BL56))&gt;2,(BK56*BL56)&lt;0),"---",IF(BL56="0","---",((BK56-BL56)/ABS(BL56))*100)))</f>
        <v>23.036681104923261</v>
      </c>
    </row>
    <row r="57" spans="4:65" ht="15" customHeight="1" x14ac:dyDescent="0.2">
      <c r="D57" s="17" t="str">
        <f>+IF($B$3="esp","Internacional","International")</f>
        <v>International</v>
      </c>
      <c r="F57" s="18">
        <f>+[1]GRUPO!K71</f>
        <v>282.37903600505359</v>
      </c>
      <c r="G57" s="19">
        <f>+[1]GRUPO!L71</f>
        <v>297.49715765043192</v>
      </c>
      <c r="H57" s="20">
        <f t="shared" si="16"/>
        <v>-5.0817701132938451</v>
      </c>
      <c r="K57" s="18">
        <f>+[1]GRUPO!O71</f>
        <v>134.02403268963423</v>
      </c>
      <c r="L57" s="19">
        <f>+[1]GRUPO!P71</f>
        <v>130.34742219840263</v>
      </c>
      <c r="M57" s="20">
        <f t="shared" si="17"/>
        <v>2.8206238598530988</v>
      </c>
      <c r="Q57" s="17" t="str">
        <f>+IF($B$3="esp","Internacional","International")</f>
        <v>International</v>
      </c>
      <c r="S57" s="18">
        <f>+[1]SANTILLANA!K71</f>
        <v>172.82338152782165</v>
      </c>
      <c r="T57" s="19">
        <f>+[1]SANTILLANA!L71</f>
        <v>191.18339927991644</v>
      </c>
      <c r="U57" s="20">
        <f t="shared" si="18"/>
        <v>-9.6033535449453051</v>
      </c>
      <c r="X57" s="18">
        <f>+[1]SANTILLANA!O71</f>
        <v>78.796248128980309</v>
      </c>
      <c r="Y57" s="19">
        <f>+[1]SANTILLANA!P71</f>
        <v>76.752779809194195</v>
      </c>
      <c r="Z57" s="20">
        <f t="shared" si="19"/>
        <v>2.6624030098533686</v>
      </c>
      <c r="AD57" s="17" t="str">
        <f>+IF($B$3="esp","Publicidad","Advertising")</f>
        <v>Advertising</v>
      </c>
      <c r="AF57" s="18">
        <f>+[1]RADIO!K57</f>
        <v>127.833654843917</v>
      </c>
      <c r="AG57" s="19">
        <f>+[1]RADIO!L57</f>
        <v>123.747505310508</v>
      </c>
      <c r="AH57" s="20">
        <f t="shared" si="22"/>
        <v>3.3020055823800312</v>
      </c>
      <c r="AK57" s="18">
        <f>+[1]RADIO!O57</f>
        <v>73.236106748222312</v>
      </c>
      <c r="AL57" s="19">
        <f>+[1]RADIO!P57</f>
        <v>68.232948094633002</v>
      </c>
      <c r="AM57" s="20">
        <f t="shared" si="23"/>
        <v>7.3324673684777268</v>
      </c>
      <c r="AQ57" s="13" t="str">
        <f>+IF($B$3="esp","EBIT","EBIT")</f>
        <v>EBIT</v>
      </c>
      <c r="AR57" s="13"/>
      <c r="AS57" s="14">
        <f>+[1]NOTICIAS!K29</f>
        <v>-3.8402095417194402</v>
      </c>
      <c r="AT57" s="15">
        <f>+[1]NOTICIAS!L29</f>
        <v>-0.95064987753644747</v>
      </c>
      <c r="AU57" s="16" t="str">
        <f>IF(AT57=0,"---",IF(OR(ABS((AS57-AT57)/ABS(AT57))&gt;2,(AS57*AT57)&lt;0),"---",IF(AT57="0","---",((AS57-AT57)/ABS(AT57))*100)))</f>
        <v>---</v>
      </c>
      <c r="AX57" s="14">
        <f>+[1]NOTICIAS!O29</f>
        <v>-0.39555559598933021</v>
      </c>
      <c r="AY57" s="15">
        <f>+[1]NOTICIAS!P29</f>
        <v>3.0145676986283427</v>
      </c>
      <c r="AZ57" s="16" t="str">
        <f>IF(AY57=0,"---",IF(OR(ABS((AX57-AY57)/ABS(AY57))&gt;2,(AX57*AY57)&lt;0),"---",IF(AY57="0","---",((AX57-AY57)/ABS(AY57))*100)))</f>
        <v>---</v>
      </c>
      <c r="BD57" s="21" t="str">
        <f>+IF($B$3="esp","Margen EBIT ","EBIT Margin")</f>
        <v>EBIT Margin</v>
      </c>
      <c r="BE57" s="22"/>
      <c r="BF57" s="27">
        <f>+'[1]MEDIA CAPITAL'!K40</f>
        <v>0.18876035448504569</v>
      </c>
      <c r="BG57" s="28">
        <f>+'[1]MEDIA CAPITAL'!L40</f>
        <v>0.17072717406708898</v>
      </c>
      <c r="BH57" s="29"/>
      <c r="BI57" s="22"/>
      <c r="BJ57" s="22"/>
      <c r="BK57" s="27">
        <f>+'[1]MEDIA CAPITAL'!O40</f>
        <v>0.26431667103732343</v>
      </c>
      <c r="BL57" s="28">
        <f>+'[1]MEDIA CAPITAL'!P40</f>
        <v>0.2353133005375026</v>
      </c>
      <c r="BM57" s="29"/>
    </row>
    <row r="58" spans="4:65" ht="15" customHeight="1" x14ac:dyDescent="0.2">
      <c r="D58" s="26" t="str">
        <f>D53</f>
        <v>Latam</v>
      </c>
      <c r="F58" s="18">
        <f>+[1]GRUPO!K72</f>
        <v>213.41189270670466</v>
      </c>
      <c r="G58" s="19">
        <f>+[1]GRUPO!L72</f>
        <v>234.77903849098976</v>
      </c>
      <c r="H58" s="20">
        <f t="shared" si="16"/>
        <v>-9.1009597456482982</v>
      </c>
      <c r="K58" s="18">
        <f>+[1]GRUPO!O72</f>
        <v>99.342549459816539</v>
      </c>
      <c r="L58" s="19">
        <f>+[1]GRUPO!P72</f>
        <v>98.045311638511691</v>
      </c>
      <c r="M58" s="20">
        <f t="shared" si="17"/>
        <v>1.3231003090567963</v>
      </c>
      <c r="Q58" s="26" t="str">
        <f>+IF($B$3="esp","Latam","Latam")</f>
        <v>Latam</v>
      </c>
      <c r="S58" s="18">
        <f>+[1]SANTILLANA!K72</f>
        <v>171.02512852782166</v>
      </c>
      <c r="T58" s="19">
        <f>+[1]SANTILLANA!L72</f>
        <v>189.5926392799164</v>
      </c>
      <c r="U58" s="20">
        <f t="shared" si="18"/>
        <v>-9.7933711048146126</v>
      </c>
      <c r="X58" s="18">
        <f>+[1]SANTILLANA!O72</f>
        <v>77.813024128980317</v>
      </c>
      <c r="Y58" s="19">
        <f>+[1]SANTILLANA!P72</f>
        <v>75.837467809194152</v>
      </c>
      <c r="Z58" s="20">
        <f t="shared" si="19"/>
        <v>2.6049871875424855</v>
      </c>
      <c r="AD58" s="42" t="str">
        <f>+IF($B$3="esp","España","Spain")</f>
        <v>Spain</v>
      </c>
      <c r="AE58" s="22"/>
      <c r="AF58" s="23">
        <f>+[1]RADIO!K58</f>
        <v>86.049423189999999</v>
      </c>
      <c r="AG58" s="24">
        <f>+[1]RADIO!L58</f>
        <v>83.150894660000006</v>
      </c>
      <c r="AH58" s="25">
        <f t="shared" si="22"/>
        <v>3.48586571660105</v>
      </c>
      <c r="AK58" s="23">
        <f>+[1]RADIO!O58</f>
        <v>49.673812570000003</v>
      </c>
      <c r="AL58" s="24">
        <f>+[1]RADIO!P58</f>
        <v>45.847423720000009</v>
      </c>
      <c r="AM58" s="25">
        <f t="shared" si="23"/>
        <v>8.3459190059807202</v>
      </c>
      <c r="AQ58" s="21" t="str">
        <f>+IF($B$3="esp","Margen EBIT ","EBIT Margin")</f>
        <v>EBIT Margin</v>
      </c>
      <c r="AR58" s="22"/>
      <c r="AS58" s="27">
        <f>+[1]NOTICIAS!K30</f>
        <v>-3.8303520473047324E-2</v>
      </c>
      <c r="AT58" s="28">
        <f>+[1]NOTICIAS!L30</f>
        <v>-8.7172466310872724E-3</v>
      </c>
      <c r="AU58" s="29"/>
      <c r="AX58" s="27">
        <f>+[1]NOTICIAS!O30</f>
        <v>-7.2437494839216882E-3</v>
      </c>
      <c r="AY58" s="28">
        <f>+[1]NOTICIAS!P30</f>
        <v>5.1391370291910592E-2</v>
      </c>
      <c r="AZ58" s="29"/>
      <c r="BD58" s="43"/>
      <c r="BE58" s="13"/>
      <c r="BF58" s="43"/>
      <c r="BG58" s="43"/>
      <c r="BH58" s="43"/>
      <c r="BJ58" s="13"/>
      <c r="BK58" s="43"/>
      <c r="BL58" s="43"/>
      <c r="BM58" s="43"/>
    </row>
    <row r="59" spans="4:65" ht="15" customHeight="1" x14ac:dyDescent="0.2">
      <c r="D59" s="26" t="str">
        <f>D54</f>
        <v>Portugal</v>
      </c>
      <c r="F59" s="18">
        <f>+[1]GRUPO!K73</f>
        <v>68.967143298348915</v>
      </c>
      <c r="G59" s="19">
        <f>+[1]GRUPO!L73</f>
        <v>62.718119159442196</v>
      </c>
      <c r="H59" s="20">
        <f t="shared" si="16"/>
        <v>9.9636663577560913</v>
      </c>
      <c r="K59" s="18">
        <f>+[1]GRUPO!O73</f>
        <v>34.68148322981763</v>
      </c>
      <c r="L59" s="19">
        <f>+[1]GRUPO!P73</f>
        <v>32.30211055989102</v>
      </c>
      <c r="M59" s="20">
        <f t="shared" si="17"/>
        <v>7.3659975422195378</v>
      </c>
      <c r="Q59" s="26" t="str">
        <f>+IF($B$3="esp","Portugal","Portugal")</f>
        <v>Portugal</v>
      </c>
      <c r="S59" s="18">
        <f>+[1]SANTILLANA!K73</f>
        <v>1.7982530000000001</v>
      </c>
      <c r="T59" s="19">
        <f>+[1]SANTILLANA!L73</f>
        <v>1.5907600000000002</v>
      </c>
      <c r="U59" s="20">
        <f t="shared" si="18"/>
        <v>13.043639518217701</v>
      </c>
      <c r="X59" s="18">
        <f>+[1]SANTILLANA!O73</f>
        <v>0.98322399999999999</v>
      </c>
      <c r="Y59" s="19">
        <f>+[1]SANTILLANA!P73</f>
        <v>0.91531200000000013</v>
      </c>
      <c r="Z59" s="20">
        <f t="shared" si="19"/>
        <v>7.4195465589875207</v>
      </c>
      <c r="AD59" s="42" t="str">
        <f>+IF($B$3="esp","Latam","Latam")</f>
        <v>Latam</v>
      </c>
      <c r="AE59" s="22"/>
      <c r="AF59" s="23">
        <f>+[1]RADIO!K59</f>
        <v>41.902090466366602</v>
      </c>
      <c r="AG59" s="24">
        <f>+[1]RADIO!L59</f>
        <v>40.618967074867804</v>
      </c>
      <c r="AH59" s="25">
        <f t="shared" si="22"/>
        <v>3.1589266884452738</v>
      </c>
      <c r="AK59" s="23">
        <f>+[1]RADIO!O59</f>
        <v>23.645575246632202</v>
      </c>
      <c r="AL59" s="24">
        <f>+[1]RADIO!P59</f>
        <v>22.405761054632602</v>
      </c>
      <c r="AM59" s="25">
        <f t="shared" si="23"/>
        <v>5.5334616350523653</v>
      </c>
    </row>
    <row r="60" spans="4:65" s="13" customFormat="1" ht="15" customHeight="1" x14ac:dyDescent="0.2">
      <c r="D60" s="13" t="str">
        <f>+IF($B$3="esp","EBITDA","EBITDA")</f>
        <v>EBITDA</v>
      </c>
      <c r="F60" s="14">
        <f>+[1]GRUPO!K74</f>
        <v>114.557652845036</v>
      </c>
      <c r="G60" s="15">
        <f>+[1]GRUPO!L74</f>
        <v>118.54934649393701</v>
      </c>
      <c r="H60" s="16">
        <f t="shared" si="16"/>
        <v>-3.3671156922869696</v>
      </c>
      <c r="K60" s="14">
        <f>+[1]GRUPO!O74</f>
        <v>54.079361341714304</v>
      </c>
      <c r="L60" s="15">
        <f>+[1]GRUPO!P74</f>
        <v>35.718438639792396</v>
      </c>
      <c r="M60" s="16">
        <f t="shared" si="17"/>
        <v>51.404606139381428</v>
      </c>
      <c r="Q60" s="13" t="str">
        <f>+IF($B$3="esp","EBITDA","EBITDA")</f>
        <v>EBITDA</v>
      </c>
      <c r="S60" s="14">
        <f>+[1]SANTILLANA!K74</f>
        <v>85.855805838642908</v>
      </c>
      <c r="T60" s="15">
        <f>+[1]SANTILLANA!L74</f>
        <v>91.89695832286921</v>
      </c>
      <c r="U60" s="16">
        <f t="shared" si="18"/>
        <v>-6.5738329042419661</v>
      </c>
      <c r="X60" s="14">
        <f>+[1]SANTILLANA!O74</f>
        <v>24.05086959129401</v>
      </c>
      <c r="Y60" s="15">
        <f>+[1]SANTILLANA!P74</f>
        <v>10.310987541293201</v>
      </c>
      <c r="Z60" s="16">
        <f t="shared" si="19"/>
        <v>133.25476337718044</v>
      </c>
      <c r="AD60" s="42" t="str">
        <f>+IF($B$3="esp","Otros","Others")</f>
        <v>Others</v>
      </c>
      <c r="AE60" s="22"/>
      <c r="AF60" s="23">
        <f>+[1]RADIO!K60</f>
        <v>-0.11785881244959739</v>
      </c>
      <c r="AG60" s="24">
        <f>+[1]RADIO!L60</f>
        <v>-2.2356424359806226E-2</v>
      </c>
      <c r="AH60" s="25" t="str">
        <f t="shared" si="22"/>
        <v>---</v>
      </c>
      <c r="AI60" s="1"/>
      <c r="AK60" s="23">
        <f>+[1]RADIO!O60</f>
        <v>-8.3281068409899461E-2</v>
      </c>
      <c r="AL60" s="24">
        <f>+[1]RADIO!P60</f>
        <v>-2.0236679999609208E-2</v>
      </c>
      <c r="AM60" s="25" t="str">
        <f t="shared" si="23"/>
        <v>---</v>
      </c>
      <c r="AN60" s="1"/>
      <c r="AQ60" s="1"/>
      <c r="AR60" s="1"/>
      <c r="AS60" s="1"/>
      <c r="AT60" s="1"/>
      <c r="AU60" s="1"/>
      <c r="AX60" s="1"/>
      <c r="AY60" s="1"/>
      <c r="AZ60" s="1"/>
      <c r="BA60" s="1"/>
    </row>
    <row r="61" spans="4:65" ht="15" customHeight="1" x14ac:dyDescent="0.2">
      <c r="D61" s="17" t="str">
        <f>+IF($B$3="esp","España","Spain")</f>
        <v>Spain</v>
      </c>
      <c r="F61" s="18">
        <f>+[1]GRUPO!K75</f>
        <v>-2.4609467000000733</v>
      </c>
      <c r="G61" s="19">
        <f>+[1]GRUPO!L75</f>
        <v>5.9315603999992597</v>
      </c>
      <c r="H61" s="20" t="str">
        <f t="shared" si="16"/>
        <v>---</v>
      </c>
      <c r="K61" s="18">
        <f>+[1]GRUPO!O75</f>
        <v>20.69268678000018</v>
      </c>
      <c r="L61" s="19">
        <f>+[1]GRUPO!P75</f>
        <v>25.23326029999982</v>
      </c>
      <c r="M61" s="20">
        <f t="shared" si="17"/>
        <v>-17.994398924342221</v>
      </c>
      <c r="Q61" s="17" t="str">
        <f>+IF($B$3="esp","España","Spain")</f>
        <v>Spain</v>
      </c>
      <c r="S61" s="18">
        <f>+[1]SANTILLANA!K75</f>
        <v>-5.3548871600000041</v>
      </c>
      <c r="T61" s="19">
        <f>+[1]SANTILLANA!L75</f>
        <v>1.6017105599990629</v>
      </c>
      <c r="U61" s="20" t="str">
        <f t="shared" si="18"/>
        <v>---</v>
      </c>
      <c r="X61" s="18">
        <f>+[1]SANTILLANA!O75</f>
        <v>10.492083289999776</v>
      </c>
      <c r="Y61" s="19">
        <f>+[1]SANTILLANA!P75</f>
        <v>17.497796369998923</v>
      </c>
      <c r="Z61" s="20">
        <f t="shared" si="19"/>
        <v>-40.037687785708172</v>
      </c>
      <c r="AD61" s="17" t="str">
        <f>+IF($B$3="esp","Otros","Others")</f>
        <v>Others</v>
      </c>
      <c r="AF61" s="18">
        <f>+[1]RADIO!K61</f>
        <v>8.1429254432900109</v>
      </c>
      <c r="AG61" s="19">
        <f>+[1]RADIO!L61</f>
        <v>13.02039938149899</v>
      </c>
      <c r="AH61" s="20">
        <f t="shared" si="22"/>
        <v>-37.460248301903114</v>
      </c>
      <c r="AI61" s="13"/>
      <c r="AK61" s="18">
        <f>+[1]RADIO!O61</f>
        <v>3.908194915205506</v>
      </c>
      <c r="AL61" s="19">
        <f>+[1]RADIO!P61</f>
        <v>7.5502897754111942</v>
      </c>
      <c r="AM61" s="20">
        <f t="shared" si="23"/>
        <v>-48.237815614266765</v>
      </c>
      <c r="AN61" s="13"/>
      <c r="BA61" s="13"/>
    </row>
    <row r="62" spans="4:65" ht="15" customHeight="1" x14ac:dyDescent="0.2">
      <c r="D62" s="17" t="str">
        <f>+IF($B$3="esp","Internacional","International")</f>
        <v>International</v>
      </c>
      <c r="F62" s="18">
        <f>+[1]GRUPO!K76</f>
        <v>117.01859954503608</v>
      </c>
      <c r="G62" s="19">
        <f>+[1]GRUPO!L76</f>
        <v>112.61778609393774</v>
      </c>
      <c r="H62" s="20">
        <f t="shared" si="16"/>
        <v>3.9077428208609066</v>
      </c>
      <c r="K62" s="18">
        <f>+[1]GRUPO!O76</f>
        <v>33.386674561714131</v>
      </c>
      <c r="L62" s="19">
        <f>+[1]GRUPO!P76</f>
        <v>10.485178339792569</v>
      </c>
      <c r="M62" s="20" t="str">
        <f t="shared" si="17"/>
        <v>---</v>
      </c>
      <c r="Q62" s="17" t="str">
        <f>+IF($B$3="esp","Internacional","International")</f>
        <v>International</v>
      </c>
      <c r="S62" s="18">
        <f>+[1]SANTILLANA!K76</f>
        <v>91.210692998642912</v>
      </c>
      <c r="T62" s="19">
        <f>+[1]SANTILLANA!L76</f>
        <v>90.295247762870147</v>
      </c>
      <c r="U62" s="20">
        <f t="shared" si="18"/>
        <v>1.0138354547482626</v>
      </c>
      <c r="X62" s="18">
        <f>+[1]SANTILLANA!O76</f>
        <v>13.558786301294234</v>
      </c>
      <c r="Y62" s="19">
        <f>+[1]SANTILLANA!P76</f>
        <v>-7.1868088287057219</v>
      </c>
      <c r="Z62" s="20" t="str">
        <f t="shared" si="19"/>
        <v>---</v>
      </c>
      <c r="AD62" s="13" t="str">
        <f>+IF($B$3="esp","Gastos de Explotación","Operating Expenses")</f>
        <v>Operating Expenses</v>
      </c>
      <c r="AE62" s="13"/>
      <c r="AF62" s="14">
        <f>+[1]RADIO!K62</f>
        <v>114.28203426140021</v>
      </c>
      <c r="AG62" s="15">
        <f>+[1]RADIO!L62</f>
        <v>118.4406511321408</v>
      </c>
      <c r="AH62" s="16">
        <f t="shared" si="22"/>
        <v>-3.5111398248739274</v>
      </c>
      <c r="AK62" s="14">
        <f>+[1]RADIO!O62</f>
        <v>58.203965033180637</v>
      </c>
      <c r="AL62" s="15">
        <f>+[1]RADIO!P62</f>
        <v>60.34492364262973</v>
      </c>
      <c r="AM62" s="16">
        <f t="shared" si="23"/>
        <v>-3.5478686196176517</v>
      </c>
    </row>
    <row r="63" spans="4:65" ht="15" customHeight="1" x14ac:dyDescent="0.2">
      <c r="D63" s="26" t="str">
        <f>D58</f>
        <v>Latam</v>
      </c>
      <c r="F63" s="18">
        <f>+[1]GRUPO!K77</f>
        <v>99.48597269338498</v>
      </c>
      <c r="G63" s="19">
        <f>+[1]GRUPO!L77</f>
        <v>96.736401993379943</v>
      </c>
      <c r="H63" s="20">
        <f t="shared" si="16"/>
        <v>2.8423330239150317</v>
      </c>
      <c r="K63" s="18">
        <f>+[1]GRUPO!O77</f>
        <v>20.024778621531752</v>
      </c>
      <c r="L63" s="19">
        <f>+[1]GRUPO!P77</f>
        <v>-0.91681610031639593</v>
      </c>
      <c r="M63" s="20" t="str">
        <f t="shared" si="17"/>
        <v>---</v>
      </c>
      <c r="Q63" s="26" t="str">
        <f>+IF($B$3="esp","Latam","Latam")</f>
        <v>Latam</v>
      </c>
      <c r="S63" s="18">
        <f>+[1]SANTILLANA!K77</f>
        <v>92.979137998642912</v>
      </c>
      <c r="T63" s="19">
        <f>+[1]SANTILLANA!L77</f>
        <v>91.817929762870151</v>
      </c>
      <c r="U63" s="20">
        <f t="shared" si="18"/>
        <v>1.2646857087408843</v>
      </c>
      <c r="X63" s="18">
        <f>+[1]SANTILLANA!O77</f>
        <v>14.541608301294232</v>
      </c>
      <c r="Y63" s="19">
        <f>+[1]SANTILLANA!P77</f>
        <v>-6.2930268287057203</v>
      </c>
      <c r="Z63" s="20" t="str">
        <f t="shared" si="19"/>
        <v>---</v>
      </c>
      <c r="AD63" s="17" t="str">
        <f>+IF($B$3="esp","España","Spain")</f>
        <v>Spain</v>
      </c>
      <c r="AF63" s="18">
        <f>+[1]RADIO!K63</f>
        <v>80.544314780000008</v>
      </c>
      <c r="AG63" s="19">
        <f>+[1]RADIO!L63</f>
        <v>79.722614610000107</v>
      </c>
      <c r="AH63" s="20">
        <f t="shared" si="22"/>
        <v>1.0306989729572029</v>
      </c>
      <c r="AK63" s="18">
        <f>+[1]RADIO!O63</f>
        <v>40.850445839999942</v>
      </c>
      <c r="AL63" s="19">
        <f>+[1]RADIO!P63</f>
        <v>40.998377220000151</v>
      </c>
      <c r="AM63" s="20">
        <f t="shared" si="23"/>
        <v>-0.3608225252584969</v>
      </c>
    </row>
    <row r="64" spans="4:65" ht="15" customHeight="1" x14ac:dyDescent="0.2">
      <c r="D64" s="26" t="str">
        <f>D59</f>
        <v>Portugal</v>
      </c>
      <c r="F64" s="18">
        <f>+[1]GRUPO!K78</f>
        <v>17.532626851651102</v>
      </c>
      <c r="G64" s="19">
        <f>+[1]GRUPO!L78</f>
        <v>15.881384100557797</v>
      </c>
      <c r="H64" s="20">
        <f t="shared" si="16"/>
        <v>10.397347867402242</v>
      </c>
      <c r="K64" s="18">
        <f>+[1]GRUPO!O78</f>
        <v>13.361895940182382</v>
      </c>
      <c r="L64" s="19">
        <f>+[1]GRUPO!P78</f>
        <v>11.401994440108977</v>
      </c>
      <c r="M64" s="20">
        <f t="shared" si="17"/>
        <v>17.189111171454606</v>
      </c>
      <c r="Q64" s="26" t="str">
        <f>+IF($B$3="esp","Portugal","Portugal")</f>
        <v>Portugal</v>
      </c>
      <c r="S64" s="18">
        <f>+[1]SANTILLANA!K78</f>
        <v>-1.768445</v>
      </c>
      <c r="T64" s="19">
        <f>+[1]SANTILLANA!L78</f>
        <v>-1.5226820000000001</v>
      </c>
      <c r="U64" s="20">
        <f t="shared" si="18"/>
        <v>-16.14013956952272</v>
      </c>
      <c r="X64" s="18">
        <f>+[1]SANTILLANA!O78</f>
        <v>-0.98282199999999997</v>
      </c>
      <c r="Y64" s="19">
        <f>+[1]SANTILLANA!P78</f>
        <v>-0.89378200000000008</v>
      </c>
      <c r="Z64" s="20">
        <f t="shared" si="19"/>
        <v>-9.9621607953617204</v>
      </c>
      <c r="AD64" s="17" t="str">
        <f>+IF($B$3="esp","Latam","Latam")</f>
        <v>Latam</v>
      </c>
      <c r="AF64" s="18">
        <f>+[1]RADIO!K64</f>
        <v>34.85836774581341</v>
      </c>
      <c r="AG64" s="19">
        <f>+[1]RADIO!L64</f>
        <v>37.639896705413584</v>
      </c>
      <c r="AH64" s="20">
        <f t="shared" si="22"/>
        <v>-7.3898421703163661</v>
      </c>
      <c r="AK64" s="18">
        <f>+[1]RADIO!O64</f>
        <v>18.226892825077606</v>
      </c>
      <c r="AL64" s="19">
        <f>+[1]RADIO!P64</f>
        <v>18.267420971749125</v>
      </c>
      <c r="AM64" s="20">
        <f t="shared" si="23"/>
        <v>-0.22186025457122249</v>
      </c>
    </row>
    <row r="65" spans="4:53" s="22" customFormat="1" ht="15" customHeight="1" x14ac:dyDescent="0.2">
      <c r="D65" s="21" t="str">
        <f>+IF($B$3="esp","Margen EBITDA ","EBITDA Margin")</f>
        <v>EBITDA Margin</v>
      </c>
      <c r="F65" s="27">
        <f>+[1]GRUPO!K79</f>
        <v>0.1821023661555346</v>
      </c>
      <c r="G65" s="28">
        <f>+[1]GRUPO!L79</f>
        <v>0.18098463757779956</v>
      </c>
      <c r="H65" s="29"/>
      <c r="K65" s="27">
        <f>+[1]GRUPO!O79</f>
        <v>0.17553464059463306</v>
      </c>
      <c r="L65" s="28">
        <f>+[1]GRUPO!P79</f>
        <v>0.12211276957189569</v>
      </c>
      <c r="M65" s="29"/>
      <c r="Q65" s="21" t="str">
        <f>+IF($B$3="esp","Margen EBITDA ","EBITDA Margin")</f>
        <v>EBITDA Margin</v>
      </c>
      <c r="S65" s="27">
        <f>+[1]SANTILLANA!K79</f>
        <v>0.28491795505965606</v>
      </c>
      <c r="T65" s="28">
        <f>+[1]SANTILLANA!L79</f>
        <v>0.28015530373811631</v>
      </c>
      <c r="U65" s="29"/>
      <c r="X65" s="27">
        <f>+[1]SANTILLANA!O79</f>
        <v>0.18850524240614297</v>
      </c>
      <c r="Y65" s="28">
        <f>+[1]SANTILLANA!P79</f>
        <v>9.1717866008943702E-2</v>
      </c>
      <c r="Z65" s="29"/>
      <c r="AD65" s="17" t="str">
        <f>+IF($B$3="esp","Música","Music")</f>
        <v>Music</v>
      </c>
      <c r="AE65" s="1"/>
      <c r="AF65" s="18">
        <f>+[1]RADIO!K65</f>
        <v>2.8471790302034523</v>
      </c>
      <c r="AG65" s="19">
        <f>+[1]RADIO!L65</f>
        <v>5.5363137932023792</v>
      </c>
      <c r="AH65" s="20">
        <f t="shared" si="22"/>
        <v>-48.572657971459492</v>
      </c>
      <c r="AI65" s="1"/>
      <c r="AK65" s="18">
        <f>+[1]RADIO!O65</f>
        <v>1.2289761142121813</v>
      </c>
      <c r="AL65" s="19">
        <f>+[1]RADIO!P65</f>
        <v>3.5195709854748509</v>
      </c>
      <c r="AM65" s="20">
        <f t="shared" si="23"/>
        <v>-65.081650028252767</v>
      </c>
      <c r="AN65" s="1"/>
      <c r="BA65" s="1"/>
    </row>
    <row r="66" spans="4:53" s="13" customFormat="1" ht="15" customHeight="1" x14ac:dyDescent="0.2">
      <c r="D66" s="13" t="str">
        <f>+IF($B$3="esp","EBIT","EBIT")</f>
        <v>EBIT</v>
      </c>
      <c r="F66" s="14">
        <f>+[1]GRUPO!K80</f>
        <v>80.507991685650524</v>
      </c>
      <c r="G66" s="15">
        <f>+[1]GRUPO!L80</f>
        <v>79.86789199897882</v>
      </c>
      <c r="H66" s="16">
        <f>IF(G66=0,"---",IF(OR(ABS((F66-G66)/ABS(G66))&gt;2,(F66*G66)&lt;0),"---",IF(G66="0","---",((F66-G66)/ABS(G66))*100)))</f>
        <v>0.80144807963616704</v>
      </c>
      <c r="K66" s="14">
        <f>+[1]GRUPO!O80</f>
        <v>35.102339752278823</v>
      </c>
      <c r="L66" s="15">
        <f>+[1]GRUPO!P80</f>
        <v>17.930958058254497</v>
      </c>
      <c r="M66" s="16">
        <f>IF(L66=0,"---",IF(OR(ABS((K66-L66)/ABS(L66))&gt;2,(K66*L66)&lt;0),"---",IF(L66="0","---",((K66-L66)/ABS(L66))*100)))</f>
        <v>95.76388299073345</v>
      </c>
      <c r="Q66" s="13" t="str">
        <f>+IF($B$3="esp","EBIT","EBIT")</f>
        <v>EBIT</v>
      </c>
      <c r="S66" s="14">
        <f>+[1]SANTILLANA!K80</f>
        <v>63.755181769096403</v>
      </c>
      <c r="T66" s="15">
        <f>+[1]SANTILLANA!L80</f>
        <v>68.482942476266004</v>
      </c>
      <c r="U66" s="16">
        <f>IF(T66=0,"---",IF(OR(ABS((S66-T66)/ABS(T66))&gt;2,(S66*T66)&lt;0),"---",IF(T66="0","---",((S66-T66)/ABS(T66))*100)))</f>
        <v>-6.9035595379215664</v>
      </c>
      <c r="X66" s="14">
        <f>+[1]SANTILLANA!O80</f>
        <v>11.482696731794398</v>
      </c>
      <c r="Y66" s="15">
        <f>+[1]SANTILLANA!P80</f>
        <v>-0.81843548850069681</v>
      </c>
      <c r="Z66" s="16" t="str">
        <f>IF(Y66=0,"---",IF(OR(ABS((X66-Y66)/ABS(Y66))&gt;2,(X66*Y66)&lt;0),"---",IF(Y66="0","---",((X66-Y66)/ABS(Y66))*100)))</f>
        <v>---</v>
      </c>
      <c r="AD66" s="17" t="str">
        <f>+IF($B$3="esp","Ajustes y Otros","Adjustments &amp; others")</f>
        <v>Adjustments &amp; others</v>
      </c>
      <c r="AE66" s="1"/>
      <c r="AF66" s="18">
        <f>+[1]RADIO!K66</f>
        <v>-3.9678272946166575</v>
      </c>
      <c r="AG66" s="19">
        <f>+[1]RADIO!L66</f>
        <v>-4.4581739764752699</v>
      </c>
      <c r="AH66" s="20">
        <f t="shared" si="22"/>
        <v>10.998823384777173</v>
      </c>
      <c r="AK66" s="18">
        <f>+[1]RADIO!O66</f>
        <v>-2.1023497461090921</v>
      </c>
      <c r="AL66" s="19">
        <f>+[1]RADIO!P66</f>
        <v>-2.4404455345943967</v>
      </c>
      <c r="AM66" s="20">
        <f t="shared" si="23"/>
        <v>13.853855113447402</v>
      </c>
    </row>
    <row r="67" spans="4:53" ht="15" customHeight="1" x14ac:dyDescent="0.2">
      <c r="D67" s="17" t="str">
        <f>+IF($B$3="esp","España","Spain")</f>
        <v>Spain</v>
      </c>
      <c r="F67" s="18">
        <f>+[1]GRUPO!K81</f>
        <v>-10.984602649999696</v>
      </c>
      <c r="G67" s="19">
        <f>+[1]GRUPO!L81</f>
        <v>-4.1566002286838488</v>
      </c>
      <c r="H67" s="20">
        <f>IF(G67=0,"---",IF(OR(ABS((F67-G67)/ABS(G67))&gt;2,(F67*G67)&lt;0),"---",IF(G67="0","---",((F67-G67)/ABS(G67))*100)))</f>
        <v>-164.26892281334148</v>
      </c>
      <c r="K67" s="18">
        <f>+[1]GRUPO!O81</f>
        <v>15.858183140000547</v>
      </c>
      <c r="L67" s="19">
        <f>+[1]GRUPO!P81</f>
        <v>20.591590909999894</v>
      </c>
      <c r="M67" s="20">
        <f>IF(L67=0,"---",IF(OR(ABS((K67-L67)/ABS(L67))&gt;2,(K67*L67)&lt;0),"---",IF(L67="0","---",((K67-L67)/ABS(L67))*100)))</f>
        <v>-22.987091141659498</v>
      </c>
      <c r="Q67" s="17" t="str">
        <f>+IF($B$3="esp","España","Spain")</f>
        <v>Spain</v>
      </c>
      <c r="S67" s="18">
        <f>+[1]SANTILLANA!K81</f>
        <v>-7.2354852700001615</v>
      </c>
      <c r="T67" s="19">
        <f>+[1]SANTILLANA!L81</f>
        <v>0.15957202999891251</v>
      </c>
      <c r="U67" s="20" t="str">
        <f>IF(T67=0,"---",IF(OR(ABS((S67-T67)/ABS(T67))&gt;2,(S67*T67)&lt;0),"---",IF(T67="0","---",((S67-T67)/ABS(T67))*100)))</f>
        <v>---</v>
      </c>
      <c r="X67" s="18">
        <f>+[1]SANTILLANA!O81</f>
        <v>9.2193009699995017</v>
      </c>
      <c r="Y67" s="19">
        <f>+[1]SANTILLANA!P81</f>
        <v>16.780393569998878</v>
      </c>
      <c r="Z67" s="20">
        <f>IF(Y67=0,"---",IF(OR(ABS((X67-Y67)/ABS(Y67))&gt;2,(X67*Y67)&lt;0),"---",IF(Y67="0","---",((X67-Y67)/ABS(Y67))*100)))</f>
        <v>-45.059089755305912</v>
      </c>
      <c r="AD67" s="13" t="str">
        <f>+IF($B$3="esp","EBITDA","EBITDA")</f>
        <v>EBITDA</v>
      </c>
      <c r="AE67" s="13"/>
      <c r="AF67" s="14">
        <f>+[1]RADIO!K67</f>
        <v>21.694546025806801</v>
      </c>
      <c r="AG67" s="15">
        <f>+[1]RADIO!L67</f>
        <v>18.3272535598662</v>
      </c>
      <c r="AH67" s="16">
        <f t="shared" si="22"/>
        <v>18.373142789459962</v>
      </c>
      <c r="AK67" s="14">
        <f>+[1]RADIO!O67</f>
        <v>18.94033663024717</v>
      </c>
      <c r="AL67" s="15">
        <f>+[1]RADIO!P67</f>
        <v>15.43831422741447</v>
      </c>
      <c r="AM67" s="16">
        <f t="shared" si="23"/>
        <v>22.683968931102665</v>
      </c>
    </row>
    <row r="68" spans="4:53" ht="15" customHeight="1" x14ac:dyDescent="0.2">
      <c r="D68" s="17" t="str">
        <f>+IF($B$3="esp","Internacional","International")</f>
        <v>International</v>
      </c>
      <c r="F68" s="18">
        <f>+[1]GRUPO!K82</f>
        <v>91.492594335650224</v>
      </c>
      <c r="G68" s="19">
        <f>+[1]GRUPO!L82</f>
        <v>84.024492227662677</v>
      </c>
      <c r="H68" s="20">
        <f>IF(G68=0,"---",IF(OR(ABS((F68-G68)/ABS(G68))&gt;2,(F68*G68)&lt;0),"---",IF(G68="0","---",((F68-G68)/ABS(G68))*100)))</f>
        <v>8.8880062348402831</v>
      </c>
      <c r="K68" s="18">
        <f>+[1]GRUPO!O82</f>
        <v>19.244156612278289</v>
      </c>
      <c r="L68" s="19">
        <f>+[1]GRUPO!P82</f>
        <v>-2.6606328517453903</v>
      </c>
      <c r="M68" s="20" t="str">
        <f>IF(L68=0,"---",IF(OR(ABS((K68-L68)/ABS(L68))&gt;2,(K68*L68)&lt;0),"---",IF(L68="0","---",((K68-L68)/ABS(L68))*100)))</f>
        <v>---</v>
      </c>
      <c r="Q68" s="17" t="str">
        <f>+IF($B$3="esp","Internacional","International")</f>
        <v>International</v>
      </c>
      <c r="S68" s="18">
        <f>+[1]SANTILLANA!K82</f>
        <v>70.990667039096564</v>
      </c>
      <c r="T68" s="19">
        <f>+[1]SANTILLANA!L82</f>
        <v>68.323370446267091</v>
      </c>
      <c r="U68" s="20">
        <f>IF(T68=0,"---",IF(OR(ABS((S68-T68)/ABS(T68))&gt;2,(S68*T68)&lt;0),"---",IF(T68="0","---",((S68-T68)/ABS(T68))*100)))</f>
        <v>3.9039300541052322</v>
      </c>
      <c r="X68" s="18">
        <f>+[1]SANTILLANA!O82</f>
        <v>2.2633957617948965</v>
      </c>
      <c r="Y68" s="19">
        <f>+[1]SANTILLANA!P82</f>
        <v>-17.598829058499575</v>
      </c>
      <c r="Z68" s="20" t="str">
        <f>IF(Y68=0,"---",IF(OR(ABS((X68-Y68)/ABS(Y68))&gt;2,(X68*Y68)&lt;0),"---",IF(Y68="0","---",((X68-Y68)/ABS(Y68))*100)))</f>
        <v>---</v>
      </c>
      <c r="AD68" s="17" t="str">
        <f>+IF($B$3="esp","España","Spain")</f>
        <v>Spain</v>
      </c>
      <c r="AF68" s="18">
        <f>+[1]RADIO!K68</f>
        <v>13.071218399999998</v>
      </c>
      <c r="AG68" s="19">
        <f>+[1]RADIO!L68</f>
        <v>12.0597175799999</v>
      </c>
      <c r="AH68" s="20">
        <f t="shared" si="22"/>
        <v>8.387433729605684</v>
      </c>
      <c r="AK68" s="18">
        <f>+[1]RADIO!O68</f>
        <v>12.821650090000057</v>
      </c>
      <c r="AL68" s="19">
        <f>+[1]RADIO!P68</f>
        <v>9.1095588599998596</v>
      </c>
      <c r="AM68" s="20">
        <f t="shared" si="23"/>
        <v>40.749407156256687</v>
      </c>
    </row>
    <row r="69" spans="4:53" ht="15" customHeight="1" x14ac:dyDescent="0.2">
      <c r="D69" s="26" t="str">
        <f>D63</f>
        <v>Latam</v>
      </c>
      <c r="F69" s="18">
        <f>+[1]GRUPO!K83</f>
        <v>77.125835593999128</v>
      </c>
      <c r="G69" s="19">
        <f>+[1]GRUPO!L83</f>
        <v>71.349318147104867</v>
      </c>
      <c r="H69" s="20">
        <f>IF(G69=0,"---",IF(OR(ABS((F69-G69)/ABS(G69))&gt;2,(F69*G69)&lt;0),"---",IF(G69="0","---",((F69-G69)/ABS(G69))*100)))</f>
        <v>8.0961074287836823</v>
      </c>
      <c r="K69" s="18">
        <f>+[1]GRUPO!O83</f>
        <v>7.4745325620959022</v>
      </c>
      <c r="L69" s="19">
        <f>+[1]GRUPO!P83</f>
        <v>-12.392323241854385</v>
      </c>
      <c r="M69" s="20" t="str">
        <f>IF(L69=0,"---",IF(OR(ABS((K69-L69)/ABS(L69))&gt;2,(K69*L69)&lt;0),"---",IF(L69="0","---",((K69-L69)/ABS(L69))*100)))</f>
        <v>---</v>
      </c>
      <c r="Q69" s="26" t="str">
        <f>+IF($B$3="esp","Latam","Latam")</f>
        <v>Latam</v>
      </c>
      <c r="S69" s="18">
        <f>+[1]SANTILLANA!K83</f>
        <v>72.761014039096565</v>
      </c>
      <c r="T69" s="19">
        <f>+[1]SANTILLANA!L83</f>
        <v>69.850785446267096</v>
      </c>
      <c r="U69" s="20">
        <f>IF(T69=0,"---",IF(OR(ABS((S69-T69)/ABS(T69))&gt;2,(S69*T69)&lt;0),"---",IF(T69="0","---",((S69-T69)/ABS(T69))*100)))</f>
        <v>4.1663505631846762</v>
      </c>
      <c r="X69" s="18">
        <f>+[1]SANTILLANA!O83</f>
        <v>3.2471627617948968</v>
      </c>
      <c r="Y69" s="19">
        <f>+[1]SANTILLANA!P83</f>
        <v>-16.702523058499565</v>
      </c>
      <c r="Z69" s="20" t="str">
        <f>IF(Y69=0,"---",IF(OR(ABS((X69-Y69)/ABS(Y69))&gt;2,(X69*Y69)&lt;0),"---",IF(Y69="0","---",((X69-Y69)/ABS(Y69))*100)))</f>
        <v>---</v>
      </c>
      <c r="AD69" s="17" t="str">
        <f>+IF($B$3="esp","Latam","Latam")</f>
        <v>Latam</v>
      </c>
      <c r="AF69" s="18">
        <f>+[1]RADIO!K69</f>
        <v>8.9915417027142901</v>
      </c>
      <c r="AG69" s="19">
        <f>+[1]RADIO!L69</f>
        <v>7.0699744915293108</v>
      </c>
      <c r="AH69" s="20">
        <f t="shared" si="22"/>
        <v>27.179266537485397</v>
      </c>
      <c r="AK69" s="18">
        <f>+[1]RADIO!O69</f>
        <v>6.2170022701728902</v>
      </c>
      <c r="AL69" s="19">
        <f>+[1]RADIO!P69</f>
        <v>6.4627989380204687</v>
      </c>
      <c r="AM69" s="20">
        <f t="shared" si="23"/>
        <v>-3.8032541350089577</v>
      </c>
    </row>
    <row r="70" spans="4:53" ht="15" customHeight="1" x14ac:dyDescent="0.2">
      <c r="D70" s="26" t="str">
        <f>D64</f>
        <v>Portugal</v>
      </c>
      <c r="F70" s="18">
        <f>+[1]GRUPO!K84</f>
        <v>14.3667587416511</v>
      </c>
      <c r="G70" s="19">
        <f>+[1]GRUPO!L84</f>
        <v>12.675174080557799</v>
      </c>
      <c r="H70" s="20">
        <f>IF(G70=0,"---",IF(OR(ABS((F70-G70)/ABS(G70))&gt;2,(F70*G70)&lt;0),"---",IF(G70="0","---",((F70-G70)/ABS(G70))*100)))</f>
        <v>13.345652299071698</v>
      </c>
      <c r="K70" s="18">
        <f>+[1]GRUPO!O84</f>
        <v>11.769624050182379</v>
      </c>
      <c r="L70" s="19">
        <f>+[1]GRUPO!P84</f>
        <v>9.7316903901089784</v>
      </c>
      <c r="M70" s="20">
        <f>IF(L70=0,"---",IF(OR(ABS((K70-L70)/ABS(L70))&gt;2,(K70*L70)&lt;0),"---",IF(L70="0","---",((K70-L70)/ABS(L70))*100)))</f>
        <v>20.941209372471413</v>
      </c>
      <c r="Q70" s="26" t="str">
        <f>+IF($B$3="esp","Portugal","Portugal")</f>
        <v>Portugal</v>
      </c>
      <c r="S70" s="18">
        <f>+[1]SANTILLANA!K84</f>
        <v>-1.7703469999999999</v>
      </c>
      <c r="T70" s="19">
        <f>+[1]SANTILLANA!L84</f>
        <v>-1.527415</v>
      </c>
      <c r="U70" s="20">
        <f>IF(T70=0,"---",IF(OR(ABS((S70-T70)/ABS(T70))&gt;2,(S70*T70)&lt;0),"---",IF(T70="0","---",((S70-T70)/ABS(T70))*100)))</f>
        <v>-15.904780298740024</v>
      </c>
      <c r="X70" s="18">
        <f>+[1]SANTILLANA!O84</f>
        <v>-0.98376699999999984</v>
      </c>
      <c r="Y70" s="19">
        <f>+[1]SANTILLANA!P84</f>
        <v>-0.89630599999999994</v>
      </c>
      <c r="Z70" s="20">
        <f>IF(Y70=0,"---",IF(OR(ABS((X70-Y70)/ABS(Y70))&gt;2,(X70*Y70)&lt;0),"---",IF(Y70="0","---",((X70-Y70)/ABS(Y70))*100)))</f>
        <v>-9.7579398107342694</v>
      </c>
      <c r="AD70" s="17" t="str">
        <f>+IF($B$3="esp","Música","Music")</f>
        <v>Music</v>
      </c>
      <c r="AF70" s="18">
        <f>+[1]RADIO!K70</f>
        <v>-0.36821407690740199</v>
      </c>
      <c r="AG70" s="19">
        <f>+[1]RADIO!L70</f>
        <v>-0.80243851166302893</v>
      </c>
      <c r="AH70" s="20">
        <f t="shared" si="22"/>
        <v>54.113110032033518</v>
      </c>
      <c r="AK70" s="18">
        <f>+[1]RADIO!O70</f>
        <v>-9.8315729925710971E-2</v>
      </c>
      <c r="AL70" s="19">
        <f>+[1]RADIO!P70</f>
        <v>-0.13404357060589089</v>
      </c>
      <c r="AM70" s="20">
        <f t="shared" si="23"/>
        <v>26.653901055221347</v>
      </c>
    </row>
    <row r="71" spans="4:53" s="22" customFormat="1" ht="15" customHeight="1" x14ac:dyDescent="0.2">
      <c r="D71" s="21" t="str">
        <f>+IF($B$3="esp","Margen EBIT ","EBIT Margin")</f>
        <v>EBIT Margin</v>
      </c>
      <c r="F71" s="27">
        <f>+[1]GRUPO!K85</f>
        <v>0.12797657263647699</v>
      </c>
      <c r="G71" s="28">
        <f>+[1]GRUPO!L85</f>
        <v>0.12193117815522742</v>
      </c>
      <c r="H71" s="29"/>
      <c r="K71" s="27">
        <f>+[1]GRUPO!O85</f>
        <v>0.11393767307111546</v>
      </c>
      <c r="L71" s="28">
        <f>+[1]GRUPO!P85</f>
        <v>6.1301642315675538E-2</v>
      </c>
      <c r="M71" s="29"/>
      <c r="Q71" s="21" t="str">
        <f>+IF($B$3="esp","Margen EBIT ","EBIT Margin")</f>
        <v>EBIT Margin</v>
      </c>
      <c r="S71" s="27">
        <f>+[1]SANTILLANA!K85</f>
        <v>0.21157562772454597</v>
      </c>
      <c r="T71" s="28">
        <f>+[1]SANTILLANA!L85</f>
        <v>0.20877578431824673</v>
      </c>
      <c r="U71" s="29"/>
      <c r="X71" s="27">
        <f>+[1]SANTILLANA!O85</f>
        <v>8.9998763773874405E-2</v>
      </c>
      <c r="Y71" s="28">
        <f>+[1]SANTILLANA!P85</f>
        <v>-7.2801131967866429E-3</v>
      </c>
      <c r="Z71" s="29"/>
      <c r="AD71" s="17" t="str">
        <f>+IF($B$3="esp","Ajustes y Otros","Adjustments &amp; others")</f>
        <v>Adjustments &amp; others</v>
      </c>
      <c r="AE71" s="1"/>
      <c r="AF71" s="18">
        <f>+[1]RADIO!K71</f>
        <v>-8.4654505627668186E-14</v>
      </c>
      <c r="AG71" s="19">
        <f>+[1]RADIO!L71</f>
        <v>1.8762769116165146E-14</v>
      </c>
      <c r="AH71" s="20" t="str">
        <f t="shared" si="22"/>
        <v>---</v>
      </c>
      <c r="AK71" s="18">
        <f>+[1]RADIO!O71</f>
        <v>-6.6113781116428072E-14</v>
      </c>
      <c r="AL71" s="19">
        <f>+[1]RADIO!P71</f>
        <v>3.3417713041217212E-14</v>
      </c>
      <c r="AM71" s="20" t="str">
        <f t="shared" si="23"/>
        <v>---</v>
      </c>
    </row>
    <row r="72" spans="4:53" s="13" customFormat="1" ht="15" customHeight="1" x14ac:dyDescent="0.2">
      <c r="D72" s="13" t="str">
        <f>+IF($B$3="esp","Resultado Financiero","Financial Result")</f>
        <v>Financial Result</v>
      </c>
      <c r="F72" s="14">
        <f>+[1]GRUPO!K86</f>
        <v>-44.122654606175203</v>
      </c>
      <c r="G72" s="15">
        <f>+[1]GRUPO!L86</f>
        <v>-26.285350286502101</v>
      </c>
      <c r="H72" s="16">
        <f t="shared" ref="H72:H80" si="24">IF(G72=0,"---",IF(OR(ABS((F72-G72)/ABS(G72))&gt;2,(F72*G72)&lt;0),"---",IF(G72="0","---",((F72-G72)/ABS(G72))*100)))</f>
        <v>-67.860249626701034</v>
      </c>
      <c r="K72" s="14">
        <f>+[1]GRUPO!O86</f>
        <v>-28.486220158665304</v>
      </c>
      <c r="L72" s="15">
        <f>+[1]GRUPO!P86</f>
        <v>-8.9409216238066023</v>
      </c>
      <c r="M72" s="16" t="str">
        <f t="shared" ref="M72:M80" si="25">IF(L72=0,"---",IF(OR(ABS((K72-L72)/ABS(L72))&gt;2,(K72*L72)&lt;0),"---",IF(L72="0","---",((K72-L72)/ABS(L72))*100)))</f>
        <v>---</v>
      </c>
      <c r="Q72" s="1"/>
      <c r="R72" s="1"/>
      <c r="S72" s="1"/>
      <c r="T72" s="1"/>
      <c r="U72" s="1"/>
      <c r="X72" s="1"/>
      <c r="Y72" s="1"/>
      <c r="Z72" s="1"/>
      <c r="AD72" s="21" t="str">
        <f>+IF($B$3="esp","Margen EBITDA ","EBITDA Margin")</f>
        <v>EBITDA Margin</v>
      </c>
      <c r="AE72" s="22"/>
      <c r="AF72" s="27">
        <f>+[1]RADIO!K72</f>
        <v>0.15954619523438532</v>
      </c>
      <c r="AG72" s="28">
        <f>+[1]RADIO!L72</f>
        <v>0.13400259074772009</v>
      </c>
      <c r="AH72" s="29"/>
      <c r="AK72" s="27">
        <f>+[1]RADIO!O72</f>
        <v>0.24551828484859189</v>
      </c>
      <c r="AL72" s="28">
        <f>+[1]RADIO!P72</f>
        <v>0.2037167408165991</v>
      </c>
      <c r="AM72" s="29"/>
    </row>
    <row r="73" spans="4:53" ht="15" customHeight="1" x14ac:dyDescent="0.2">
      <c r="D73" s="17" t="str">
        <f>+IF($B$3="esp","Gastos por intereses de financiación","Interests on debt")</f>
        <v>Interests on debt</v>
      </c>
      <c r="F73" s="18">
        <f>+[1]GRUPO!K87</f>
        <v>-25.2197837047325</v>
      </c>
      <c r="G73" s="19">
        <f>+[1]GRUPO!L87</f>
        <v>-26.941771149725302</v>
      </c>
      <c r="H73" s="20">
        <f t="shared" si="24"/>
        <v>6.3915153737409707</v>
      </c>
      <c r="K73" s="18">
        <f>+[1]GRUPO!O87</f>
        <v>-12.579188114936901</v>
      </c>
      <c r="L73" s="19">
        <f>+[1]GRUPO!P87</f>
        <v>-12.546428506694902</v>
      </c>
      <c r="M73" s="20">
        <f t="shared" si="25"/>
        <v>-0.26110704113540006</v>
      </c>
      <c r="AD73" s="13" t="str">
        <f>+IF($B$3="esp","EBIT","EBIT")</f>
        <v>EBIT</v>
      </c>
      <c r="AE73" s="13"/>
      <c r="AF73" s="14">
        <f>+[1]RADIO!K73</f>
        <v>16.7521043766452</v>
      </c>
      <c r="AG73" s="15">
        <f>+[1]RADIO!L73</f>
        <v>12.210648026501524</v>
      </c>
      <c r="AH73" s="16">
        <f>IF(AG73=0,"---",IF(OR(ABS((AF73-AG73)/ABS(AG73))&gt;2,(AF73*AG73)&lt;0),"---",IF(AG73="0","---",((AF73-AG73)/ABS(AG73))*100)))</f>
        <v>37.192590764118926</v>
      </c>
      <c r="AK73" s="14">
        <f>+[1]RADIO!O73</f>
        <v>16.23714653475335</v>
      </c>
      <c r="AL73" s="15">
        <f>+[1]RADIO!P73</f>
        <v>13.30748205818181</v>
      </c>
      <c r="AM73" s="16">
        <f>IF(AL73=0,"---",IF(OR(ABS((AK73-AL73)/ABS(AL73))&gt;2,(AK73*AL73)&lt;0),"---",IF(AL73="0","---",((AK73-AL73)/ABS(AL73))*100)))</f>
        <v>22.015167585894289</v>
      </c>
    </row>
    <row r="74" spans="4:53" ht="15" customHeight="1" x14ac:dyDescent="0.2">
      <c r="D74" s="17" t="str">
        <f>+IF($B$3="esp","Otros resultados financieros","Other financial results")</f>
        <v>Other financial results</v>
      </c>
      <c r="F74" s="18">
        <f>+[1]GRUPO!K88</f>
        <v>-18.902870901442704</v>
      </c>
      <c r="G74" s="19">
        <f>+[1]GRUPO!L88</f>
        <v>0.65642086322320026</v>
      </c>
      <c r="H74" s="20" t="str">
        <f t="shared" si="24"/>
        <v>---</v>
      </c>
      <c r="K74" s="18">
        <f>+[1]GRUPO!O88</f>
        <v>-15.907032043728401</v>
      </c>
      <c r="L74" s="19">
        <f>+[1]GRUPO!P88</f>
        <v>3.6055068828882995</v>
      </c>
      <c r="M74" s="20" t="str">
        <f t="shared" si="25"/>
        <v>---</v>
      </c>
      <c r="AD74" s="17" t="str">
        <f>+IF($B$3="esp","España","Spain")</f>
        <v>Spain</v>
      </c>
      <c r="AF74" s="18">
        <f>+[1]RADIO!K74</f>
        <v>10.317724659999998</v>
      </c>
      <c r="AG74" s="19">
        <f>+[1]RADIO!L74</f>
        <v>9.2678963299998998</v>
      </c>
      <c r="AH74" s="20">
        <f>IF(AG74=0,"---",IF(OR(ABS((AF74-AG74)/ABS(AG74))&gt;2,(AF74*AG74)&lt;0),"---",IF(AG74="0","---",((AF74-AG74)/ABS(AG74))*100)))</f>
        <v>11.327579556558435</v>
      </c>
      <c r="AK74" s="18">
        <f>+[1]RADIO!O74</f>
        <v>11.497667840000018</v>
      </c>
      <c r="AL74" s="19">
        <f>+[1]RADIO!P74</f>
        <v>7.9930612999998303</v>
      </c>
      <c r="AM74" s="20">
        <f>IF(AL74=0,"---",IF(OR(ABS((AK74-AL74)/ABS(AL74))&gt;2,(AK74*AL74)&lt;0),"---",IF(AL74="0","---",((AK74-AL74)/ABS(AL74))*100)))</f>
        <v>43.845610692367167</v>
      </c>
    </row>
    <row r="75" spans="4:53" s="13" customFormat="1" ht="15" customHeight="1" x14ac:dyDescent="0.2">
      <c r="D75" s="13" t="str">
        <f>+IF($B$3="esp","Resultado puesta en equivalencia","Result from associates")</f>
        <v>Result from associates</v>
      </c>
      <c r="F75" s="14">
        <f>+[1]GRUPO!K89</f>
        <v>2.4392733227744503</v>
      </c>
      <c r="G75" s="15">
        <f>+[1]GRUPO!L89</f>
        <v>0.55638216376572303</v>
      </c>
      <c r="H75" s="16" t="str">
        <f t="shared" si="24"/>
        <v>---</v>
      </c>
      <c r="K75" s="14">
        <f>+[1]GRUPO!O89</f>
        <v>1.6528902442129154</v>
      </c>
      <c r="L75" s="15">
        <f>+[1]GRUPO!P89</f>
        <v>0.28750463374097202</v>
      </c>
      <c r="M75" s="16" t="str">
        <f t="shared" si="25"/>
        <v>---</v>
      </c>
      <c r="AD75" s="17" t="str">
        <f>+IF($B$3="esp","Latam","Latam")</f>
        <v>Latam</v>
      </c>
      <c r="AE75" s="1"/>
      <c r="AF75" s="18">
        <f>+[1]RADIO!K75</f>
        <v>7.1863210523547201</v>
      </c>
      <c r="AG75" s="19">
        <f>+[1]RADIO!L75</f>
        <v>4.1309946634057342</v>
      </c>
      <c r="AH75" s="20">
        <f>IF(AG75=0,"---",IF(OR(ABS((AF75-AG75)/ABS(AG75))&gt;2,(AF75*AG75)&lt;0),"---",IF(AG75="0","---",((AF75-AG75)/ABS(AG75))*100)))</f>
        <v>73.961034518259822</v>
      </c>
      <c r="AI75" s="1"/>
      <c r="AK75" s="18">
        <f>+[1]RADIO!O75</f>
        <v>5.2068098362086896</v>
      </c>
      <c r="AL75" s="19">
        <f>+[1]RADIO!P75</f>
        <v>5.5256530348437005</v>
      </c>
      <c r="AM75" s="20">
        <f>IF(AL75=0,"---",IF(OR(ABS((AK75-AL75)/ABS(AL75))&gt;2,(AK75*AL75)&lt;0),"---",IF(AL75="0","---",((AK75-AL75)/ABS(AL75))*100)))</f>
        <v>-5.7702356015560019</v>
      </c>
      <c r="AN75" s="1"/>
      <c r="BA75" s="1"/>
    </row>
    <row r="76" spans="4:53" s="13" customFormat="1" ht="15" customHeight="1" x14ac:dyDescent="0.2">
      <c r="D76" s="13" t="str">
        <f>+IF($B$3="esp","Resultado antes de impuestos","Profit before tax")</f>
        <v>Profit before tax</v>
      </c>
      <c r="F76" s="14">
        <f>+[1]GRUPO!K90</f>
        <v>38.824610402249768</v>
      </c>
      <c r="G76" s="15">
        <f>+[1]GRUPO!L90</f>
        <v>54.138923876242444</v>
      </c>
      <c r="H76" s="16">
        <f t="shared" si="24"/>
        <v>-28.287066638044116</v>
      </c>
      <c r="K76" s="14">
        <f>+[1]GRUPO!O90</f>
        <v>8.269009837826431</v>
      </c>
      <c r="L76" s="15">
        <f>+[1]GRUPO!P90</f>
        <v>9.2775410681888673</v>
      </c>
      <c r="M76" s="16">
        <f t="shared" si="25"/>
        <v>-10.870673845039832</v>
      </c>
      <c r="AD76" s="17" t="str">
        <f>+IF($B$3="esp","Música","Music")</f>
        <v>Music</v>
      </c>
      <c r="AE76" s="1"/>
      <c r="AF76" s="18">
        <f>+[1]RADIO!K76</f>
        <v>-0.323111335709588</v>
      </c>
      <c r="AG76" s="19">
        <f>+[1]RADIO!L76</f>
        <v>-1.1882429669041601</v>
      </c>
      <c r="AH76" s="20">
        <f>IF(AG76=0,"---",IF(OR(ABS((AF76-AG76)/ABS(AG76))&gt;2,(AF76*AG76)&lt;0),"---",IF(AG76="0","---",((AF76-AG76)/ABS(AG76))*100)))</f>
        <v>72.807637435345399</v>
      </c>
      <c r="AI76" s="1"/>
      <c r="AK76" s="18">
        <f>+[1]RADIO!O76</f>
        <v>-3.850114145550404E-2</v>
      </c>
      <c r="AL76" s="19">
        <f>+[1]RADIO!P76</f>
        <v>-0.2112322766618131</v>
      </c>
      <c r="AM76" s="20">
        <f>IF(AL76=0,"---",IF(OR(ABS((AK76-AL76)/ABS(AL76))&gt;2,(AK76*AL76)&lt;0),"---",IF(AL76="0","---",((AK76-AL76)/ABS(AL76))*100)))</f>
        <v>81.773078402622573</v>
      </c>
      <c r="AN76" s="1"/>
      <c r="BA76" s="1"/>
    </row>
    <row r="77" spans="4:53" ht="15" customHeight="1" x14ac:dyDescent="0.2">
      <c r="D77" s="17" t="str">
        <f>+IF($B$3="esp","Impuesto sobre sociedades","Income tax expense")</f>
        <v>Income tax expense</v>
      </c>
      <c r="F77" s="18">
        <f>+[1]GRUPO!K91</f>
        <v>22.799579094973041</v>
      </c>
      <c r="G77" s="19">
        <f>+[1]GRUPO!L91</f>
        <v>25.068128427510509</v>
      </c>
      <c r="H77" s="20">
        <f t="shared" si="24"/>
        <v>-9.049536103572434</v>
      </c>
      <c r="K77" s="18">
        <f>+[1]GRUPO!O91</f>
        <v>9.4397398380166102</v>
      </c>
      <c r="L77" s="19">
        <f>+[1]GRUPO!P91</f>
        <v>8.6895555973894218</v>
      </c>
      <c r="M77" s="20">
        <f t="shared" si="25"/>
        <v>8.6331715381689271</v>
      </c>
      <c r="AD77" s="17" t="str">
        <f>+IF($B$3="esp","Ajustes y Otros","Adjustments &amp; others")</f>
        <v>Adjustments &amp; others</v>
      </c>
      <c r="AF77" s="18">
        <f>+[1]RADIO!K77</f>
        <v>-0.42882999999993038</v>
      </c>
      <c r="AG77" s="19">
        <f>+[1]RADIO!L77</f>
        <v>4.9737991503207013E-14</v>
      </c>
      <c r="AH77" s="20" t="str">
        <f>IF(AG77=0,"---",IF(OR(ABS((AF77-AG77)/ABS(AG77))&gt;2,(AF77*AG77)&lt;0),"---",IF(AG77="0","---",((AF77-AG77)/ABS(AG77))*100)))</f>
        <v>---</v>
      </c>
      <c r="AI77" s="22"/>
      <c r="AK77" s="18">
        <f>+[1]RADIO!O77</f>
        <v>-0.42882999999985244</v>
      </c>
      <c r="AL77" s="19">
        <f>+[1]RADIO!P77</f>
        <v>9.2592600253738055E-14</v>
      </c>
      <c r="AM77" s="20" t="str">
        <f>IF(AL77=0,"---",IF(OR(ABS((AK77-AL77)/ABS(AL77))&gt;2,(AK77*AL77)&lt;0),"---",IF(AL77="0","---",((AK77-AL77)/ABS(AL77))*100)))</f>
        <v>---</v>
      </c>
      <c r="AN77" s="22"/>
      <c r="BA77" s="22"/>
    </row>
    <row r="78" spans="4:53" s="13" customFormat="1" ht="15" customHeight="1" x14ac:dyDescent="0.2">
      <c r="D78" s="13" t="str">
        <f>+IF($B$3="esp","Resultado operaciones en discontinuación","Results from discontinued activities")</f>
        <v>Results from discontinued activities</v>
      </c>
      <c r="F78" s="14">
        <f>+[1]GRUPO!K92</f>
        <v>0</v>
      </c>
      <c r="G78" s="15">
        <f>+[1]GRUPO!L92</f>
        <v>-0.98498400000000008</v>
      </c>
      <c r="H78" s="16">
        <f t="shared" si="24"/>
        <v>100</v>
      </c>
      <c r="K78" s="14">
        <f>+[1]GRUPO!O92</f>
        <v>0</v>
      </c>
      <c r="L78" s="15">
        <f>+[1]GRUPO!P92</f>
        <v>0</v>
      </c>
      <c r="M78" s="16" t="str">
        <f t="shared" si="25"/>
        <v>---</v>
      </c>
      <c r="AD78" s="21" t="str">
        <f>+IF($B$3="esp","Margen EBIT ","EBIT Margin")</f>
        <v>EBIT Margin</v>
      </c>
      <c r="AE78" s="22"/>
      <c r="AF78" s="27">
        <f>+[1]RADIO!K78</f>
        <v>0.12319845330175049</v>
      </c>
      <c r="AG78" s="28">
        <f>+AG73/AG56</f>
        <v>8.9280069428563383E-2</v>
      </c>
      <c r="AH78" s="29"/>
      <c r="AK78" s="27">
        <f>+[1]RADIO!O78</f>
        <v>0.21047758790525128</v>
      </c>
      <c r="AL78" s="28">
        <f>+AL73/AL56</f>
        <v>0.17559928068792674</v>
      </c>
      <c r="AM78" s="29"/>
    </row>
    <row r="79" spans="4:53" s="13" customFormat="1" ht="15" customHeight="1" x14ac:dyDescent="0.2">
      <c r="D79" s="13" t="str">
        <f>+IF($B$3="esp","Resultado atribuido a socios externos","Minority interest")</f>
        <v>Minority interest</v>
      </c>
      <c r="F79" s="14">
        <f>+[1]GRUPO!K93</f>
        <v>15.6226513776197</v>
      </c>
      <c r="G79" s="15">
        <f>+[1]GRUPO!L93</f>
        <v>14.1863517447741</v>
      </c>
      <c r="H79" s="16">
        <f t="shared" si="24"/>
        <v>10.124517273263699</v>
      </c>
      <c r="K79" s="14">
        <f>+[1]GRUPO!O93</f>
        <v>10.23246706558502</v>
      </c>
      <c r="L79" s="15">
        <f>+[1]GRUPO!P93</f>
        <v>8.6073003069221095</v>
      </c>
      <c r="M79" s="16">
        <f t="shared" si="25"/>
        <v>18.881260101450497</v>
      </c>
      <c r="AD79" s="1"/>
      <c r="AE79" s="1"/>
      <c r="AF79" s="1"/>
      <c r="AG79" s="1"/>
      <c r="AH79" s="1"/>
      <c r="AI79" s="1"/>
      <c r="AK79" s="1"/>
      <c r="AL79" s="1"/>
      <c r="AM79" s="1"/>
      <c r="AN79" s="1"/>
      <c r="BA79" s="1"/>
    </row>
    <row r="80" spans="4:53" s="13" customFormat="1" ht="15" customHeight="1" x14ac:dyDescent="0.2">
      <c r="D80" s="13" t="str">
        <f>+IF($B$3="esp","Resultado Neto","Net Profit")</f>
        <v>Net Profit</v>
      </c>
      <c r="F80" s="14">
        <f>+[1]GRUPO!K94</f>
        <v>0.40237992965604463</v>
      </c>
      <c r="G80" s="15">
        <f>+[1]GRUPO!L94</f>
        <v>13.899459702642259</v>
      </c>
      <c r="H80" s="16">
        <f t="shared" si="24"/>
        <v>-97.105067835265913</v>
      </c>
      <c r="K80" s="14">
        <f>+[1]GRUPO!O94</f>
        <v>-11.403197065776974</v>
      </c>
      <c r="L80" s="15">
        <f>+[1]GRUPO!P94</f>
        <v>-8.0193148361219873</v>
      </c>
      <c r="M80" s="16">
        <f t="shared" si="25"/>
        <v>-42.196650197754025</v>
      </c>
    </row>
    <row r="81" spans="4:65" x14ac:dyDescent="0.2">
      <c r="AD81" s="13"/>
      <c r="AE81" s="13"/>
      <c r="AF81" s="13"/>
      <c r="AG81" s="13"/>
      <c r="AH81" s="13"/>
      <c r="AI81" s="13"/>
      <c r="AK81" s="13"/>
      <c r="AL81" s="13"/>
      <c r="AM81" s="13"/>
      <c r="AN81" s="13"/>
      <c r="BA81" s="13"/>
    </row>
    <row r="82" spans="4:65" x14ac:dyDescent="0.2">
      <c r="AD82" s="13"/>
      <c r="AE82" s="13"/>
      <c r="AF82" s="13"/>
      <c r="AG82" s="13"/>
      <c r="AH82" s="13"/>
      <c r="AI82" s="13"/>
      <c r="AK82" s="13"/>
      <c r="AL82" s="13"/>
      <c r="AM82" s="13"/>
      <c r="AN82" s="13"/>
      <c r="BA82" s="13"/>
    </row>
    <row r="83" spans="4:65" x14ac:dyDescent="0.2"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</row>
    <row r="86" spans="4:65" x14ac:dyDescent="0.2">
      <c r="F86" s="7" t="str">
        <f>+F6</f>
        <v>JANUARY - JUNE</v>
      </c>
      <c r="G86" s="8"/>
      <c r="H86" s="8"/>
      <c r="K86" s="7" t="str">
        <f>+K6</f>
        <v>APRIL - JUNE</v>
      </c>
      <c r="L86" s="8"/>
      <c r="M86" s="8"/>
      <c r="Q86" s="9" t="str">
        <f>+IF($B$3="esp","Millones de €","€ Millions")</f>
        <v>€ Millions</v>
      </c>
      <c r="S86" s="10">
        <v>2018</v>
      </c>
      <c r="T86" s="10">
        <v>2017</v>
      </c>
      <c r="U86" s="10" t="str">
        <f>+IF($B$3="esp","Var.%","% Chg.")</f>
        <v>% Chg.</v>
      </c>
      <c r="X86" s="10">
        <v>2018</v>
      </c>
      <c r="Y86" s="10">
        <v>2017</v>
      </c>
      <c r="Z86" s="10" t="str">
        <f>+IF($B$3="esp","Var.%","% Chg.")</f>
        <v>% Chg.</v>
      </c>
      <c r="AD86" s="9" t="str">
        <f>+IF($B$3="esp","Millones de €","€ Millions")</f>
        <v>€ Millions</v>
      </c>
      <c r="AF86" s="10">
        <v>2018</v>
      </c>
      <c r="AG86" s="10">
        <v>2017</v>
      </c>
      <c r="AH86" s="10" t="str">
        <f>+IF($B$3="esp","Var.%","% Chg.")</f>
        <v>% Chg.</v>
      </c>
      <c r="AK86" s="10">
        <v>2018</v>
      </c>
      <c r="AL86" s="10">
        <v>2017</v>
      </c>
      <c r="AM86" s="10" t="str">
        <f>+IF($B$3="esp","Var.%","% Chg.")</f>
        <v>% Chg.</v>
      </c>
      <c r="AQ86" s="9" t="str">
        <f>+IF($B$3="esp","Millones de €","€ Millions")</f>
        <v>€ Millions</v>
      </c>
      <c r="AS86" s="10">
        <v>2018</v>
      </c>
      <c r="AT86" s="10">
        <v>2017</v>
      </c>
      <c r="AU86" s="10" t="str">
        <f>+IF($B$3="esp","Var.%","% Chg.")</f>
        <v>% Chg.</v>
      </c>
      <c r="AX86" s="10">
        <v>2018</v>
      </c>
      <c r="AY86" s="10">
        <v>2017</v>
      </c>
      <c r="AZ86" s="10" t="str">
        <f>+IF($B$3="esp","Var.%","% Chg.")</f>
        <v>% Chg.</v>
      </c>
      <c r="BD86" s="9" t="str">
        <f>+IF($B$3="esp","Millones de €","€ Millions")</f>
        <v>€ Millions</v>
      </c>
      <c r="BF86" s="10">
        <v>2018</v>
      </c>
      <c r="BG86" s="10">
        <v>2017</v>
      </c>
      <c r="BH86" s="10" t="str">
        <f>+IF($B$3="esp","Var.%","% Chg.")</f>
        <v>% Chg.</v>
      </c>
      <c r="BK86" s="10">
        <v>2018</v>
      </c>
      <c r="BL86" s="10">
        <v>2017</v>
      </c>
      <c r="BM86" s="10" t="str">
        <f>+IF($B$3="esp","Var.%","% Chg.")</f>
        <v>% Chg.</v>
      </c>
    </row>
    <row r="87" spans="4:65" ht="15.75" customHeight="1" x14ac:dyDescent="0.2">
      <c r="Q87" s="11" t="str">
        <f>+IF($B$3="esp","Efectos Extraordinarios","Extraordinary Effects")</f>
        <v>Extraordinary Effects</v>
      </c>
      <c r="S87" s="12"/>
      <c r="T87" s="12"/>
      <c r="U87" s="12"/>
      <c r="X87" s="12"/>
      <c r="Y87" s="12"/>
      <c r="Z87" s="12"/>
      <c r="AD87" s="11" t="str">
        <f>+IF($B$3="esp","Efectos Extraordinarios","Extraordinary Effects")</f>
        <v>Extraordinary Effects</v>
      </c>
      <c r="AF87" s="12"/>
      <c r="AG87" s="12"/>
      <c r="AH87" s="12"/>
      <c r="AK87" s="12"/>
      <c r="AL87" s="12"/>
      <c r="AM87" s="12"/>
      <c r="AQ87" s="11" t="str">
        <f>+IF($B$3="esp","Efectos Extraordinarios","Extraordinary Effects")</f>
        <v>Extraordinary Effects</v>
      </c>
      <c r="AS87" s="12"/>
      <c r="AT87" s="12"/>
      <c r="AU87" s="12"/>
      <c r="AX87" s="12"/>
      <c r="AY87" s="12"/>
      <c r="AZ87" s="12"/>
      <c r="BD87" s="11" t="str">
        <f>+IF($B$3="esp","Efectos Extraordinarios","Extraordinary Effects")</f>
        <v>Extraordinary Effects</v>
      </c>
      <c r="BF87" s="12"/>
      <c r="BG87" s="12"/>
      <c r="BH87" s="12"/>
      <c r="BK87" s="12"/>
      <c r="BL87" s="12"/>
      <c r="BM87" s="12"/>
    </row>
    <row r="88" spans="4:65" s="13" customFormat="1" ht="15" customHeight="1" x14ac:dyDescent="0.2">
      <c r="D88" s="9" t="str">
        <f>+IF($B$3="esp","Millones de €","€ Millions")</f>
        <v>€ Millions</v>
      </c>
      <c r="E88" s="1"/>
      <c r="F88" s="10">
        <v>2018</v>
      </c>
      <c r="G88" s="10">
        <v>2017</v>
      </c>
      <c r="H88" s="10" t="str">
        <f>+IF($B$3="esp","Var.%","% Chg.")</f>
        <v>% Chg.</v>
      </c>
      <c r="K88" s="10">
        <v>2018</v>
      </c>
      <c r="L88" s="10">
        <v>2017</v>
      </c>
      <c r="M88" s="10" t="str">
        <f>+IF($B$3="esp","Var.%","% Chg.")</f>
        <v>% Chg.</v>
      </c>
      <c r="Q88" s="13" t="str">
        <f>+IF($B$3="esp","Efectos extraordinarios en Ingresos","One-offs in Operating Revenues")</f>
        <v>One-offs in Operating Revenues</v>
      </c>
      <c r="S88" s="14">
        <f>+[1]SANTILLANA!K93</f>
        <v>7.37785885577253</v>
      </c>
      <c r="T88" s="15">
        <f>+[1]SANTILLANA!L93</f>
        <v>0</v>
      </c>
      <c r="U88" s="16" t="str">
        <f>IF(T88=0,"---",IF(OR(ABS((S88-T88)/ABS(T88))&gt;2,(S88*T88)&lt;0),"---",IF(T88="0","---",((S88-T88)/ABS(T88))*100)))</f>
        <v>---</v>
      </c>
      <c r="X88" s="14">
        <f>+[1]SANTILLANA!O93</f>
        <v>7.37785885577253</v>
      </c>
      <c r="Y88" s="15">
        <f>+[1]SANTILLANA!P93</f>
        <v>0</v>
      </c>
      <c r="Z88" s="16" t="str">
        <f>IF(Y88=0,"---",IF(OR(ABS((X88-Y88)/ABS(Y88))&gt;2,(X88*Y88)&lt;0),"---",IF(Y88="0","---",((X88-Y88)/ABS(Y88))*100)))</f>
        <v>---</v>
      </c>
      <c r="AD88" s="13" t="str">
        <f>+IF($B$3="esp","Efectos extraordinarios en Ingresos","One-offs in Operating Revenues")</f>
        <v>One-offs in Operating Revenues</v>
      </c>
      <c r="AF88" s="14">
        <f>+[1]RADIO!K86</f>
        <v>0</v>
      </c>
      <c r="AG88" s="15">
        <f>+[1]RADIO!L86</f>
        <v>0</v>
      </c>
      <c r="AH88" s="16" t="str">
        <f>IF(AG88=0,"---",IF(OR(ABS((AF88-AG88)/ABS(AG88))&gt;2,(AF88*AG88)&lt;0),"---",IF(AG88="0","---",((AF88-AG88)/ABS(AG88))*100)))</f>
        <v>---</v>
      </c>
      <c r="AK88" s="14">
        <f>+[1]RADIO!O86</f>
        <v>0</v>
      </c>
      <c r="AL88" s="15">
        <f>+[1]RADIO!P86</f>
        <v>0</v>
      </c>
      <c r="AM88" s="16" t="str">
        <f>IF(AL88=0,"---",IF(OR(ABS((AK88-AL88)/ABS(AL88))&gt;2,(AK88*AL88)&lt;0),"---",IF(AL88="0","---",((AK88-AL88)/ABS(AL88))*100)))</f>
        <v>---</v>
      </c>
      <c r="AQ88" s="13" t="str">
        <f>+IF($B$3="esp","Efectos extraordinarios en Ingresos","One-offs in Operating Revenues")</f>
        <v>One-offs in Operating Revenues</v>
      </c>
      <c r="AS88" s="14">
        <f>+[1]NOTICIAS!K38</f>
        <v>0</v>
      </c>
      <c r="AT88" s="15">
        <f>+[1]NOTICIAS!L38</f>
        <v>0</v>
      </c>
      <c r="AU88" s="16" t="str">
        <f>IF(AT88=0,"---",IF(OR(ABS((AS88-AT88)/ABS(AT88))&gt;2,(AS88*AT88)&lt;0),"---",IF(AT88="0","---",((AS88-AT88)/ABS(AT88))*100)))</f>
        <v>---</v>
      </c>
      <c r="AX88" s="14">
        <f>+[1]NOTICIAS!O38</f>
        <v>0</v>
      </c>
      <c r="AY88" s="15">
        <f>+[1]NOTICIAS!P38</f>
        <v>0</v>
      </c>
      <c r="AZ88" s="16" t="str">
        <f>IF(AY88=0,"---",IF(OR(ABS((AX88-AY88)/ABS(AY88))&gt;2,(AX88*AY88)&lt;0),"---",IF(AY88="0","---",((AX88-AY88)/ABS(AY88))*100)))</f>
        <v>---</v>
      </c>
      <c r="BD88" s="13" t="str">
        <f>+IF($B$3="esp","Efectos extraordinarios en Ingresos","One-offs in Operating Revenues")</f>
        <v>One-offs in Operating Revenues</v>
      </c>
      <c r="BF88" s="14">
        <f>+'[1]MEDIA CAPITAL'!K48</f>
        <v>0</v>
      </c>
      <c r="BG88" s="15">
        <f>+'[1]MEDIA CAPITAL'!L48</f>
        <v>0</v>
      </c>
      <c r="BH88" s="16" t="str">
        <f t="shared" ref="BH88:BH101" si="26">IF(BG88=0,"---",IF(OR(ABS((BF88-BG88)/ABS(BG88))&gt;2,(BF88*BG88)&lt;0),"---",IF(BG88="0","---",((BF88-BG88)/ABS(BG88))*100)))</f>
        <v>---</v>
      </c>
      <c r="BK88" s="14">
        <f>+'[1]MEDIA CAPITAL'!O48</f>
        <v>0</v>
      </c>
      <c r="BL88" s="15">
        <f>+'[1]MEDIA CAPITAL'!P48</f>
        <v>0</v>
      </c>
      <c r="BM88" s="16" t="str">
        <f t="shared" ref="BM88:BM101" si="27">IF(BL88=0,"---",IF(OR(ABS((BK88-BL88)/ABS(BL88))&gt;2,(BK88*BL88)&lt;0),"---",IF(BL88="0","---",((BK88-BL88)/ABS(BL88))*100)))</f>
        <v>---</v>
      </c>
    </row>
    <row r="89" spans="4:65" ht="15" customHeight="1" x14ac:dyDescent="0.2">
      <c r="D89" s="11" t="str">
        <f>+IF($B$3="esp","Efectos Extraordinarios","Extraordinary Effects")</f>
        <v>Extraordinary Effects</v>
      </c>
      <c r="F89" s="12"/>
      <c r="G89" s="12"/>
      <c r="H89" s="12"/>
      <c r="K89" s="12"/>
      <c r="L89" s="12"/>
      <c r="M89" s="12"/>
      <c r="Q89" s="17"/>
      <c r="S89" s="18"/>
      <c r="T89" s="19"/>
      <c r="U89" s="20"/>
      <c r="X89" s="18"/>
      <c r="Y89" s="19"/>
      <c r="Z89" s="20"/>
      <c r="AD89" s="17"/>
      <c r="AF89" s="18"/>
      <c r="AG89" s="19"/>
      <c r="AH89" s="20"/>
      <c r="AK89" s="18"/>
      <c r="AL89" s="19"/>
      <c r="AM89" s="20"/>
      <c r="AQ89" s="17"/>
      <c r="AS89" s="18"/>
      <c r="AT89" s="19"/>
      <c r="AU89" s="20"/>
      <c r="AX89" s="18"/>
      <c r="AY89" s="19"/>
      <c r="AZ89" s="20"/>
      <c r="BD89" s="17"/>
      <c r="BF89" s="18"/>
      <c r="BG89" s="19"/>
      <c r="BH89" s="20" t="str">
        <f t="shared" si="26"/>
        <v>---</v>
      </c>
      <c r="BK89" s="18"/>
      <c r="BL89" s="19"/>
      <c r="BM89" s="20" t="str">
        <f t="shared" si="27"/>
        <v>---</v>
      </c>
    </row>
    <row r="90" spans="4:65" ht="15" customHeight="1" x14ac:dyDescent="0.2">
      <c r="D90" s="13" t="str">
        <f>+IF($B$3="esp","Efectos extraordinarios en Ingresos","One-offs in Operating Revenues")</f>
        <v>One-offs in Operating Revenues</v>
      </c>
      <c r="E90" s="13"/>
      <c r="F90" s="14">
        <f>+[1]GRUPO!K105</f>
        <v>7.37785885577253</v>
      </c>
      <c r="G90" s="15">
        <f>+[1]GRUPO!L105</f>
        <v>0</v>
      </c>
      <c r="H90" s="16" t="str">
        <f t="shared" ref="H90:H98" si="28">IF(G90=0,"---",IF(OR(ABS((F90-G90)/ABS(G90))&gt;2,(F90*G90)&lt;0),"---",IF(G90="0","---",((F90-G90)/ABS(G90))*100)))</f>
        <v>---</v>
      </c>
      <c r="K90" s="14">
        <f>+[1]GRUPO!O105</f>
        <v>7.37785885577253</v>
      </c>
      <c r="L90" s="15">
        <f>+[1]GRUPO!P105</f>
        <v>0</v>
      </c>
      <c r="M90" s="16" t="str">
        <f t="shared" ref="M90:M98" si="29">IF(L90=0,"---",IF(OR(ABS((K90-L90)/ABS(L90))&gt;2,(K90*L90)&lt;0),"---",IF(L90="0","---",((K90-L90)/ABS(L90))*100)))</f>
        <v>---</v>
      </c>
      <c r="Q90" s="17"/>
      <c r="S90" s="18"/>
      <c r="T90" s="19"/>
      <c r="U90" s="20"/>
      <c r="X90" s="18"/>
      <c r="Y90" s="19"/>
      <c r="Z90" s="20"/>
      <c r="AD90" s="17"/>
      <c r="AF90" s="18"/>
      <c r="AG90" s="19"/>
      <c r="AH90" s="20"/>
      <c r="AK90" s="18"/>
      <c r="AL90" s="19"/>
      <c r="AM90" s="20"/>
      <c r="AQ90" s="17"/>
      <c r="AS90" s="18"/>
      <c r="AT90" s="19"/>
      <c r="AU90" s="20"/>
      <c r="AX90" s="18"/>
      <c r="AY90" s="19"/>
      <c r="AZ90" s="20"/>
      <c r="BD90" s="17"/>
      <c r="BF90" s="18"/>
      <c r="BG90" s="19"/>
      <c r="BH90" s="20" t="str">
        <f t="shared" si="26"/>
        <v>---</v>
      </c>
      <c r="BK90" s="18"/>
      <c r="BL90" s="19"/>
      <c r="BM90" s="20" t="str">
        <f t="shared" si="27"/>
        <v>---</v>
      </c>
    </row>
    <row r="91" spans="4:65" ht="15" customHeight="1" x14ac:dyDescent="0.2">
      <c r="D91" s="17" t="str">
        <f>+IF($B$3="esp","Actas Fiscales","Tax Effects")</f>
        <v>Tax Effects</v>
      </c>
      <c r="F91" s="18">
        <f>+[1]GRUPO!K106</f>
        <v>7.37785885577253</v>
      </c>
      <c r="G91" s="19">
        <f>+[1]GRUPO!L106</f>
        <v>0</v>
      </c>
      <c r="H91" s="20" t="str">
        <f t="shared" si="28"/>
        <v>---</v>
      </c>
      <c r="K91" s="18">
        <f>+[1]GRUPO!O106</f>
        <v>7.37785885577253</v>
      </c>
      <c r="L91" s="19">
        <f>+[1]GRUPO!P106</f>
        <v>0</v>
      </c>
      <c r="M91" s="20" t="str">
        <f t="shared" si="29"/>
        <v>---</v>
      </c>
      <c r="Q91" s="17"/>
      <c r="S91" s="18"/>
      <c r="T91" s="19"/>
      <c r="U91" s="20"/>
      <c r="X91" s="18"/>
      <c r="Y91" s="19"/>
      <c r="Z91" s="20"/>
      <c r="AD91" s="17"/>
      <c r="AF91" s="18"/>
      <c r="AG91" s="19"/>
      <c r="AH91" s="20"/>
      <c r="AK91" s="18"/>
      <c r="AL91" s="19"/>
      <c r="AM91" s="20"/>
      <c r="AQ91" s="17"/>
      <c r="AS91" s="18"/>
      <c r="AT91" s="19"/>
      <c r="AU91" s="20"/>
      <c r="AX91" s="18"/>
      <c r="AY91" s="19"/>
      <c r="AZ91" s="20"/>
      <c r="BD91" s="17"/>
      <c r="BF91" s="18"/>
      <c r="BG91" s="19"/>
      <c r="BH91" s="20" t="str">
        <f t="shared" si="26"/>
        <v>---</v>
      </c>
      <c r="BK91" s="18"/>
      <c r="BL91" s="19"/>
      <c r="BM91" s="20" t="str">
        <f t="shared" si="27"/>
        <v>---</v>
      </c>
    </row>
    <row r="92" spans="4:65" ht="15" customHeight="1" x14ac:dyDescent="0.2">
      <c r="D92" s="17"/>
      <c r="F92" s="18"/>
      <c r="G92" s="19"/>
      <c r="H92" s="20" t="str">
        <f t="shared" si="28"/>
        <v>---</v>
      </c>
      <c r="K92" s="18"/>
      <c r="L92" s="19"/>
      <c r="M92" s="20" t="str">
        <f t="shared" si="29"/>
        <v>---</v>
      </c>
      <c r="Q92" s="17"/>
      <c r="S92" s="18"/>
      <c r="T92" s="19"/>
      <c r="U92" s="20"/>
      <c r="X92" s="18"/>
      <c r="Y92" s="19"/>
      <c r="Z92" s="20"/>
      <c r="AD92" s="17"/>
      <c r="AF92" s="18"/>
      <c r="AG92" s="19"/>
      <c r="AH92" s="20"/>
      <c r="AK92" s="18"/>
      <c r="AL92" s="19"/>
      <c r="AM92" s="20"/>
      <c r="AQ92" s="17"/>
      <c r="AS92" s="18"/>
      <c r="AT92" s="19"/>
      <c r="AU92" s="20"/>
      <c r="AX92" s="18"/>
      <c r="AY92" s="19"/>
      <c r="AZ92" s="20"/>
      <c r="BD92" s="17"/>
      <c r="BF92" s="18"/>
      <c r="BG92" s="19"/>
      <c r="BH92" s="20" t="str">
        <f t="shared" si="26"/>
        <v>---</v>
      </c>
      <c r="BK92" s="18"/>
      <c r="BL92" s="19"/>
      <c r="BM92" s="20" t="str">
        <f t="shared" si="27"/>
        <v>---</v>
      </c>
    </row>
    <row r="93" spans="4:65" ht="15" customHeight="1" x14ac:dyDescent="0.2">
      <c r="D93" s="17"/>
      <c r="F93" s="18"/>
      <c r="G93" s="19"/>
      <c r="H93" s="20" t="str">
        <f t="shared" si="28"/>
        <v>---</v>
      </c>
      <c r="K93" s="18"/>
      <c r="L93" s="19"/>
      <c r="M93" s="20" t="str">
        <f t="shared" si="29"/>
        <v>---</v>
      </c>
      <c r="Q93" s="17"/>
      <c r="S93" s="18"/>
      <c r="T93" s="19"/>
      <c r="U93" s="20"/>
      <c r="X93" s="18"/>
      <c r="Y93" s="19"/>
      <c r="Z93" s="20"/>
      <c r="AD93" s="17"/>
      <c r="AF93" s="18"/>
      <c r="AG93" s="19"/>
      <c r="AH93" s="20"/>
      <c r="AK93" s="18"/>
      <c r="AL93" s="19"/>
      <c r="AM93" s="20"/>
      <c r="AQ93" s="17"/>
      <c r="AS93" s="18"/>
      <c r="AT93" s="19"/>
      <c r="AU93" s="20"/>
      <c r="AX93" s="18"/>
      <c r="AY93" s="19"/>
      <c r="AZ93" s="20"/>
      <c r="BD93" s="17"/>
      <c r="BF93" s="18"/>
      <c r="BG93" s="19"/>
      <c r="BH93" s="20" t="str">
        <f t="shared" si="26"/>
        <v>---</v>
      </c>
      <c r="BK93" s="18"/>
      <c r="BL93" s="19"/>
      <c r="BM93" s="20" t="str">
        <f t="shared" si="27"/>
        <v>---</v>
      </c>
    </row>
    <row r="94" spans="4:65" ht="15" customHeight="1" x14ac:dyDescent="0.2">
      <c r="D94" s="13" t="str">
        <f>+IF($B$3="esp","Efectos extraordinarios en Gastos","One-offs in Operating Expenses")</f>
        <v>One-offs in Operating Expenses</v>
      </c>
      <c r="E94" s="13"/>
      <c r="F94" s="14">
        <f>+[1]GRUPO!K109</f>
        <v>-21.040642725627098</v>
      </c>
      <c r="G94" s="15">
        <f>+[1]GRUPO!L109</f>
        <v>-13.25077839736714</v>
      </c>
      <c r="H94" s="16">
        <f t="shared" si="28"/>
        <v>-58.78797527704306</v>
      </c>
      <c r="K94" s="14">
        <f>+[1]GRUPO!O109</f>
        <v>-10.099460230839195</v>
      </c>
      <c r="L94" s="15">
        <f>+[1]GRUPO!P109</f>
        <v>-5.1931276571681906</v>
      </c>
      <c r="M94" s="16">
        <f t="shared" si="29"/>
        <v>-94.477411255213113</v>
      </c>
      <c r="Q94" s="13" t="str">
        <f>+IF($B$3="esp","Efectos extraordinarios en Gastos","One-offs in Operating Expenses")</f>
        <v>One-offs in Operating Expenses</v>
      </c>
      <c r="R94" s="13"/>
      <c r="S94" s="14">
        <f>+[1]SANTILLANA!K99</f>
        <v>-2.67073700219989</v>
      </c>
      <c r="T94" s="15">
        <f>+[1]SANTILLANA!L99</f>
        <v>-2.3065171510605103</v>
      </c>
      <c r="U94" s="16">
        <f>IF(T94=0,"---",IF(OR(ABS((S94-T94)/ABS(T94))&gt;2,(S94*T94)&lt;0),"---",IF(T94="0","---",((S94-T94)/ABS(T94))*100)))</f>
        <v>-15.790901488502506</v>
      </c>
      <c r="X94" s="14">
        <f>+[1]SANTILLANA!O99</f>
        <v>-1.5028344692645101</v>
      </c>
      <c r="Y94" s="15">
        <f>+[1]SANTILLANA!P99</f>
        <v>-0.8894452012549503</v>
      </c>
      <c r="Z94" s="16">
        <f>IF(Y94=0,"---",IF(OR(ABS((X94-Y94)/ABS(Y94))&gt;2,(X94*Y94)&lt;0),"---",IF(Y94="0","---",((X94-Y94)/ABS(Y94))*100)))</f>
        <v>-68.963131977563862</v>
      </c>
      <c r="AD94" s="13" t="str">
        <f>+IF($B$3="esp","Efectos extraordinarios en Gastos","One-offs in Operating Expenses")</f>
        <v>One-offs in Operating Expenses</v>
      </c>
      <c r="AE94" s="13"/>
      <c r="AF94" s="14">
        <f>+[1]RADIO!K92</f>
        <v>-6.37902405198213</v>
      </c>
      <c r="AG94" s="15">
        <f>+[1]RADIO!L92</f>
        <v>-3.4400657901434601</v>
      </c>
      <c r="AH94" s="16">
        <f>IF(AG94=0,"---",IF(OR(ABS((AF94-AG94)/ABS(AG94))&gt;2,(AF94*AG94)&lt;0),"---",IF(AG94="0","---",((AF94-AG94)/ABS(AG94))*100)))</f>
        <v>-85.433199279485507</v>
      </c>
      <c r="AK94" s="14">
        <f>+[1]RADIO!O92</f>
        <v>-2.2135308615746299</v>
      </c>
      <c r="AL94" s="15">
        <f>+[1]RADIO!P92</f>
        <v>-0.89639742591320992</v>
      </c>
      <c r="AM94" s="16">
        <f>IF(AL94=0,"---",IF(OR(ABS((AK94-AL94)/ABS(AL94))&gt;2,(AK94*AL94)&lt;0),"---",IF(AL94="0","---",((AK94-AL94)/ABS(AL94))*100)))</f>
        <v>-146.93632507027593</v>
      </c>
      <c r="AQ94" s="13" t="str">
        <f>+IF($B$3="esp","Efectos extraordinarios en Gastos","One-offs in Operating Expenses")</f>
        <v>One-offs in Operating Expenses</v>
      </c>
      <c r="AR94" s="13"/>
      <c r="AS94" s="14">
        <f>+[1]NOTICIAS!K44</f>
        <v>-3.7439328314450599</v>
      </c>
      <c r="AT94" s="15">
        <f>+[1]NOTICIAS!L44</f>
        <v>-2.3026233499999997</v>
      </c>
      <c r="AU94" s="16">
        <f>IF(AT94=0,"---",IF(OR(ABS((AS94-AT94)/ABS(AT94))&gt;2,(AS94*AT94)&lt;0),"---",IF(AT94="0","---",((AS94-AT94)/ABS(AT94))*100)))</f>
        <v>-62.594235459527511</v>
      </c>
      <c r="AX94" s="14">
        <f>+[1]NOTICIAS!O44</f>
        <v>-2.4778529599999999</v>
      </c>
      <c r="AY94" s="15">
        <f>+[1]NOTICIAS!P44</f>
        <v>8.4365740000000411E-2</v>
      </c>
      <c r="AZ94" s="16" t="str">
        <f>IF(AY94=0,"---",IF(OR(ABS((AX94-AY94)/ABS(AY94))&gt;2,(AX94*AY94)&lt;0),"---",IF(AY94="0","---",((AX94-AY94)/ABS(AY94))*100)))</f>
        <v>---</v>
      </c>
      <c r="BD94" s="13" t="str">
        <f>+IF($B$3="esp","Efectos extraordinarios en Gastos","One-offs in Operating Expenses")</f>
        <v>One-offs in Operating Expenses</v>
      </c>
      <c r="BF94" s="14">
        <f>+'[1]MEDIA CAPITAL'!K54</f>
        <v>-0.35301091000000184</v>
      </c>
      <c r="BG94" s="15">
        <f>+'[1]MEDIA CAPITAL'!L54</f>
        <v>-0.833066689999999</v>
      </c>
      <c r="BH94" s="16">
        <f t="shared" si="26"/>
        <v>57.625132028745227</v>
      </c>
      <c r="BI94" s="13"/>
      <c r="BK94" s="14">
        <f>+'[1]MEDIA CAPITAL'!O54</f>
        <v>-0.22920474000000191</v>
      </c>
      <c r="BL94" s="15">
        <f>+'[1]MEDIA CAPITAL'!P54</f>
        <v>-0.24903807999999916</v>
      </c>
      <c r="BM94" s="16">
        <f t="shared" si="27"/>
        <v>7.963978842110139</v>
      </c>
    </row>
    <row r="95" spans="4:65" s="13" customFormat="1" ht="15" customHeight="1" x14ac:dyDescent="0.2">
      <c r="D95" s="17" t="str">
        <f>+IF($B$3="esp","Indemnizaciones y otros no recurrentes","Redundancies and other non-recurrent")</f>
        <v>Redundancies and other non-recurrent</v>
      </c>
      <c r="E95" s="1"/>
      <c r="F95" s="18">
        <f>+[1]GRUPO!K110</f>
        <v>-21.040642725627098</v>
      </c>
      <c r="G95" s="19">
        <f>+[1]GRUPO!L110</f>
        <v>-13.25077839736714</v>
      </c>
      <c r="H95" s="20">
        <f t="shared" si="28"/>
        <v>-58.78797527704306</v>
      </c>
      <c r="K95" s="18">
        <f>+[1]GRUPO!O110</f>
        <v>-10.099460230839195</v>
      </c>
      <c r="L95" s="19">
        <f>+[1]GRUPO!P110</f>
        <v>-5.1931276571681906</v>
      </c>
      <c r="M95" s="20">
        <f t="shared" si="29"/>
        <v>-94.477411255213113</v>
      </c>
      <c r="Q95" s="17" t="str">
        <f>+IF($B$3="esp","Indemnizaciones","Redundancies")</f>
        <v>Redundancies</v>
      </c>
      <c r="R95" s="1"/>
      <c r="S95" s="18">
        <f>+[1]SANTILLANA!K100</f>
        <v>-2.67073700219989</v>
      </c>
      <c r="T95" s="19">
        <f>+[1]SANTILLANA!L100</f>
        <v>-2.3065171510605103</v>
      </c>
      <c r="U95" s="20">
        <f>IF(T95=0,"---",IF(OR(ABS((S95-T95)/ABS(T95))&gt;2,(S95*T95)&lt;0),"---",IF(T95="0","---",((S95-T95)/ABS(T95))*100)))</f>
        <v>-15.790901488502506</v>
      </c>
      <c r="X95" s="18">
        <f>+[1]SANTILLANA!O100</f>
        <v>-1.5028344692645101</v>
      </c>
      <c r="Y95" s="19">
        <f>+[1]SANTILLANA!P100</f>
        <v>-0.8894452012549503</v>
      </c>
      <c r="Z95" s="20">
        <f>IF(Y95=0,"---",IF(OR(ABS((X95-Y95)/ABS(Y95))&gt;2,(X95*Y95)&lt;0),"---",IF(Y95="0","---",((X95-Y95)/ABS(Y95))*100)))</f>
        <v>-68.963131977563862</v>
      </c>
      <c r="AD95" s="17" t="str">
        <f>+IF($B$3="esp","Indemnizaciones","Redundancies")</f>
        <v>Redundancies</v>
      </c>
      <c r="AE95" s="1"/>
      <c r="AF95" s="18">
        <f>+[1]RADIO!K93</f>
        <v>-6.37902405198213</v>
      </c>
      <c r="AG95" s="19">
        <f>+[1]RADIO!L93</f>
        <v>-3.4400657901434601</v>
      </c>
      <c r="AH95" s="20">
        <f>IF(AG95=0,"---",IF(OR(ABS((AF95-AG95)/ABS(AG95))&gt;2,(AF95*AG95)&lt;0),"---",IF(AG95="0","---",((AF95-AG95)/ABS(AG95))*100)))</f>
        <v>-85.433199279485507</v>
      </c>
      <c r="AK95" s="18">
        <f>+[1]RADIO!O93</f>
        <v>-2.2135308615746299</v>
      </c>
      <c r="AL95" s="19">
        <f>+[1]RADIO!P93</f>
        <v>-0.89639742591320992</v>
      </c>
      <c r="AM95" s="20">
        <f>IF(AL95=0,"---",IF(OR(ABS((AK95-AL95)/ABS(AL95))&gt;2,(AK95*AL95)&lt;0),"---",IF(AL95="0","---",((AK95-AL95)/ABS(AL95))*100)))</f>
        <v>-146.93632507027593</v>
      </c>
      <c r="AQ95" s="17" t="str">
        <f>+IF($B$3="esp","Indemnizaciones y otros no recurrentes","Redundancies and other non-recurrent")</f>
        <v>Redundancies and other non-recurrent</v>
      </c>
      <c r="AR95" s="1"/>
      <c r="AS95" s="18">
        <f>+[1]NOTICIAS!K45</f>
        <v>-3.7439328314450599</v>
      </c>
      <c r="AT95" s="19">
        <f>+[1]NOTICIAS!L45</f>
        <v>-2.3026233499999997</v>
      </c>
      <c r="AU95" s="20">
        <f>IF(AT95=0,"---",IF(OR(ABS((AS95-AT95)/ABS(AT95))&gt;2,(AS95*AT95)&lt;0),"---",IF(AT95="0","---",((AS95-AT95)/ABS(AT95))*100)))</f>
        <v>-62.594235459527511</v>
      </c>
      <c r="AX95" s="18">
        <f>+[1]NOTICIAS!O45</f>
        <v>-2.4778529599999999</v>
      </c>
      <c r="AY95" s="19">
        <f>+[1]NOTICIAS!P45</f>
        <v>8.4365740000000411E-2</v>
      </c>
      <c r="AZ95" s="20" t="str">
        <f>IF(AY95=0,"---",IF(OR(ABS((AX95-AY95)/ABS(AY95))&gt;2,(AX95*AY95)&lt;0),"---",IF(AY95="0","---",((AX95-AY95)/ABS(AY95))*100)))</f>
        <v>---</v>
      </c>
      <c r="BD95" s="17" t="str">
        <f>+IF($B$3="esp","Indemnizaciones","Redundancies")</f>
        <v>Redundancies</v>
      </c>
      <c r="BF95" s="18">
        <f>+'[1]MEDIA CAPITAL'!K55</f>
        <v>-0.35301091000000184</v>
      </c>
      <c r="BG95" s="19">
        <f>+'[1]MEDIA CAPITAL'!L55</f>
        <v>-0.833066689999999</v>
      </c>
      <c r="BH95" s="20">
        <f t="shared" si="26"/>
        <v>57.625132028745227</v>
      </c>
      <c r="BI95" s="1"/>
      <c r="BK95" s="18">
        <f>+'[1]MEDIA CAPITAL'!O55</f>
        <v>-0.22920474000000191</v>
      </c>
      <c r="BL95" s="19">
        <f>+'[1]MEDIA CAPITAL'!P55</f>
        <v>-0.24903807999999916</v>
      </c>
      <c r="BM95" s="20">
        <f t="shared" si="27"/>
        <v>7.963978842110139</v>
      </c>
    </row>
    <row r="96" spans="4:65" ht="15" customHeight="1" x14ac:dyDescent="0.2">
      <c r="D96" s="17"/>
      <c r="F96" s="18"/>
      <c r="G96" s="19"/>
      <c r="H96" s="20" t="str">
        <f t="shared" si="28"/>
        <v>---</v>
      </c>
      <c r="K96" s="18"/>
      <c r="L96" s="19"/>
      <c r="M96" s="20" t="str">
        <f t="shared" si="29"/>
        <v>---</v>
      </c>
      <c r="Q96" s="17" t="str">
        <f>+IF($B$3="esp","Otros","Other")</f>
        <v>Other</v>
      </c>
      <c r="S96" s="18">
        <f>+[1]SANTILLANA!K101</f>
        <v>0</v>
      </c>
      <c r="T96" s="19">
        <f>+[1]SANTILLANA!L101</f>
        <v>0</v>
      </c>
      <c r="U96" s="20" t="str">
        <f>IF(T96=0,"---",IF(OR(ABS((S96-T96)/ABS(T96))&gt;2,(S96*T96)&lt;0),"---",IF(T96="0","---",((S96-T96)/ABS(T96))*100)))</f>
        <v>---</v>
      </c>
      <c r="V96" s="13"/>
      <c r="X96" s="18">
        <f>+[1]SANTILLANA!O101</f>
        <v>0</v>
      </c>
      <c r="Y96" s="19">
        <f>+[1]SANTILLANA!P101</f>
        <v>0</v>
      </c>
      <c r="Z96" s="20" t="str">
        <f>IF(Y96=0,"---",IF(OR(ABS((X96-Y96)/ABS(Y96))&gt;2,(X96*Y96)&lt;0),"---",IF(Y96="0","---",((X96-Y96)/ABS(Y96))*100)))</f>
        <v>---</v>
      </c>
      <c r="AA96" s="13"/>
      <c r="AD96" s="17"/>
      <c r="AF96" s="18"/>
      <c r="AG96" s="19"/>
      <c r="AH96" s="20"/>
      <c r="AK96" s="18"/>
      <c r="AL96" s="19"/>
      <c r="AM96" s="20"/>
      <c r="AQ96" s="17"/>
      <c r="AS96" s="18"/>
      <c r="AT96" s="19"/>
      <c r="AU96" s="20"/>
      <c r="AX96" s="18"/>
      <c r="AY96" s="19"/>
      <c r="AZ96" s="20"/>
      <c r="BD96" s="17"/>
      <c r="BF96" s="18"/>
      <c r="BG96" s="19"/>
      <c r="BH96" s="20" t="str">
        <f t="shared" si="26"/>
        <v>---</v>
      </c>
      <c r="BK96" s="18"/>
      <c r="BL96" s="19"/>
      <c r="BM96" s="20" t="str">
        <f t="shared" si="27"/>
        <v>---</v>
      </c>
    </row>
    <row r="97" spans="1:65" ht="15" customHeight="1" x14ac:dyDescent="0.2">
      <c r="D97" s="17"/>
      <c r="F97" s="18"/>
      <c r="G97" s="19"/>
      <c r="H97" s="20" t="str">
        <f t="shared" si="28"/>
        <v>---</v>
      </c>
      <c r="K97" s="18"/>
      <c r="L97" s="19"/>
      <c r="M97" s="20" t="str">
        <f t="shared" si="29"/>
        <v>---</v>
      </c>
      <c r="Q97" s="17"/>
      <c r="S97" s="18"/>
      <c r="T97" s="19"/>
      <c r="U97" s="20"/>
      <c r="V97" s="13"/>
      <c r="X97" s="18"/>
      <c r="Y97" s="19"/>
      <c r="Z97" s="20"/>
      <c r="AA97" s="13"/>
      <c r="AD97" s="17"/>
      <c r="AF97" s="18"/>
      <c r="AG97" s="19"/>
      <c r="AH97" s="20"/>
      <c r="AK97" s="18"/>
      <c r="AL97" s="19"/>
      <c r="AM97" s="20"/>
      <c r="AQ97" s="17"/>
      <c r="AS97" s="18"/>
      <c r="AT97" s="19"/>
      <c r="AU97" s="20"/>
      <c r="AX97" s="18"/>
      <c r="AY97" s="19"/>
      <c r="AZ97" s="20"/>
      <c r="BD97" s="17"/>
      <c r="BF97" s="18"/>
      <c r="BG97" s="19"/>
      <c r="BH97" s="20" t="str">
        <f t="shared" si="26"/>
        <v>---</v>
      </c>
      <c r="BK97" s="18"/>
      <c r="BL97" s="19"/>
      <c r="BM97" s="20" t="str">
        <f t="shared" si="27"/>
        <v>---</v>
      </c>
    </row>
    <row r="98" spans="1:65" ht="15" customHeight="1" x14ac:dyDescent="0.2">
      <c r="D98" s="17"/>
      <c r="F98" s="18"/>
      <c r="G98" s="19"/>
      <c r="H98" s="20" t="str">
        <f t="shared" si="28"/>
        <v>---</v>
      </c>
      <c r="K98" s="18"/>
      <c r="L98" s="19"/>
      <c r="M98" s="20" t="str">
        <f t="shared" si="29"/>
        <v>---</v>
      </c>
      <c r="Q98" s="17"/>
      <c r="S98" s="18"/>
      <c r="T98" s="19"/>
      <c r="U98" s="20"/>
      <c r="V98" s="13"/>
      <c r="X98" s="18"/>
      <c r="Y98" s="19"/>
      <c r="Z98" s="20"/>
      <c r="AA98" s="13"/>
      <c r="AD98" s="17"/>
      <c r="AF98" s="18"/>
      <c r="AG98" s="19"/>
      <c r="AH98" s="20"/>
      <c r="AK98" s="18"/>
      <c r="AL98" s="19"/>
      <c r="AM98" s="20"/>
      <c r="AQ98" s="17"/>
      <c r="AS98" s="18"/>
      <c r="AT98" s="19"/>
      <c r="AU98" s="20"/>
      <c r="AX98" s="18"/>
      <c r="AY98" s="19"/>
      <c r="AZ98" s="20"/>
      <c r="BD98" s="17"/>
      <c r="BF98" s="18"/>
      <c r="BG98" s="19"/>
      <c r="BH98" s="20" t="str">
        <f t="shared" si="26"/>
        <v>---</v>
      </c>
      <c r="BK98" s="18"/>
      <c r="BL98" s="19"/>
      <c r="BM98" s="20" t="str">
        <f t="shared" si="27"/>
        <v>---</v>
      </c>
    </row>
    <row r="99" spans="1:65" ht="15" customHeight="1" x14ac:dyDescent="0.2">
      <c r="A99" s="45"/>
      <c r="D99" s="13" t="str">
        <f>+IF($B$3="esp","Efectos extraordinarios en Amort.y Provisiones","One-offs in Amortization&amp;Provisions")</f>
        <v>One-offs in Amortization&amp;Provisions</v>
      </c>
      <c r="E99" s="13"/>
      <c r="F99" s="14">
        <f>+[1]GRUPO!K114</f>
        <v>0</v>
      </c>
      <c r="G99" s="15">
        <f>+[1]GRUPO!L114</f>
        <v>0</v>
      </c>
      <c r="H99" s="16" t="str">
        <f>IF(G99=0,"---",IF(OR(ABS((F99-G99)/ABS(G99))&gt;2,(F99*G99)&lt;0),"---",IF(G99="0","---",((F99-G99)/ABS(G99))*100)))</f>
        <v>---</v>
      </c>
      <c r="K99" s="14">
        <f>+[1]GRUPO!O114</f>
        <v>0</v>
      </c>
      <c r="L99" s="15">
        <f>+[1]GRUPO!P114</f>
        <v>0</v>
      </c>
      <c r="M99" s="16" t="str">
        <f>IF(L99=0,"---",IF(OR(ABS((K99-L99)/ABS(L99))&gt;2,(K99*L99)&lt;0),"---",IF(L99="0","---",((K99-L99)/ABS(L99))*100)))</f>
        <v>---</v>
      </c>
      <c r="Q99" s="17"/>
      <c r="S99" s="18"/>
      <c r="T99" s="19"/>
      <c r="U99" s="20"/>
      <c r="X99" s="18"/>
      <c r="Y99" s="19"/>
      <c r="Z99" s="20"/>
      <c r="AD99" s="17"/>
      <c r="AF99" s="18"/>
      <c r="AG99" s="19"/>
      <c r="AH99" s="20"/>
      <c r="AK99" s="18"/>
      <c r="AL99" s="19"/>
      <c r="AM99" s="20"/>
      <c r="AQ99" s="17"/>
      <c r="AS99" s="18"/>
      <c r="AT99" s="19"/>
      <c r="AU99" s="20"/>
      <c r="AX99" s="18"/>
      <c r="AY99" s="19"/>
      <c r="AZ99" s="20"/>
      <c r="BD99" s="17"/>
      <c r="BF99" s="18"/>
      <c r="BG99" s="19"/>
      <c r="BH99" s="20" t="str">
        <f t="shared" si="26"/>
        <v>---</v>
      </c>
      <c r="BK99" s="18"/>
      <c r="BL99" s="19"/>
      <c r="BM99" s="20" t="str">
        <f t="shared" si="27"/>
        <v>---</v>
      </c>
    </row>
    <row r="100" spans="1:65" ht="15" customHeight="1" x14ac:dyDescent="0.2">
      <c r="D100" s="17" t="str">
        <f>+IF($B$3="esp","Otros deterioros","Other impairments")</f>
        <v>Other impairments</v>
      </c>
      <c r="F100" s="18">
        <f>+[1]GRUPO!K115</f>
        <v>0</v>
      </c>
      <c r="G100" s="19">
        <f>+[1]GRUPO!L115</f>
        <v>0</v>
      </c>
      <c r="H100" s="20" t="str">
        <f>IF(G100=0,"---",IF(OR(ABS((F100-G100)/ABS(G100))&gt;2,(F100*G100)&lt;0),"---",IF(G100="0","---",((F100-G100)/ABS(G100))*100)))</f>
        <v>---</v>
      </c>
      <c r="K100" s="18">
        <f>+[1]GRUPO!O115</f>
        <v>0</v>
      </c>
      <c r="L100" s="19">
        <f>+[1]GRUPO!P115</f>
        <v>0</v>
      </c>
      <c r="M100" s="20" t="str">
        <f>IF(L100=0,"---",IF(OR(ABS((K100-L100)/ABS(L100))&gt;2,(K100*L100)&lt;0),"---",IF(L100="0","---",((K100-L100)/ABS(L100))*100)))</f>
        <v>---</v>
      </c>
      <c r="Q100" s="13" t="str">
        <f>+IF($B$3="esp","Efectos extraordinarios en Amort.y Provisiones","One-offs in Amortization&amp;Provisions")</f>
        <v>One-offs in Amortization&amp;Provisions</v>
      </c>
      <c r="R100" s="13"/>
      <c r="S100" s="14">
        <f>+[1]SANTILLANA!K103</f>
        <v>0</v>
      </c>
      <c r="T100" s="15">
        <f>+[1]SANTILLANA!L103</f>
        <v>0</v>
      </c>
      <c r="U100" s="16" t="str">
        <f>IF(T100=0,"---",IF(OR(ABS((S100-T100)/ABS(T100))&gt;2,(S100*T100)&lt;0),"---",IF(T100="0","---",((S100-T100)/ABS(T100))*100)))</f>
        <v>---</v>
      </c>
      <c r="X100" s="14">
        <f>+[1]SANTILLANA!O103</f>
        <v>0</v>
      </c>
      <c r="Y100" s="15">
        <f>+[1]SANTILLANA!P103</f>
        <v>0</v>
      </c>
      <c r="Z100" s="16" t="str">
        <f>IF(Y100=0,"---",IF(OR(ABS((X100-Y100)/ABS(Y100))&gt;2,(X100*Y100)&lt;0),"---",IF(Y100="0","---",((X100-Y100)/ABS(Y100))*100)))</f>
        <v>---</v>
      </c>
      <c r="AD100" s="13" t="str">
        <f>+IF($B$3="esp","Efectos extraordinarios en Amort.y Provisiones","One-offs in Amortization&amp;Provisions")</f>
        <v>One-offs in Amortization&amp;Provisions</v>
      </c>
      <c r="AE100" s="13"/>
      <c r="AF100" s="14">
        <f>+[1]RADIO!K98</f>
        <v>0</v>
      </c>
      <c r="AG100" s="15">
        <f>+[1]RADIO!L98</f>
        <v>0</v>
      </c>
      <c r="AH100" s="16" t="str">
        <f>IF(AG100=0,"---",IF(OR(ABS((AF100-AG100)/ABS(AG100))&gt;2,(AF100*AG100)&lt;0),"---",IF(AG100="0","---",((AF100-AG100)/ABS(AG100))*100)))</f>
        <v>---</v>
      </c>
      <c r="AK100" s="14">
        <f>+[1]RADIO!O98</f>
        <v>0</v>
      </c>
      <c r="AL100" s="15">
        <f>+[1]RADIO!P98</f>
        <v>0</v>
      </c>
      <c r="AM100" s="16" t="str">
        <f>IF(AL100=0,"---",IF(OR(ABS((AK100-AL100)/ABS(AL100))&gt;2,(AK100*AL100)&lt;0),"---",IF(AL100="0","---",((AK100-AL100)/ABS(AL100))*100)))</f>
        <v>---</v>
      </c>
      <c r="AQ100" s="13" t="str">
        <f>+IF($B$3="esp","Efectos extraordinarios en Amort.y Provisiones","One-offs in Amortization&amp;Provisions")</f>
        <v>One-offs in Amortization&amp;Provisions</v>
      </c>
      <c r="AR100" s="13"/>
      <c r="AS100" s="14">
        <f>+[1]NOTICIAS!K50</f>
        <v>0</v>
      </c>
      <c r="AT100" s="15">
        <f>+[1]NOTICIAS!L50</f>
        <v>0</v>
      </c>
      <c r="AU100" s="16" t="str">
        <f>IF(AT100=0,"---",IF(OR(ABS((AS100-AT100)/ABS(AT100))&gt;2,(AS100*AT100)&lt;0),"---",IF(AT100="0","---",((AS100-AT100)/ABS(AT100))*100)))</f>
        <v>---</v>
      </c>
      <c r="AX100" s="14">
        <f>+[1]NOTICIAS!O50</f>
        <v>0</v>
      </c>
      <c r="AY100" s="15">
        <f>+[1]NOTICIAS!P50</f>
        <v>0</v>
      </c>
      <c r="AZ100" s="16" t="str">
        <f>IF(AY100=0,"---",IF(OR(ABS((AX100-AY100)/ABS(AY100))&gt;2,(AX100*AY100)&lt;0),"---",IF(AY100="0","---",((AX100-AY100)/ABS(AY100))*100)))</f>
        <v>---</v>
      </c>
      <c r="BD100" s="13" t="str">
        <f>+IF($B$3="esp","Efectos extraordinarios en Amort.y Provisiones","One-offs in Amortization&amp;Provisions")</f>
        <v>One-offs in Amortization&amp;Provisions</v>
      </c>
      <c r="BF100" s="14">
        <f>+'[1]MEDIA CAPITAL'!K60</f>
        <v>0</v>
      </c>
      <c r="BG100" s="15">
        <f>+'[1]MEDIA CAPITAL'!L60</f>
        <v>0</v>
      </c>
      <c r="BH100" s="16" t="str">
        <f t="shared" si="26"/>
        <v>---</v>
      </c>
      <c r="BI100" s="13"/>
      <c r="BK100" s="14">
        <f>+'[1]MEDIA CAPITAL'!O60</f>
        <v>0</v>
      </c>
      <c r="BL100" s="15">
        <f>+'[1]MEDIA CAPITAL'!P60</f>
        <v>0</v>
      </c>
      <c r="BM100" s="16" t="str">
        <f t="shared" si="27"/>
        <v>---</v>
      </c>
    </row>
    <row r="101" spans="1:65" ht="15" customHeight="1" x14ac:dyDescent="0.2">
      <c r="D101" s="17"/>
      <c r="F101" s="18"/>
      <c r="G101" s="19"/>
      <c r="H101" s="20" t="str">
        <f t="shared" ref="H101:H103" si="30">IF(G101=0,"---",IF(OR(ABS((F101-G101)/ABS(G101))&gt;2,(F101*G101)&lt;0),"---",IF(G101="0","---",((F101-G101)/ABS(G101))*100)))</f>
        <v>---</v>
      </c>
      <c r="I101" s="13"/>
      <c r="K101" s="18"/>
      <c r="L101" s="19"/>
      <c r="M101" s="20" t="str">
        <f t="shared" ref="M101:M103" si="31">IF(L101=0,"---",IF(OR(ABS((K101-L101)/ABS(L101))&gt;2,(K101*L101)&lt;0),"---",IF(L101="0","---",((K101-L101)/ABS(L101))*100)))</f>
        <v>---</v>
      </c>
      <c r="N101" s="13"/>
      <c r="Q101" s="17" t="str">
        <f>+IF($B$3="esp","Otros","Other")</f>
        <v>Other</v>
      </c>
      <c r="S101" s="18">
        <f>+[1]SANTILLANA!K104</f>
        <v>0</v>
      </c>
      <c r="T101" s="19">
        <f>+[1]SANTILLANA!L104</f>
        <v>0</v>
      </c>
      <c r="U101" s="20" t="str">
        <f>IF(T101=0,"---",IF(OR(ABS((S101-T101)/ABS(T101))&gt;2,(S101*T101)&lt;0),"---",IF(T101="0","---",((S101-T101)/ABS(T101))*100)))</f>
        <v>---</v>
      </c>
      <c r="X101" s="18">
        <f>+[1]SANTILLANA!O104</f>
        <v>0</v>
      </c>
      <c r="Y101" s="19">
        <f>+[1]SANTILLANA!P104</f>
        <v>0</v>
      </c>
      <c r="Z101" s="20" t="str">
        <f>IF(Y101=0,"---",IF(OR(ABS((X101-Y101)/ABS(Y101))&gt;2,(X101*Y101)&lt;0),"---",IF(Y101="0","---",((X101-Y101)/ABS(Y101))*100)))</f>
        <v>---</v>
      </c>
      <c r="AD101" s="17" t="str">
        <f>+IF($B$3="esp","Deterioros y Pérdidas de inmovilizado","Impairment &amp; Losses from fixed assets")</f>
        <v>Impairment &amp; Losses from fixed assets</v>
      </c>
      <c r="AF101" s="18">
        <f>+[1]RADIO!K99</f>
        <v>0</v>
      </c>
      <c r="AG101" s="19">
        <f>+[1]RADIO!L99</f>
        <v>0</v>
      </c>
      <c r="AH101" s="20" t="str">
        <f>IF(AG101=0,"---",IF(OR(ABS((AF101-AG101)/ABS(AG101))&gt;2,(AF101*AG101)&lt;0),"---",IF(AG101="0","---",((AF101-AG101)/ABS(AG101))*100)))</f>
        <v>---</v>
      </c>
      <c r="AK101" s="18">
        <f>+[1]RADIO!O99</f>
        <v>0</v>
      </c>
      <c r="AL101" s="19">
        <f>+[1]RADIO!P99</f>
        <v>0</v>
      </c>
      <c r="AM101" s="20" t="str">
        <f>IF(AL101=0,"---",IF(OR(ABS((AK101-AL101)/ABS(AL101))&gt;2,(AK101*AL101)&lt;0),"---",IF(AL101="0","---",((AK101-AL101)/ABS(AL101))*100)))</f>
        <v>---</v>
      </c>
      <c r="AQ101" s="17" t="str">
        <f>+IF($B$3="esp","Deterioros y Pérdidas de inmovilizado","Impairment &amp; Losses from fixed assets")</f>
        <v>Impairment &amp; Losses from fixed assets</v>
      </c>
      <c r="AS101" s="18">
        <f>+[1]NOTICIAS!K51</f>
        <v>0</v>
      </c>
      <c r="AT101" s="19">
        <f>+[1]NOTICIAS!L51</f>
        <v>0</v>
      </c>
      <c r="AU101" s="20" t="str">
        <f>IF(AT101=0,"---",IF(OR(ABS((AS101-AT101)/ABS(AT101))&gt;2,(AS101*AT101)&lt;0),"---",IF(AT101="0","---",((AS101-AT101)/ABS(AT101))*100)))</f>
        <v>---</v>
      </c>
      <c r="AX101" s="18">
        <f>+[1]NOTICIAS!O51</f>
        <v>0</v>
      </c>
      <c r="AY101" s="19">
        <f>+[1]NOTICIAS!P51</f>
        <v>0</v>
      </c>
      <c r="AZ101" s="20" t="str">
        <f>IF(AY101=0,"---",IF(OR(ABS((AX101-AY101)/ABS(AY101))&gt;2,(AX101*AY101)&lt;0),"---",IF(AY101="0","---",((AX101-AY101)/ABS(AY101))*100)))</f>
        <v>---</v>
      </c>
      <c r="BD101" s="17" t="str">
        <f>+IF($B$3="esp","Deterioros y Pérdidas de inmovilizado","Impairment &amp; Losses from fixed assets")</f>
        <v>Impairment &amp; Losses from fixed assets</v>
      </c>
      <c r="BF101" s="18"/>
      <c r="BG101" s="19"/>
      <c r="BH101" s="20" t="str">
        <f t="shared" si="26"/>
        <v>---</v>
      </c>
      <c r="BK101" s="18"/>
      <c r="BL101" s="19"/>
      <c r="BM101" s="20" t="str">
        <f t="shared" si="27"/>
        <v>---</v>
      </c>
    </row>
    <row r="102" spans="1:65" s="13" customFormat="1" ht="15" customHeight="1" x14ac:dyDescent="0.2">
      <c r="D102" s="17"/>
      <c r="E102" s="1"/>
      <c r="F102" s="18"/>
      <c r="G102" s="19"/>
      <c r="H102" s="20" t="str">
        <f t="shared" si="30"/>
        <v>---</v>
      </c>
      <c r="I102" s="1"/>
      <c r="K102" s="18"/>
      <c r="L102" s="19"/>
      <c r="M102" s="20" t="str">
        <f t="shared" si="31"/>
        <v>---</v>
      </c>
      <c r="N102" s="1"/>
      <c r="Q102" s="17"/>
      <c r="R102" s="1"/>
      <c r="S102" s="18"/>
      <c r="T102" s="19"/>
      <c r="U102" s="20"/>
      <c r="X102" s="18"/>
      <c r="Y102" s="19"/>
      <c r="Z102" s="20"/>
      <c r="AD102" s="17"/>
      <c r="AE102" s="1"/>
      <c r="AF102" s="18"/>
      <c r="AG102" s="19"/>
      <c r="AH102" s="20"/>
      <c r="AK102" s="18"/>
      <c r="AL102" s="19"/>
      <c r="AM102" s="20"/>
      <c r="AQ102" s="17"/>
      <c r="AR102" s="1"/>
      <c r="AS102" s="18"/>
      <c r="AT102" s="19"/>
      <c r="AU102" s="20"/>
      <c r="AX102" s="18"/>
      <c r="AY102" s="19"/>
      <c r="AZ102" s="20"/>
    </row>
    <row r="103" spans="1:65" ht="15" customHeight="1" x14ac:dyDescent="0.2">
      <c r="D103" s="17"/>
      <c r="F103" s="18"/>
      <c r="G103" s="19"/>
      <c r="H103" s="20" t="str">
        <f t="shared" si="30"/>
        <v>---</v>
      </c>
      <c r="K103" s="18"/>
      <c r="L103" s="19"/>
      <c r="M103" s="20" t="str">
        <f t="shared" si="31"/>
        <v>---</v>
      </c>
      <c r="Q103" s="17"/>
      <c r="S103" s="18"/>
      <c r="T103" s="19"/>
      <c r="U103" s="20"/>
      <c r="X103" s="18"/>
      <c r="Y103" s="19"/>
      <c r="Z103" s="20"/>
      <c r="AD103" s="17"/>
      <c r="AF103" s="18"/>
      <c r="AG103" s="19"/>
      <c r="AH103" s="20"/>
      <c r="AK103" s="18"/>
      <c r="AL103" s="19"/>
      <c r="AM103" s="20"/>
      <c r="AQ103" s="17"/>
      <c r="AS103" s="18"/>
      <c r="AT103" s="19"/>
      <c r="AU103" s="20"/>
      <c r="AX103" s="18"/>
      <c r="AY103" s="19"/>
      <c r="AZ103" s="20"/>
    </row>
    <row r="104" spans="1:65" ht="15" customHeight="1" x14ac:dyDescent="0.2">
      <c r="A104" s="45"/>
      <c r="D104" s="17"/>
      <c r="F104" s="19"/>
      <c r="G104" s="19"/>
      <c r="H104" s="20"/>
      <c r="K104" s="19"/>
      <c r="L104" s="19"/>
      <c r="M104" s="20"/>
      <c r="Q104" s="17"/>
      <c r="S104" s="18"/>
      <c r="T104" s="19"/>
      <c r="U104" s="20"/>
      <c r="X104" s="18"/>
      <c r="Y104" s="19"/>
      <c r="Z104" s="20"/>
      <c r="AD104" s="17"/>
      <c r="AF104" s="18"/>
      <c r="AG104" s="19"/>
      <c r="AH104" s="20"/>
      <c r="AK104" s="18"/>
      <c r="AL104" s="19"/>
      <c r="AM104" s="20"/>
      <c r="AQ104" s="17"/>
      <c r="AS104" s="18"/>
      <c r="AT104" s="19"/>
      <c r="AU104" s="20"/>
      <c r="AX104" s="18"/>
      <c r="AY104" s="19"/>
      <c r="AZ104" s="20"/>
    </row>
    <row r="105" spans="1:65" ht="15" customHeight="1" x14ac:dyDescent="0.2">
      <c r="Q105" s="17"/>
      <c r="S105" s="18"/>
      <c r="T105" s="19"/>
      <c r="U105" s="20"/>
      <c r="X105" s="18"/>
      <c r="Y105" s="19"/>
      <c r="Z105" s="20"/>
      <c r="AD105" s="17"/>
      <c r="AF105" s="18"/>
      <c r="AG105" s="19"/>
      <c r="AH105" s="20"/>
      <c r="AK105" s="18"/>
      <c r="AL105" s="19"/>
      <c r="AM105" s="20"/>
      <c r="AQ105" s="17"/>
      <c r="AS105" s="18"/>
      <c r="AT105" s="19"/>
      <c r="AU105" s="20"/>
      <c r="AX105" s="18"/>
      <c r="AY105" s="19"/>
      <c r="AZ105" s="20"/>
    </row>
    <row r="106" spans="1:65" ht="15" customHeight="1" x14ac:dyDescent="0.2">
      <c r="D106" s="17"/>
      <c r="F106" s="19"/>
      <c r="G106" s="19"/>
      <c r="H106" s="20"/>
      <c r="K106" s="19"/>
      <c r="L106" s="19"/>
      <c r="M106" s="20"/>
    </row>
    <row r="107" spans="1:65" ht="15" customHeight="1" x14ac:dyDescent="0.2"/>
    <row r="108" spans="1:65" ht="15" customHeight="1" x14ac:dyDescent="0.2">
      <c r="D108" s="17"/>
      <c r="F108" s="19"/>
      <c r="G108" s="19"/>
      <c r="H108" s="20"/>
      <c r="K108" s="19"/>
      <c r="L108" s="19"/>
      <c r="M108" s="20"/>
    </row>
    <row r="111" spans="1:65" x14ac:dyDescent="0.2"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</row>
    <row r="114" spans="4:65" x14ac:dyDescent="0.2">
      <c r="D114" s="9" t="str">
        <f>+IF($B$3="esp","Millones de €","€ Millions")</f>
        <v>€ Millions</v>
      </c>
      <c r="F114" s="7" t="str">
        <f>+F86</f>
        <v>JANUARY - JUNE</v>
      </c>
      <c r="G114" s="8"/>
      <c r="H114" s="8"/>
      <c r="K114" s="7" t="str">
        <f>+K86</f>
        <v>APRIL - JUNE</v>
      </c>
      <c r="L114" s="8"/>
      <c r="M114" s="8"/>
      <c r="Q114" s="9" t="str">
        <f>+IF($B$3="esp","Millones de €","€ Millions")</f>
        <v>€ Millions</v>
      </c>
      <c r="S114" s="7" t="str">
        <f>+S6</f>
        <v>JANUARY - JUNE</v>
      </c>
      <c r="T114" s="8"/>
      <c r="U114" s="8"/>
      <c r="X114" s="7" t="str">
        <f>+X6</f>
        <v>APRIL - JUNE</v>
      </c>
      <c r="Y114" s="8"/>
      <c r="Z114" s="8"/>
      <c r="AD114" s="9" t="str">
        <f>+IF($B$3="esp","Millones de €","€ Millions")</f>
        <v>€ Millions</v>
      </c>
      <c r="AF114" s="7" t="str">
        <f>+AF6</f>
        <v>JANUARY - JUNE</v>
      </c>
      <c r="AG114" s="8"/>
      <c r="AH114" s="8"/>
      <c r="AK114" s="7" t="str">
        <f>+AK6</f>
        <v>APRIL - JUNE</v>
      </c>
      <c r="AL114" s="8"/>
      <c r="AM114" s="8"/>
      <c r="AQ114" s="9" t="str">
        <f>+IF($B$3="esp","Millones de €","€ Millions")</f>
        <v>€ Millions</v>
      </c>
      <c r="AS114" s="7" t="str">
        <f>+AS6</f>
        <v>JANUARY - JUNE</v>
      </c>
      <c r="AT114" s="8"/>
      <c r="AU114" s="8"/>
      <c r="AX114" s="7" t="str">
        <f>+AX6</f>
        <v>APRIL - JUNE</v>
      </c>
      <c r="AY114" s="8"/>
      <c r="AZ114" s="8"/>
      <c r="BF114" s="7" t="str">
        <f>+BF6</f>
        <v>JANUARY - JUNE</v>
      </c>
      <c r="BG114" s="8"/>
      <c r="BH114" s="8"/>
      <c r="BK114" s="7" t="str">
        <f>+BK6</f>
        <v>APRIL - JUNE</v>
      </c>
      <c r="BL114" s="8"/>
      <c r="BM114" s="8"/>
    </row>
    <row r="115" spans="4:65" ht="6.75" customHeight="1" x14ac:dyDescent="0.2">
      <c r="D115" s="9"/>
    </row>
    <row r="116" spans="4:65" ht="14.25" x14ac:dyDescent="0.2">
      <c r="D116" s="46" t="str">
        <f>+IF($B$3="esp","GRUPO","GROUP")</f>
        <v>GROUP</v>
      </c>
      <c r="F116" s="10">
        <v>2018</v>
      </c>
      <c r="G116" s="10">
        <v>2017</v>
      </c>
      <c r="H116" s="10" t="str">
        <f>+IF($B$3="esp","Var.%","% Chg.")</f>
        <v>% Chg.</v>
      </c>
      <c r="K116" s="10">
        <v>2018</v>
      </c>
      <c r="L116" s="10">
        <v>2017</v>
      </c>
      <c r="M116" s="10" t="str">
        <f>+IF($B$3="esp","Var.%","% Chg.")</f>
        <v>% Chg.</v>
      </c>
      <c r="Q116" s="46" t="str">
        <f>+IF($B$3="esp","EDUCACIÓN","EDUCATION")</f>
        <v>EDUCATION</v>
      </c>
      <c r="S116" s="10">
        <v>2018</v>
      </c>
      <c r="T116" s="10">
        <v>2017</v>
      </c>
      <c r="U116" s="10" t="str">
        <f>+IF($B$3="esp","Var.%","% Chg.")</f>
        <v>% Chg.</v>
      </c>
      <c r="X116" s="10">
        <v>2018</v>
      </c>
      <c r="Y116" s="10">
        <v>2017</v>
      </c>
      <c r="Z116" s="10" t="str">
        <f>+IF($B$3="esp","Var.%","% Chg.")</f>
        <v>% Chg.</v>
      </c>
      <c r="AD116" s="46" t="str">
        <f>+IF($B$3="esp","RADIO","RADIO")</f>
        <v>RADIO</v>
      </c>
      <c r="AF116" s="10">
        <v>2018</v>
      </c>
      <c r="AG116" s="10">
        <v>2017</v>
      </c>
      <c r="AH116" s="10" t="str">
        <f>+IF($B$3="esp","Var.%","% Chg.")</f>
        <v>% Chg.</v>
      </c>
      <c r="AK116" s="10">
        <v>2018</v>
      </c>
      <c r="AL116" s="10">
        <v>2017</v>
      </c>
      <c r="AM116" s="10" t="str">
        <f>+IF($B$3="esp","Var.%","% Chg.")</f>
        <v>% Chg.</v>
      </c>
      <c r="AQ116" s="46" t="str">
        <f>+IF($B$3="esp","PRENSA","PRESS")</f>
        <v>PRESS</v>
      </c>
      <c r="AS116" s="10">
        <v>2018</v>
      </c>
      <c r="AT116" s="10">
        <v>2017</v>
      </c>
      <c r="AU116" s="10" t="str">
        <f>+IF($B$3="esp","Var.%","% Chg.")</f>
        <v>% Chg.</v>
      </c>
      <c r="AX116" s="10">
        <v>2018</v>
      </c>
      <c r="AY116" s="10">
        <v>2017</v>
      </c>
      <c r="AZ116" s="10" t="str">
        <f>+IF($B$3="esp","Var.%","% Chg.")</f>
        <v>% Chg.</v>
      </c>
      <c r="BD116" s="46" t="str">
        <f>+IF($B$3="esp","MEDIA CAPITAL","MEDIA CAPITAL")</f>
        <v>MEDIA CAPITAL</v>
      </c>
      <c r="BF116" s="10">
        <v>2018</v>
      </c>
      <c r="BG116" s="10">
        <v>2017</v>
      </c>
      <c r="BH116" s="10" t="str">
        <f>+IF($B$3="esp","Var.%","% Chg.")</f>
        <v>% Chg.</v>
      </c>
      <c r="BK116" s="10">
        <v>2018</v>
      </c>
      <c r="BL116" s="10">
        <v>2017</v>
      </c>
      <c r="BM116" s="10" t="str">
        <f>+IF($B$3="esp","Var.%","% Chg.")</f>
        <v>% Chg.</v>
      </c>
    </row>
    <row r="117" spans="4:65" ht="15.75" customHeight="1" x14ac:dyDescent="0.2">
      <c r="D117" s="11"/>
      <c r="F117" s="12"/>
      <c r="G117" s="12"/>
      <c r="H117" s="12"/>
      <c r="K117" s="12"/>
      <c r="L117" s="12"/>
      <c r="M117" s="12"/>
      <c r="Q117" s="11"/>
      <c r="S117" s="12"/>
      <c r="T117" s="12"/>
      <c r="U117" s="12"/>
      <c r="X117" s="12"/>
      <c r="Y117" s="12"/>
      <c r="Z117" s="12"/>
      <c r="AD117" s="11"/>
      <c r="AF117" s="12"/>
      <c r="AG117" s="12"/>
      <c r="AH117" s="12"/>
      <c r="AK117" s="12"/>
      <c r="AL117" s="12"/>
      <c r="AM117" s="12"/>
      <c r="AQ117" s="11"/>
      <c r="AS117" s="12"/>
      <c r="AT117" s="12"/>
      <c r="AU117" s="12"/>
      <c r="AX117" s="12"/>
      <c r="AY117" s="12"/>
      <c r="AZ117" s="12"/>
      <c r="BD117" s="11"/>
      <c r="BF117" s="12"/>
      <c r="BG117" s="12"/>
      <c r="BH117" s="12"/>
      <c r="BK117" s="12"/>
      <c r="BL117" s="12"/>
      <c r="BM117" s="12"/>
    </row>
    <row r="118" spans="4:65" s="13" customFormat="1" ht="15" customHeight="1" x14ac:dyDescent="0.2">
      <c r="D118" s="13" t="str">
        <f>+IF($B$3="esp","EBITDA","EBITDA")</f>
        <v>EBITDA</v>
      </c>
      <c r="F118" s="14">
        <f>+[1]GRUPO!K156</f>
        <v>114.557652845036</v>
      </c>
      <c r="G118" s="15">
        <f>+[1]GRUPO!L156</f>
        <v>118.54934649393701</v>
      </c>
      <c r="H118" s="16">
        <f t="shared" ref="H118:H124" si="32">IF(G118=0,"---",IF(OR(ABS((F118-G118)/ABS(G118))&gt;2,(F118*G118)&lt;0),"---",IF(G118="0","---",((F118-G118)/ABS(G118))*100)))</f>
        <v>-3.3671156922869696</v>
      </c>
      <c r="K118" s="14">
        <f>+[1]GRUPO!O156</f>
        <v>54.079361341714304</v>
      </c>
      <c r="L118" s="15">
        <f>+[1]GRUPO!P156</f>
        <v>35.718438639792396</v>
      </c>
      <c r="M118" s="16">
        <f t="shared" ref="M118:M124" si="33">IF(L118=0,"---",IF(OR(ABS((K118-L118)/ABS(L118))&gt;2,(K118*L118)&lt;0),"---",IF(L118="0","---",((K118-L118)/ABS(L118))*100)))</f>
        <v>51.404606139381428</v>
      </c>
      <c r="Q118" s="13" t="str">
        <f>+IF($B$3="esp","EBITDA","EBITDA")</f>
        <v>EBITDA</v>
      </c>
      <c r="S118" s="14">
        <f>+[1]SANTILLANA!K184</f>
        <v>85.855805838642908</v>
      </c>
      <c r="T118" s="15">
        <f>+[1]SANTILLANA!L184</f>
        <v>91.89695832286921</v>
      </c>
      <c r="U118" s="16">
        <f>IF(T118=0,"---",IF(OR(ABS((S118-T118)/ABS(T118))&gt;2,(S118*T118)&lt;0),"---",IF(T118="0","---",((S118-T118)/ABS(T118))*100)))</f>
        <v>-6.5738329042419661</v>
      </c>
      <c r="X118" s="14">
        <f>+[1]SANTILLANA!O184</f>
        <v>24.05086959129401</v>
      </c>
      <c r="Y118" s="15">
        <f>+[1]SANTILLANA!P184</f>
        <v>10.310987541293201</v>
      </c>
      <c r="Z118" s="16">
        <f>IF(Y118=0,"---",IF(OR(ABS((X118-Y118)/ABS(Y118))&gt;2,(X118*Y118)&lt;0),"---",IF(Y118="0","---",((X118-Y118)/ABS(Y118))*100)))</f>
        <v>133.25476337718044</v>
      </c>
      <c r="AD118" s="13" t="str">
        <f>+IF($B$3="esp","EBITDA","EBITDA")</f>
        <v>EBITDA</v>
      </c>
      <c r="AF118" s="14">
        <f>+[1]RADIO!K113</f>
        <v>21.694546025806801</v>
      </c>
      <c r="AG118" s="15">
        <f>+[1]RADIO!L113</f>
        <v>18.3272535598662</v>
      </c>
      <c r="AH118" s="16">
        <f t="shared" ref="AH118:AH124" si="34">IF(AG118=0,"---",IF(OR(ABS((AF118-AG118)/ABS(AG118))&gt;2,(AF118*AG118)&lt;0),"---",IF(AG118="0","---",((AF118-AG118)/ABS(AG118))*100)))</f>
        <v>18.373142789459962</v>
      </c>
      <c r="AK118" s="14">
        <f>+[1]RADIO!O113</f>
        <v>18.94033663024717</v>
      </c>
      <c r="AL118" s="15">
        <f>+[1]RADIO!P113</f>
        <v>15.43831422741447</v>
      </c>
      <c r="AM118" s="16">
        <f t="shared" ref="AM118:AM124" si="35">IF(AL118=0,"---",IF(OR(ABS((AK118-AL118)/ABS(AL118))&gt;2,(AK118*AL118)&lt;0),"---",IF(AL118="0","---",((AK118-AL118)/ABS(AL118))*100)))</f>
        <v>22.683968931102665</v>
      </c>
      <c r="AQ118" s="13" t="str">
        <f>+IF($B$3="esp","EBITDA","EBITDA")</f>
        <v>EBITDA</v>
      </c>
      <c r="AS118" s="14">
        <f>+[1]NOTICIAS!K65</f>
        <v>-0.75073232798459799</v>
      </c>
      <c r="AT118" s="15">
        <f>+[1]NOTICIAS!L65</f>
        <v>3.6569142368221299</v>
      </c>
      <c r="AU118" s="16" t="str">
        <f>IF(AT118=0,"---",IF(OR(ABS((AS118-AT118)/ABS(AT118))&gt;2,(AS118*AT118)&lt;0),"---",IF(AT118="0","---",((AS118-AT118)/ABS(AT118))*100)))</f>
        <v>---</v>
      </c>
      <c r="AX118" s="14">
        <f>+[1]NOTICIAS!O65</f>
        <v>1.2054419750119219</v>
      </c>
      <c r="AY118" s="15">
        <f>+[1]NOTICIAS!P65</f>
        <v>5.1902525129091801</v>
      </c>
      <c r="AZ118" s="16">
        <f>IF(AY118=0,"---",IF(OR(ABS((AX118-AY118)/ABS(AY118))&gt;2,(AX118*AY118)&lt;0),"---",IF(AY118="0","---",((AX118-AY118)/ABS(AY118))*100)))</f>
        <v>-76.774887695468564</v>
      </c>
      <c r="BD118" s="13" t="str">
        <f>+IF($B$3="esp","EBITDA","EBITDA")</f>
        <v>EBITDA</v>
      </c>
      <c r="BF118" s="14">
        <f>+'[1]MEDIA CAPITAL'!K75</f>
        <v>19.5735579016511</v>
      </c>
      <c r="BG118" s="15">
        <f>+'[1]MEDIA CAPITAL'!L75</f>
        <v>17.426579340557801</v>
      </c>
      <c r="BH118" s="16">
        <f>IF(BG118=0,"---",IF(OR(ABS((BF118-BG118)/ABS(BG118))&gt;2,(BF118*BG118)&lt;0),"---",IF(BG118="0","---",((BF118-BG118)/ABS(BG118))*100)))</f>
        <v>12.320137642253876</v>
      </c>
      <c r="BK118" s="14">
        <f>+'[1]MEDIA CAPITAL'!O75</f>
        <v>14.322198780182379</v>
      </c>
      <c r="BL118" s="15">
        <f>+'[1]MEDIA CAPITAL'!P75</f>
        <v>12.38511205010899</v>
      </c>
      <c r="BM118" s="16">
        <f>IF(BL118=0,"---",IF(OR(ABS((BK118-BL118)/ABS(BL118))&gt;2,(BK118*BL118)&lt;0),"---",IF(BL118="0","---",((BK118-BL118)/ABS(BL118))*100)))</f>
        <v>15.640445740305939</v>
      </c>
    </row>
    <row r="119" spans="4:65" ht="15" customHeight="1" x14ac:dyDescent="0.2">
      <c r="D119" s="17" t="str">
        <f>+IF($B$3="esp","Efectos extraordinarios","Extraordinary effects")</f>
        <v>Extraordinary effects</v>
      </c>
      <c r="F119" s="18">
        <f>+[1]GRUPO!K157</f>
        <v>13.662783869854579</v>
      </c>
      <c r="G119" s="19">
        <f>+[1]GRUPO!L157</f>
        <v>13.250778397367128</v>
      </c>
      <c r="H119" s="20">
        <f t="shared" si="32"/>
        <v>3.1092926025335568</v>
      </c>
      <c r="K119" s="18">
        <f>+[1]GRUPO!O157</f>
        <v>2.721601375066669</v>
      </c>
      <c r="L119" s="19">
        <f>+[1]GRUPO!P157</f>
        <v>5.1931276571681764</v>
      </c>
      <c r="M119" s="20">
        <f t="shared" si="33"/>
        <v>-47.592249705050307</v>
      </c>
      <c r="Q119" s="17" t="str">
        <f>+IF($B$3="esp","Efectos extraordinarios","Extraordinary effects")</f>
        <v>Extraordinary effects</v>
      </c>
      <c r="S119" s="18">
        <f>+[1]SANTILLANA!K185</f>
        <v>-4.7071218535726445</v>
      </c>
      <c r="T119" s="19">
        <f>+[1]SANTILLANA!L185</f>
        <v>2.306517151060504</v>
      </c>
      <c r="U119" s="20" t="str">
        <f t="shared" ref="U119:U124" si="36">IF(T119=0,"---",IF(OR(ABS((S119-T119)/ABS(T119))&gt;2,(S119*T119)&lt;0),"---",IF(T119="0","---",((S119-T119)/ABS(T119))*100)))</f>
        <v>---</v>
      </c>
      <c r="X119" s="18">
        <f>+[1]SANTILLANA!O185</f>
        <v>-5.8750243865080307</v>
      </c>
      <c r="Y119" s="19">
        <f>+[1]SANTILLANA!P185</f>
        <v>0.88944520125495785</v>
      </c>
      <c r="Z119" s="20" t="str">
        <f t="shared" ref="Z119:Z124" si="37">IF(Y119=0,"---",IF(OR(ABS((X119-Y119)/ABS(Y119))&gt;2,(X119*Y119)&lt;0),"---",IF(Y119="0","---",((X119-Y119)/ABS(Y119))*100)))</f>
        <v>---</v>
      </c>
      <c r="AD119" s="17" t="str">
        <f>+IF($B$3="esp","Efectos extraordinarios","Extraordinary effects")</f>
        <v>Extraordinary effects</v>
      </c>
      <c r="AF119" s="18">
        <f>+[1]RADIO!K114</f>
        <v>6.5173440119821286</v>
      </c>
      <c r="AG119" s="19">
        <f>+[1]RADIO!L114</f>
        <v>3.6864521563066006</v>
      </c>
      <c r="AH119" s="20">
        <f t="shared" si="34"/>
        <v>76.79176985472543</v>
      </c>
      <c r="AK119" s="18">
        <f>+[1]RADIO!O114</f>
        <v>2.2753853415746281</v>
      </c>
      <c r="AL119" s="19">
        <f>+[1]RADIO!P114</f>
        <v>0.89713920591321106</v>
      </c>
      <c r="AM119" s="20">
        <f t="shared" si="35"/>
        <v>153.62678685505449</v>
      </c>
      <c r="AQ119" s="17" t="str">
        <f>+IF($B$3="esp","Efectos extraordinarios","Extraordinary effects")</f>
        <v>Extraordinary effects</v>
      </c>
      <c r="AS119" s="18">
        <f>+[1]NOTICIAS!K66</f>
        <v>4.7572805814450607</v>
      </c>
      <c r="AT119" s="19">
        <f>+[1]NOTICIAS!L66</f>
        <v>2.3026233499999997</v>
      </c>
      <c r="AU119" s="20">
        <f t="shared" ref="AU119:AU124" si="38">IF(AT119=0,"---",IF(OR(ABS((AS119-AT119)/ABS(AT119))&gt;2,(AS119*AT119)&lt;0),"---",IF(AT119="0","---",((AS119-AT119)/ABS(AT119))*100)))</f>
        <v>106.6026378758411</v>
      </c>
      <c r="AX119" s="18">
        <f>+[1]NOTICIAS!O66</f>
        <v>3.4912007100000007</v>
      </c>
      <c r="AY119" s="19">
        <f>+[1]NOTICIAS!P66</f>
        <v>-8.4365740000000411E-2</v>
      </c>
      <c r="AZ119" s="20" t="str">
        <f t="shared" ref="AZ119:AZ124" si="39">IF(AY119=0,"---",IF(OR(ABS((AX119-AY119)/ABS(AY119))&gt;2,(AX119*AY119)&lt;0),"---",IF(AY119="0","---",((AX119-AY119)/ABS(AY119))*100)))</f>
        <v>---</v>
      </c>
      <c r="BD119" s="17" t="str">
        <f>+IF($B$3="esp","Efectos extraordinarios","Extraordinary effects")</f>
        <v>Extraordinary effects</v>
      </c>
      <c r="BF119" s="18">
        <f>+'[1]MEDIA CAPITAL'!K76</f>
        <v>0.35301091000000184</v>
      </c>
      <c r="BG119" s="19">
        <f>+'[1]MEDIA CAPITAL'!L76</f>
        <v>0.833066689999999</v>
      </c>
      <c r="BH119" s="20">
        <f t="shared" ref="BH119:BH124" si="40">IF(BG119=0,"---",IF(OR(ABS((BF119-BG119)/ABS(BG119))&gt;2,(BF119*BG119)&lt;0),"---",IF(BG119="0","---",((BF119-BG119)/ABS(BG119))*100)))</f>
        <v>-57.625132028745227</v>
      </c>
      <c r="BK119" s="18">
        <f>+'[1]MEDIA CAPITAL'!O76</f>
        <v>0.22920474000000191</v>
      </c>
      <c r="BL119" s="19">
        <f>+'[1]MEDIA CAPITAL'!P76</f>
        <v>0.24903807999999916</v>
      </c>
      <c r="BM119" s="20">
        <f t="shared" ref="BM119:BM124" si="41">IF(BL119=0,"---",IF(OR(ABS((BK119-BL119)/ABS(BL119))&gt;2,(BK119*BL119)&lt;0),"---",IF(BL119="0","---",((BK119-BL119)/ABS(BL119))*100)))</f>
        <v>-7.963978842110139</v>
      </c>
    </row>
    <row r="120" spans="4:65" ht="15" customHeight="1" x14ac:dyDescent="0.2">
      <c r="D120" s="13" t="str">
        <f>+IF($B$3="esp","EBITDA Ajustado","Adjusted EBITDA")</f>
        <v>Adjusted EBITDA</v>
      </c>
      <c r="E120" s="13"/>
      <c r="F120" s="14">
        <f>+[1]GRUPO!K158</f>
        <v>128.22043671489058</v>
      </c>
      <c r="G120" s="15">
        <f>+[1]GRUPO!L158</f>
        <v>131.80012489130414</v>
      </c>
      <c r="H120" s="16">
        <f t="shared" si="32"/>
        <v>-2.715997560219106</v>
      </c>
      <c r="K120" s="14">
        <f>+[1]GRUPO!O158</f>
        <v>56.800962716780973</v>
      </c>
      <c r="L120" s="15">
        <f>+[1]GRUPO!P158</f>
        <v>40.911566296960572</v>
      </c>
      <c r="M120" s="16">
        <f t="shared" si="33"/>
        <v>38.838396712767427</v>
      </c>
      <c r="Q120" s="13" t="str">
        <f>+IF($B$3="esp","EBITDA Ajustado","Adjusted EBITDA")</f>
        <v>Adjusted EBITDA</v>
      </c>
      <c r="R120" s="13"/>
      <c r="S120" s="14">
        <f>+[1]SANTILLANA!K186</f>
        <v>81.148683985070264</v>
      </c>
      <c r="T120" s="15">
        <f>+[1]SANTILLANA!L186</f>
        <v>94.203475473929714</v>
      </c>
      <c r="U120" s="16">
        <f t="shared" si="36"/>
        <v>-13.858078402290255</v>
      </c>
      <c r="X120" s="14">
        <f>+[1]SANTILLANA!O186</f>
        <v>18.175845204785979</v>
      </c>
      <c r="Y120" s="15">
        <f>+[1]SANTILLANA!P186</f>
        <v>11.200432742548159</v>
      </c>
      <c r="Z120" s="16">
        <f t="shared" si="37"/>
        <v>62.27806213004299</v>
      </c>
      <c r="AD120" s="13" t="str">
        <f>+IF($B$3="esp","EBITDA Ajustado","Adjusted EBITDA")</f>
        <v>Adjusted EBITDA</v>
      </c>
      <c r="AE120" s="13"/>
      <c r="AF120" s="14">
        <f>+[1]RADIO!K115</f>
        <v>28.21189003778893</v>
      </c>
      <c r="AG120" s="15">
        <f>+[1]RADIO!L115</f>
        <v>22.013705716172801</v>
      </c>
      <c r="AH120" s="16">
        <f t="shared" si="34"/>
        <v>28.156024258389678</v>
      </c>
      <c r="AK120" s="14">
        <f>+[1]RADIO!O115</f>
        <v>21.2157219718218</v>
      </c>
      <c r="AL120" s="15">
        <f>+[1]RADIO!P115</f>
        <v>16.335453433327682</v>
      </c>
      <c r="AM120" s="16">
        <f t="shared" si="35"/>
        <v>29.875317256497862</v>
      </c>
      <c r="AQ120" s="13" t="str">
        <f>+IF($B$3="esp","EBITDA Ajustado","Adjusted EBITDA")</f>
        <v>Adjusted EBITDA</v>
      </c>
      <c r="AR120" s="13"/>
      <c r="AS120" s="14">
        <f>+[1]NOTICIAS!K67</f>
        <v>4.0065482534604628</v>
      </c>
      <c r="AT120" s="15">
        <f>+[1]NOTICIAS!L67</f>
        <v>5.9595375868221296</v>
      </c>
      <c r="AU120" s="16">
        <f t="shared" si="38"/>
        <v>-32.770819965632278</v>
      </c>
      <c r="AX120" s="14">
        <f>+[1]NOTICIAS!O67</f>
        <v>4.6966426850119225</v>
      </c>
      <c r="AY120" s="15">
        <f>+[1]NOTICIAS!P67</f>
        <v>5.1058867729091792</v>
      </c>
      <c r="AZ120" s="16">
        <f t="shared" si="39"/>
        <v>-8.0151422485242829</v>
      </c>
      <c r="BD120" s="13" t="str">
        <f>+IF($B$3="esp","EBITDA Ajustado","Adjusted EBITDA")</f>
        <v>Adjusted EBITDA</v>
      </c>
      <c r="BF120" s="14">
        <f>+'[1]MEDIA CAPITAL'!K77</f>
        <v>19.926568811651101</v>
      </c>
      <c r="BG120" s="15">
        <f>+'[1]MEDIA CAPITAL'!L77</f>
        <v>18.2596460305578</v>
      </c>
      <c r="BH120" s="16">
        <f t="shared" si="40"/>
        <v>9.128998329451079</v>
      </c>
      <c r="BK120" s="14">
        <f>+'[1]MEDIA CAPITAL'!O77</f>
        <v>14.551403520182381</v>
      </c>
      <c r="BL120" s="15">
        <f>+'[1]MEDIA CAPITAL'!P77</f>
        <v>12.63415013010899</v>
      </c>
      <c r="BM120" s="16">
        <f t="shared" si="41"/>
        <v>15.175167069641681</v>
      </c>
    </row>
    <row r="121" spans="4:65" ht="15" customHeight="1" x14ac:dyDescent="0.2">
      <c r="D121" s="17" t="str">
        <f>+IF($B$3="esp","Amortizaciones","Amortizations")</f>
        <v>Amortizations</v>
      </c>
      <c r="F121" s="18">
        <f>+[1]GRUPO!K159</f>
        <v>29.695009355643201</v>
      </c>
      <c r="G121" s="19">
        <f>+[1]GRUPO!L159</f>
        <v>33.834116634769003</v>
      </c>
      <c r="H121" s="20">
        <f t="shared" si="32"/>
        <v>-12.233531390242728</v>
      </c>
      <c r="K121" s="18">
        <f>+[1]GRUPO!O159</f>
        <v>12.293545720462102</v>
      </c>
      <c r="L121" s="19">
        <f>+[1]GRUPO!P159</f>
        <v>13.527774866134305</v>
      </c>
      <c r="M121" s="20">
        <f t="shared" si="33"/>
        <v>-9.1236671062732988</v>
      </c>
      <c r="Q121" s="17" t="str">
        <f>+IF($B$3="esp","Amortizaciones","Amortizations")</f>
        <v>Amortizations</v>
      </c>
      <c r="S121" s="18">
        <f>+[1]SANTILLANA!K187</f>
        <v>20.133458324128899</v>
      </c>
      <c r="T121" s="19">
        <f>+[1]SANTILLANA!L187</f>
        <v>21.711919272264698</v>
      </c>
      <c r="U121" s="20">
        <f t="shared" si="36"/>
        <v>-7.2700203438585964</v>
      </c>
      <c r="X121" s="18">
        <f>+[1]SANTILLANA!O187</f>
        <v>7.4695849426793988</v>
      </c>
      <c r="Y121" s="19">
        <f>+[1]SANTILLANA!P187</f>
        <v>7.462127479723998</v>
      </c>
      <c r="Z121" s="20">
        <f t="shared" si="37"/>
        <v>9.9937490691013486E-2</v>
      </c>
      <c r="AD121" s="17" t="str">
        <f>+IF($B$3="esp","Amortizaciones","Amortizations")</f>
        <v>Amortizations</v>
      </c>
      <c r="AF121" s="18">
        <f>+[1]RADIO!K116</f>
        <v>4.0349845000955202</v>
      </c>
      <c r="AG121" s="19">
        <f>+[1]RADIO!L116</f>
        <v>3.9742408463165004</v>
      </c>
      <c r="AH121" s="20">
        <f t="shared" si="34"/>
        <v>1.5284341369325833</v>
      </c>
      <c r="AK121" s="18">
        <f>+[1]RADIO!O116</f>
        <v>2.0324124590741901</v>
      </c>
      <c r="AL121" s="19">
        <f>+[1]RADIO!P116</f>
        <v>1.9537666911328504</v>
      </c>
      <c r="AM121" s="20">
        <f t="shared" si="35"/>
        <v>4.0253408095384513</v>
      </c>
      <c r="AQ121" s="17" t="str">
        <f>+IF($B$3="esp","Amortizaciones","Amortizations")</f>
        <v>Amortizations</v>
      </c>
      <c r="AS121" s="18">
        <f>+[1]NOTICIAS!K68</f>
        <v>2.0912074457463601</v>
      </c>
      <c r="AT121" s="19">
        <f>+[1]NOTICIAS!L68</f>
        <v>3.7660468102896698</v>
      </c>
      <c r="AU121" s="20">
        <f t="shared" si="38"/>
        <v>-44.472080377951748</v>
      </c>
      <c r="AX121" s="18">
        <f>+[1]NOTICIAS!O68</f>
        <v>1.098392228129323</v>
      </c>
      <c r="AY121" s="19">
        <f>+[1]NOTICIAS!P68</f>
        <v>1.8883073979024698</v>
      </c>
      <c r="AZ121" s="20">
        <f t="shared" si="39"/>
        <v>-41.831916278598705</v>
      </c>
      <c r="BD121" s="17" t="str">
        <f>+IF($B$3="esp","Amortizaciones","Amortizations")</f>
        <v>Amortizations</v>
      </c>
      <c r="BF121" s="18">
        <f>+'[1]MEDIA CAPITAL'!K78</f>
        <v>3.0282796100000002</v>
      </c>
      <c r="BG121" s="19">
        <f>+'[1]MEDIA CAPITAL'!L78</f>
        <v>3.83794916</v>
      </c>
      <c r="BH121" s="20">
        <f t="shared" si="40"/>
        <v>-21.096411553299465</v>
      </c>
      <c r="BK121" s="18">
        <f>+'[1]MEDIA CAPITAL'!O78</f>
        <v>1.5010288500000004</v>
      </c>
      <c r="BL121" s="19">
        <f>+'[1]MEDIA CAPITAL'!P78</f>
        <v>1.9725572699999998</v>
      </c>
      <c r="BM121" s="20">
        <f t="shared" si="41"/>
        <v>-23.904422303540997</v>
      </c>
    </row>
    <row r="122" spans="4:65" ht="15" customHeight="1" x14ac:dyDescent="0.2">
      <c r="D122" s="17" t="str">
        <f>+IF($B$3="esp","Provisiones","Provisions")</f>
        <v>Provisions</v>
      </c>
      <c r="F122" s="18">
        <f>+[1]GRUPO!K160</f>
        <v>3.9719579397349096</v>
      </c>
      <c r="G122" s="19">
        <f>+[1]GRUPO!L160</f>
        <v>2.8140812352723503</v>
      </c>
      <c r="H122" s="20">
        <f t="shared" si="32"/>
        <v>41.145816615009643</v>
      </c>
      <c r="K122" s="18">
        <f>+[1]GRUPO!O160</f>
        <v>6.2205840577814602</v>
      </c>
      <c r="L122" s="19">
        <f>+[1]GRUPO!P160</f>
        <v>3.4026871409393022</v>
      </c>
      <c r="M122" s="20">
        <f t="shared" si="33"/>
        <v>82.813870336145129</v>
      </c>
      <c r="Q122" s="17" t="str">
        <f>+IF($B$3="esp","Provisiones","Provisions")</f>
        <v>Provisions</v>
      </c>
      <c r="S122" s="18">
        <f>+[1]SANTILLANA!K188</f>
        <v>1.66203043140974</v>
      </c>
      <c r="T122" s="19">
        <f>+[1]SANTILLANA!L188</f>
        <v>0.7746345073176969</v>
      </c>
      <c r="U122" s="20">
        <f t="shared" si="36"/>
        <v>114.55672523094817</v>
      </c>
      <c r="X122" s="18">
        <f>+[1]SANTILLANA!O188</f>
        <v>4.6974635956277204</v>
      </c>
      <c r="Y122" s="19">
        <f>+[1]SANTILLANA!P188</f>
        <v>2.7488363508061768</v>
      </c>
      <c r="Z122" s="20">
        <f t="shared" si="37"/>
        <v>70.889168947800457</v>
      </c>
      <c r="AD122" s="17" t="str">
        <f>+IF($B$3="esp","Provisiones","Provisions")</f>
        <v>Provisions</v>
      </c>
      <c r="AF122" s="18">
        <f>+[1]RADIO!K117</f>
        <v>0.93195370906623498</v>
      </c>
      <c r="AG122" s="19">
        <f>+[1]RADIO!L117</f>
        <v>1.03769894435282</v>
      </c>
      <c r="AH122" s="20">
        <f t="shared" si="34"/>
        <v>-10.190357797129199</v>
      </c>
      <c r="AK122" s="18">
        <f>+[1]RADIO!O117</f>
        <v>0.71106525641979601</v>
      </c>
      <c r="AL122" s="19">
        <f>+[1]RADIO!P117</f>
        <v>0.23963491809983894</v>
      </c>
      <c r="AM122" s="20">
        <f t="shared" si="35"/>
        <v>196.72856612805708</v>
      </c>
      <c r="AQ122" s="17" t="str">
        <f>+IF($B$3="esp","Provisiones","Provisions")</f>
        <v>Provisions</v>
      </c>
      <c r="AS122" s="18">
        <f>+[1]NOTICIAS!K69</f>
        <v>0.99826976798845901</v>
      </c>
      <c r="AT122" s="19">
        <f>+[1]NOTICIAS!L69</f>
        <v>0.84038848886819595</v>
      </c>
      <c r="AU122" s="20">
        <f t="shared" si="38"/>
        <v>18.786701770855014</v>
      </c>
      <c r="AX122" s="18">
        <f>+[1]NOTICIAS!O69</f>
        <v>0.50260534287192993</v>
      </c>
      <c r="AY122" s="19">
        <f>+[1]NOTICIAS!P69</f>
        <v>0.28624860117766493</v>
      </c>
      <c r="AZ122" s="20">
        <f t="shared" si="39"/>
        <v>75.5835105583554</v>
      </c>
      <c r="BD122" s="17" t="str">
        <f>+IF($B$3="esp","Provisiones","Provisions")</f>
        <v>Provisions</v>
      </c>
      <c r="BF122" s="18">
        <f>+'[1]MEDIA CAPITAL'!K79</f>
        <v>0.14655979</v>
      </c>
      <c r="BG122" s="19">
        <f>+'[1]MEDIA CAPITAL'!L79</f>
        <v>9.5487939999999993E-2</v>
      </c>
      <c r="BH122" s="20">
        <f t="shared" si="40"/>
        <v>53.485131211334128</v>
      </c>
      <c r="BK122" s="18">
        <f>+'[1]MEDIA CAPITAL'!O79</f>
        <v>9.4619049999999996E-2</v>
      </c>
      <c r="BL122" s="19">
        <f>+'[1]MEDIA CAPITAL'!P79</f>
        <v>6.8850149999999999E-2</v>
      </c>
      <c r="BM122" s="20">
        <f t="shared" si="41"/>
        <v>37.427514682248329</v>
      </c>
    </row>
    <row r="123" spans="4:65" ht="15" customHeight="1" x14ac:dyDescent="0.2">
      <c r="D123" s="17" t="str">
        <f>+IF($B$3="esp","Pérdidas de inmovilizado","Impairment from fixed assets")</f>
        <v>Impairment from fixed assets</v>
      </c>
      <c r="F123" s="18">
        <f>+[1]GRUPO!K161</f>
        <v>0.38269386400736893</v>
      </c>
      <c r="G123" s="19">
        <f>+[1]GRUPO!L161</f>
        <v>2.0332566249168207</v>
      </c>
      <c r="H123" s="20">
        <f t="shared" si="32"/>
        <v>-81.178280236857731</v>
      </c>
      <c r="K123" s="18">
        <f>+[1]GRUPO!O161</f>
        <v>0.46289181119191136</v>
      </c>
      <c r="L123" s="19">
        <f>+[1]GRUPO!P161</f>
        <v>0.85701857446428509</v>
      </c>
      <c r="M123" s="20">
        <f t="shared" si="33"/>
        <v>-45.988123830191071</v>
      </c>
      <c r="Q123" s="17" t="str">
        <f>+IF($B$3="esp","Pérdidas de inmovilizado","Impairment from fixed assets")</f>
        <v>Impairment from fixed assets</v>
      </c>
      <c r="S123" s="18">
        <f>+[1]SANTILLANA!K189</f>
        <v>0.30513531400786631</v>
      </c>
      <c r="T123" s="19">
        <f>+[1]SANTILLANA!L189</f>
        <v>0.92746206702079725</v>
      </c>
      <c r="U123" s="20">
        <f t="shared" si="36"/>
        <v>-67.099968305116249</v>
      </c>
      <c r="X123" s="18">
        <f>+[1]SANTILLANA!O189</f>
        <v>0.40112432119248576</v>
      </c>
      <c r="Y123" s="19">
        <f>+[1]SANTILLANA!P189</f>
        <v>0.91845919926370889</v>
      </c>
      <c r="Z123" s="20">
        <f t="shared" si="37"/>
        <v>-56.326386461799203</v>
      </c>
      <c r="AD123" s="17" t="str">
        <f>+IF($B$3="esp","Pérdidas de inmovilizado","Impairment from fixed assets")</f>
        <v>Impairment from fixed assets</v>
      </c>
      <c r="AF123" s="18">
        <f>+[1]RADIO!K118</f>
        <v>-2.4496560000157319E-2</v>
      </c>
      <c r="AG123" s="19">
        <f>+[1]RADIO!L118</f>
        <v>1.1046657426953581</v>
      </c>
      <c r="AH123" s="20" t="str">
        <f t="shared" si="34"/>
        <v>---</v>
      </c>
      <c r="AK123" s="18">
        <f>+[1]RADIO!O118</f>
        <v>-4.028762000017036E-2</v>
      </c>
      <c r="AL123" s="19">
        <f>+[1]RADIO!P118</f>
        <v>-6.2569440000027399E-2</v>
      </c>
      <c r="AM123" s="20">
        <f t="shared" si="35"/>
        <v>35.611346369485297</v>
      </c>
      <c r="AQ123" s="17" t="str">
        <f>+IF($B$3="esp","Pérdidas de inmovilizado","Impairment from fixed assets")</f>
        <v>Impairment from fixed assets</v>
      </c>
      <c r="AS123" s="18">
        <f>+[1]NOTICIAS!K70</f>
        <v>2.3647750424515834E-14</v>
      </c>
      <c r="AT123" s="19">
        <f>+[1]NOTICIAS!L70</f>
        <v>1.1288152007119523E-3</v>
      </c>
      <c r="AU123" s="20">
        <f t="shared" si="38"/>
        <v>-99.999999997905093</v>
      </c>
      <c r="AX123" s="18">
        <f>+[1]NOTICIAS!O70</f>
        <v>-6.106226635438361E-16</v>
      </c>
      <c r="AY123" s="19">
        <f>+[1]NOTICIAS!P70</f>
        <v>1.1288152007030705E-3</v>
      </c>
      <c r="AZ123" s="20" t="str">
        <f t="shared" si="39"/>
        <v>---</v>
      </c>
      <c r="BD123" s="17" t="str">
        <f>+IF($B$3="esp","Pérdidas de inmovilizado","Impairment from fixed assets")</f>
        <v>Impairment from fixed assets</v>
      </c>
      <c r="BF123" s="18">
        <f>+'[1]MEDIA CAPITAL'!K80</f>
        <v>-4.7184478546569153E-16</v>
      </c>
      <c r="BG123" s="19">
        <f>+'[1]MEDIA CAPITAL'!L80</f>
        <v>8.3266726846886741E-16</v>
      </c>
      <c r="BH123" s="20" t="str">
        <f t="shared" si="40"/>
        <v>---</v>
      </c>
      <c r="BK123" s="18">
        <f>+'[1]MEDIA CAPITAL'!O80</f>
        <v>-9.5756735873919752E-16</v>
      </c>
      <c r="BL123" s="19">
        <f>+'[1]MEDIA CAPITAL'!P80</f>
        <v>1.169203622808368E-15</v>
      </c>
      <c r="BM123" s="20" t="str">
        <f t="shared" si="41"/>
        <v>---</v>
      </c>
    </row>
    <row r="124" spans="4:65" ht="15" customHeight="1" x14ac:dyDescent="0.2">
      <c r="D124" s="13" t="str">
        <f>+IF($B$3="esp","Resultado de Explotación","Operating Result")</f>
        <v>Operating Result</v>
      </c>
      <c r="E124" s="13"/>
      <c r="F124" s="14">
        <f>+[1]GRUPO!K162</f>
        <v>94.170775555505102</v>
      </c>
      <c r="G124" s="15">
        <f>+[1]GRUPO!L162</f>
        <v>93.118670396345962</v>
      </c>
      <c r="H124" s="16">
        <f t="shared" si="32"/>
        <v>1.1298541470588108</v>
      </c>
      <c r="K124" s="14">
        <f>+[1]GRUPO!O162</f>
        <v>37.823941127345499</v>
      </c>
      <c r="L124" s="15">
        <f>+[1]GRUPO!P162</f>
        <v>23.12408571542268</v>
      </c>
      <c r="M124" s="16">
        <f t="shared" si="33"/>
        <v>63.569455643899055</v>
      </c>
      <c r="Q124" s="13" t="str">
        <f>+IF($B$3="esp","Resultado de Explotación","Operating Result")</f>
        <v>Operating Result</v>
      </c>
      <c r="R124" s="13"/>
      <c r="S124" s="14">
        <f>+[1]SANTILLANA!K190</f>
        <v>59.048059915523758</v>
      </c>
      <c r="T124" s="15">
        <f>+[1]SANTILLANA!L190</f>
        <v>70.789459627326522</v>
      </c>
      <c r="U124" s="16">
        <f t="shared" si="36"/>
        <v>-16.586367198754949</v>
      </c>
      <c r="X124" s="14">
        <f>+[1]SANTILLANA!O190</f>
        <v>5.6076723452863746</v>
      </c>
      <c r="Y124" s="15">
        <f>+[1]SANTILLANA!P190</f>
        <v>7.1009712754275256E-2</v>
      </c>
      <c r="Z124" s="16" t="str">
        <f t="shared" si="37"/>
        <v>---</v>
      </c>
      <c r="AD124" s="13" t="str">
        <f>+IF($B$3="esp","Resultado de Explotación","Operating Result")</f>
        <v>Operating Result</v>
      </c>
      <c r="AE124" s="13"/>
      <c r="AF124" s="14">
        <f>+[1]RADIO!K119</f>
        <v>23.269448388627332</v>
      </c>
      <c r="AG124" s="15">
        <f>+[1]RADIO!L119</f>
        <v>15.897100182808122</v>
      </c>
      <c r="AH124" s="16">
        <f t="shared" si="34"/>
        <v>46.375427726070548</v>
      </c>
      <c r="AK124" s="14">
        <f>+[1]RADIO!O119</f>
        <v>18.512531876327984</v>
      </c>
      <c r="AL124" s="15">
        <f>+[1]RADIO!P119</f>
        <v>14.204621264095019</v>
      </c>
      <c r="AM124" s="16">
        <f t="shared" si="35"/>
        <v>30.327528852332431</v>
      </c>
      <c r="AQ124" s="13" t="str">
        <f>+IF($B$3="esp","Resultado de Explotación","Operating Result")</f>
        <v>Operating Result</v>
      </c>
      <c r="AR124" s="13"/>
      <c r="AS124" s="14">
        <f>+[1]NOTICIAS!K71</f>
        <v>0.91707103972562032</v>
      </c>
      <c r="AT124" s="15">
        <f>+[1]NOTICIAS!L71</f>
        <v>1.3519734724635524</v>
      </c>
      <c r="AU124" s="16">
        <f t="shared" si="38"/>
        <v>-32.167970865985794</v>
      </c>
      <c r="AX124" s="14">
        <f>+[1]NOTICIAS!O71</f>
        <v>3.0956451140106704</v>
      </c>
      <c r="AY124" s="15">
        <f>+[1]NOTICIAS!P71</f>
        <v>2.9302019586283423</v>
      </c>
      <c r="AZ124" s="16">
        <f t="shared" si="39"/>
        <v>5.6461348984891728</v>
      </c>
      <c r="BD124" s="13" t="str">
        <f>+IF($B$3="esp","Resultado de Explotación","Operating Result")</f>
        <v>Operating Result</v>
      </c>
      <c r="BF124" s="14">
        <f>+'[1]MEDIA CAPITAL'!K81</f>
        <v>16.751729411651102</v>
      </c>
      <c r="BG124" s="15">
        <f>+'[1]MEDIA CAPITAL'!L81</f>
        <v>14.326208930557799</v>
      </c>
      <c r="BH124" s="16">
        <f t="shared" si="40"/>
        <v>16.930651317807239</v>
      </c>
      <c r="BK124" s="14">
        <f>+'[1]MEDIA CAPITAL'!O81</f>
        <v>12.955755620182382</v>
      </c>
      <c r="BL124" s="15">
        <f>+'[1]MEDIA CAPITAL'!P81</f>
        <v>10.59274271010899</v>
      </c>
      <c r="BM124" s="16">
        <f t="shared" si="41"/>
        <v>22.307847691026179</v>
      </c>
    </row>
    <row r="125" spans="4:65" ht="15" customHeight="1" x14ac:dyDescent="0.2"/>
    <row r="127" spans="4:65" x14ac:dyDescent="0.2">
      <c r="D127" s="9"/>
      <c r="F127" s="7" t="str">
        <f>+F114</f>
        <v>JANUARY - JUNE</v>
      </c>
      <c r="G127" s="8"/>
      <c r="H127" s="8"/>
      <c r="K127" s="7" t="str">
        <f>+K114</f>
        <v>APRIL - JUNE</v>
      </c>
      <c r="L127" s="8"/>
      <c r="M127" s="8"/>
    </row>
    <row r="128" spans="4:65" ht="14.25" customHeight="1" x14ac:dyDescent="0.2"/>
    <row r="129" spans="4:65" ht="14.25" x14ac:dyDescent="0.2">
      <c r="D129" s="46" t="str">
        <f>+IF($B$3="esp","OTROS","OTHERS")</f>
        <v>OTHERS</v>
      </c>
      <c r="F129" s="10">
        <v>2018</v>
      </c>
      <c r="G129" s="10">
        <v>2017</v>
      </c>
      <c r="H129" s="10" t="str">
        <f>+IF($B$3="esp","Var.%","% Chg.")</f>
        <v>% Chg.</v>
      </c>
      <c r="K129" s="10">
        <v>2018</v>
      </c>
      <c r="L129" s="10">
        <v>2017</v>
      </c>
      <c r="M129" s="10" t="str">
        <f>+IF($B$3="esp","Var.%","% Chg.")</f>
        <v>% Chg.</v>
      </c>
    </row>
    <row r="130" spans="4:65" ht="15.75" customHeight="1" x14ac:dyDescent="0.2">
      <c r="D130" s="11"/>
      <c r="F130" s="12"/>
      <c r="G130" s="12"/>
      <c r="H130" s="12"/>
      <c r="K130" s="12"/>
      <c r="L130" s="12"/>
      <c r="M130" s="12"/>
    </row>
    <row r="131" spans="4:65" s="13" customFormat="1" ht="15" customHeight="1" x14ac:dyDescent="0.2">
      <c r="D131" s="13" t="str">
        <f>+IF($B$3="esp","EBITDA","EBITDA")</f>
        <v>EBITDA</v>
      </c>
      <c r="F131" s="14">
        <f>+[1]GRUPO!K169</f>
        <v>7.7580333085708917</v>
      </c>
      <c r="G131" s="15">
        <f>+[1]GRUPO!L169</f>
        <v>4.6682203743794677</v>
      </c>
      <c r="H131" s="16">
        <f>IF(G131=0,"---",IF(OR(ABS((F131-G131)/ABS(G131))&gt;2,(F131*G131)&lt;0),"---",IF(G131="0","---",((F131-G131)/ABS(G131))*100)))</f>
        <v>66.188240622683608</v>
      </c>
      <c r="K131" s="14">
        <f>+[1]GRUPO!O169</f>
        <v>9.8827131451612011</v>
      </c>
      <c r="L131" s="15">
        <f>+[1]GRUPO!P169</f>
        <v>4.778884358175544</v>
      </c>
      <c r="M131" s="16">
        <f>IF(L131=0,"---",IF(OR(ABS((K131-L131)/ABS(L131))&gt;2,(K131*L131)&lt;0),"---",IF(L131="0","---",((K131-L131)/ABS(L131))*100)))</f>
        <v>106.79958761199589</v>
      </c>
    </row>
    <row r="132" spans="4:65" ht="15" customHeight="1" x14ac:dyDescent="0.2">
      <c r="D132" s="17" t="str">
        <f>+IF($B$3="esp","Efectos extraordinarios","Extraordinary effects")</f>
        <v>Extraordinary effects</v>
      </c>
      <c r="F132" s="18">
        <f>+[1]GRUPO!K170</f>
        <v>7.0952811300000338</v>
      </c>
      <c r="G132" s="19">
        <f>+[1]GRUPO!L170</f>
        <v>4.9551857400000241</v>
      </c>
      <c r="H132" s="20">
        <f t="shared" ref="H132:H137" si="42">IF(G132=0,"---",IF(OR(ABS((F132-G132)/ABS(G132))&gt;2,(F132*G132)&lt;0),"---",IF(G132="0","---",((F132-G132)/ABS(G132))*100)))</f>
        <v>43.189004454957107</v>
      </c>
      <c r="K132" s="18">
        <f>+[1]GRUPO!O170</f>
        <v>2.8300397100000705</v>
      </c>
      <c r="L132" s="19">
        <f>+[1]GRUPO!P170</f>
        <v>3.4909089900000083</v>
      </c>
      <c r="M132" s="20">
        <f t="shared" ref="M132:M137" si="43">IF(L132=0,"---",IF(OR(ABS((K132-L132)/ABS(L132))&gt;2,(K132*L132)&lt;0),"---",IF(L132="0","---",((K132-L132)/ABS(L132))*100)))</f>
        <v>-18.931151797226782</v>
      </c>
    </row>
    <row r="133" spans="4:65" ht="15" customHeight="1" x14ac:dyDescent="0.2">
      <c r="D133" s="13" t="str">
        <f>+IF($B$3="esp","EBITDA Ajustado","Adjusted EBITDA")</f>
        <v>Adjusted EBITDA</v>
      </c>
      <c r="E133" s="13"/>
      <c r="F133" s="14">
        <f>+[1]GRUPO!K171</f>
        <v>14.853314438570926</v>
      </c>
      <c r="G133" s="15">
        <f>+[1]GRUPO!L171</f>
        <v>9.6234061143794918</v>
      </c>
      <c r="H133" s="16">
        <f t="shared" si="42"/>
        <v>54.345709430019774</v>
      </c>
      <c r="K133" s="14">
        <f>+[1]GRUPO!O171</f>
        <v>12.712752855161272</v>
      </c>
      <c r="L133" s="15">
        <f>+[1]GRUPO!P171</f>
        <v>8.2697933481755523</v>
      </c>
      <c r="M133" s="16">
        <f t="shared" si="43"/>
        <v>53.725157569577078</v>
      </c>
    </row>
    <row r="134" spans="4:65" ht="15" customHeight="1" x14ac:dyDescent="0.2">
      <c r="D134" s="17" t="str">
        <f>+IF($B$3="esp","Amortizaciones","Amortizations")</f>
        <v>Amortizations</v>
      </c>
      <c r="F134" s="18">
        <f>+[1]GRUPO!K172</f>
        <v>3.4353590856724217</v>
      </c>
      <c r="G134" s="19">
        <f>+[1]GRUPO!L172</f>
        <v>4.3819097058981349</v>
      </c>
      <c r="H134" s="20">
        <f t="shared" si="42"/>
        <v>-21.601326447955739</v>
      </c>
      <c r="K134" s="18">
        <f>+[1]GRUPO!O172</f>
        <v>1.6931560905791905</v>
      </c>
      <c r="L134" s="19">
        <f>+[1]GRUPO!P172</f>
        <v>2.223573297374986</v>
      </c>
      <c r="M134" s="20">
        <f t="shared" si="43"/>
        <v>-23.854271294855604</v>
      </c>
    </row>
    <row r="135" spans="4:65" ht="15" customHeight="1" x14ac:dyDescent="0.2">
      <c r="D135" s="17" t="str">
        <f>+IF($B$3="esp","Provisiones","Provisions")</f>
        <v>Provisions</v>
      </c>
      <c r="F135" s="18">
        <f>+[1]GRUPO!K173</f>
        <v>0.37970403127047547</v>
      </c>
      <c r="G135" s="19">
        <f>+[1]GRUPO!L173</f>
        <v>0.16135929473363742</v>
      </c>
      <c r="H135" s="20">
        <f t="shared" si="42"/>
        <v>135.31587188532828</v>
      </c>
      <c r="K135" s="18">
        <f>+[1]GRUPO!O173</f>
        <v>0.30944986286201365</v>
      </c>
      <c r="L135" s="19">
        <f>+[1]GRUPO!P173</f>
        <v>0.12796727085562154</v>
      </c>
      <c r="M135" s="20">
        <f t="shared" si="43"/>
        <v>141.81953775598527</v>
      </c>
    </row>
    <row r="136" spans="4:65" ht="15" customHeight="1" x14ac:dyDescent="0.2">
      <c r="D136" s="17" t="str">
        <f>+IF($B$3="esp","Pérdidas de inmovilizado","Impairment from fixed assets")</f>
        <v>Impairment from fixed assets</v>
      </c>
      <c r="F136" s="18">
        <f>+[1]GRUPO!K174</f>
        <v>0.1020551099996363</v>
      </c>
      <c r="G136" s="19">
        <f>+[1]GRUPO!L174</f>
        <v>-4.6518344731794059E-14</v>
      </c>
      <c r="H136" s="20" t="str">
        <f t="shared" si="42"/>
        <v>---</v>
      </c>
      <c r="K136" s="18">
        <f>+[1]GRUPO!O174</f>
        <v>0.10205510999959658</v>
      </c>
      <c r="L136" s="19">
        <f>+[1]GRUPO!P174</f>
        <v>-9.936496070395151E-14</v>
      </c>
      <c r="M136" s="20" t="str">
        <f t="shared" si="43"/>
        <v>---</v>
      </c>
    </row>
    <row r="137" spans="4:65" ht="15" customHeight="1" x14ac:dyDescent="0.2">
      <c r="D137" s="13" t="str">
        <f>+IF($B$3="esp","Resultado de Explotación","Operating Result")</f>
        <v>Operating Result</v>
      </c>
      <c r="E137" s="13"/>
      <c r="F137" s="14">
        <f>+[1]GRUPO!K175</f>
        <v>10.936196211628392</v>
      </c>
      <c r="G137" s="15">
        <f>+[1]GRUPO!L175</f>
        <v>5.0801371137477656</v>
      </c>
      <c r="H137" s="16">
        <f t="shared" si="42"/>
        <v>115.27364255647896</v>
      </c>
      <c r="K137" s="14">
        <f>+[1]GRUPO!O175</f>
        <v>10.60809179172047</v>
      </c>
      <c r="L137" s="15">
        <f>+[1]GRUPO!P175</f>
        <v>5.9182527799450435</v>
      </c>
      <c r="M137" s="16">
        <f t="shared" si="43"/>
        <v>79.243641428559869</v>
      </c>
    </row>
    <row r="138" spans="4:65" ht="15" customHeight="1" x14ac:dyDescent="0.2">
      <c r="D138" s="13"/>
      <c r="E138" s="13"/>
      <c r="F138" s="15"/>
      <c r="G138" s="15"/>
      <c r="H138" s="16"/>
      <c r="K138" s="15"/>
      <c r="L138" s="15"/>
      <c r="M138" s="16"/>
    </row>
    <row r="139" spans="4:65" ht="15" customHeight="1" x14ac:dyDescent="0.2"/>
    <row r="140" spans="4:65" ht="15" customHeight="1" x14ac:dyDescent="0.2"/>
    <row r="141" spans="4:65" ht="15" customHeight="1" x14ac:dyDescent="0.2"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</row>
    <row r="142" spans="4:65" ht="15" customHeight="1" x14ac:dyDescent="0.2"/>
    <row r="143" spans="4:65" ht="15" customHeight="1" x14ac:dyDescent="0.2">
      <c r="F143" s="7" t="str">
        <f>+F127</f>
        <v>JANUARY - JUNE</v>
      </c>
      <c r="G143" s="8"/>
      <c r="H143" s="8"/>
      <c r="K143" s="7" t="str">
        <f>+K127</f>
        <v>APRIL - JUNE</v>
      </c>
      <c r="L143" s="8"/>
      <c r="M143" s="8"/>
      <c r="S143" s="7" t="str">
        <f>+S6</f>
        <v>JANUARY - JUNE</v>
      </c>
      <c r="T143" s="8"/>
      <c r="U143" s="8"/>
      <c r="X143" s="7" t="str">
        <f>+X6</f>
        <v>APRIL - JUNE</v>
      </c>
      <c r="Y143" s="8"/>
      <c r="Z143" s="8"/>
    </row>
    <row r="144" spans="4:65" ht="4.5" customHeight="1" x14ac:dyDescent="0.2"/>
    <row r="145" spans="4:26" ht="15" customHeight="1" x14ac:dyDescent="0.2">
      <c r="D145" s="9" t="str">
        <f>+IF($B$3="esp","Millones de €","€ Millions")</f>
        <v>€ Millions</v>
      </c>
      <c r="F145" s="10">
        <v>2018</v>
      </c>
      <c r="G145" s="10">
        <v>2017</v>
      </c>
      <c r="H145" s="10" t="str">
        <f>+IF($B$3="esp","Var.%","% Chg.")</f>
        <v>% Chg.</v>
      </c>
      <c r="K145" s="10">
        <v>2018</v>
      </c>
      <c r="L145" s="10">
        <v>2017</v>
      </c>
      <c r="M145" s="10" t="str">
        <f>+IF($B$3="esp","Var.%","% Chg.")</f>
        <v>% Chg.</v>
      </c>
      <c r="Q145" s="9" t="str">
        <f>+IF($B$3="esp","Millones de €","€ Millions")</f>
        <v>€ Millions</v>
      </c>
      <c r="S145" s="10">
        <v>2018</v>
      </c>
      <c r="T145" s="10">
        <v>2017</v>
      </c>
      <c r="U145" s="10" t="str">
        <f>+IF($B$3="esp","Var.%","% Chg.")</f>
        <v>% Chg.</v>
      </c>
      <c r="X145" s="10">
        <v>2018</v>
      </c>
      <c r="Y145" s="10">
        <v>2017</v>
      </c>
      <c r="Z145" s="10" t="str">
        <f>+IF($B$3="esp","Var.%","% Chg.")</f>
        <v>% Chg.</v>
      </c>
    </row>
    <row r="146" spans="4:26" ht="15" customHeight="1" x14ac:dyDescent="0.2">
      <c r="D146" s="11" t="str">
        <f>+IF($B$3="esp","Ingresos de Explotación Ajustados","Operating Adjusted Revenues")</f>
        <v>Operating Adjusted Revenues</v>
      </c>
      <c r="F146" s="12"/>
      <c r="G146" s="12"/>
      <c r="H146" s="12"/>
      <c r="K146" s="12"/>
      <c r="L146" s="12"/>
      <c r="M146" s="12"/>
      <c r="Q146" s="11" t="str">
        <f>+IF($B$3="esp","Ingresos de Explotación","Operating Revenues")</f>
        <v>Operating Revenues</v>
      </c>
      <c r="S146" s="12"/>
      <c r="T146" s="12"/>
      <c r="U146" s="12"/>
      <c r="X146" s="12"/>
      <c r="Y146" s="12"/>
      <c r="Z146" s="12"/>
    </row>
    <row r="147" spans="4:26" ht="15" customHeight="1" x14ac:dyDescent="0.2">
      <c r="D147" s="13" t="str">
        <f>+IF($B$3="esp","GRUPO","GROUP")</f>
        <v>GROUP</v>
      </c>
      <c r="E147" s="13"/>
      <c r="F147" s="14">
        <f>+[1]GRUPO!K128</f>
        <v>621.70596505891342</v>
      </c>
      <c r="G147" s="15">
        <f>+[1]GRUPO!L128</f>
        <v>655.02436052328699</v>
      </c>
      <c r="H147" s="16">
        <f>IF(G147=0,"---",IF(OR(ABS((F147-G147)/ABS(G147))&gt;2,(F147*G147)&lt;0),"---",IF(G147="0","---",((F147-G147)/ABS(G147))*100)))</f>
        <v>-5.0865887549214364</v>
      </c>
      <c r="K147" s="14">
        <f>+[1]GRUPO!O128</f>
        <v>300.7058399430374</v>
      </c>
      <c r="L147" s="15">
        <f>+[1]GRUPO!P128</f>
        <v>292.503714107988</v>
      </c>
      <c r="M147" s="16">
        <f>IF(L147=0,"---",IF(OR(ABS((K147-L147)/ABS(L147))&gt;2,(K147*L147)&lt;0),"---",IF(L147="0","---",((K147-L147)/ABS(L147))*100)))</f>
        <v>2.804109978590323</v>
      </c>
      <c r="Q147" s="13" t="str">
        <f>+IF($B$3="esp","Total Santillana","Total Santillana")</f>
        <v>Total Santillana</v>
      </c>
      <c r="R147" s="13"/>
      <c r="S147" s="14">
        <f>+[1]SANTILLANA!K118</f>
        <v>293.95733014860747</v>
      </c>
      <c r="T147" s="15">
        <f>+[1]SANTILLANA!L118</f>
        <v>328.02148342967899</v>
      </c>
      <c r="U147" s="16">
        <f>IF(T147=0,"---",IF(OR(ABS((S147-T147)/ABS(T147))&gt;2,(S147*T147)&lt;0),"---",IF(T147="0","---",((S147-T147)/ABS(T147))*100)))</f>
        <v>-10.384732403776892</v>
      </c>
      <c r="X147" s="14">
        <f>+[1]SANTILLANA!O118</f>
        <v>120.20941290548348</v>
      </c>
      <c r="Y147" s="15">
        <f>+[1]SANTILLANA!P118</f>
        <v>112.42070918099799</v>
      </c>
      <c r="Z147" s="16">
        <f>IF(Y147=0,"---",IF(OR(ABS((X147-Y147)/ABS(Y147))&gt;2,(X147*Y147)&lt;0),"---",IF(Y147="0","---",((X147-Y147)/ABS(Y147))*100)))</f>
        <v>6.9281752278805051</v>
      </c>
    </row>
    <row r="148" spans="4:26" s="13" customFormat="1" ht="15" customHeight="1" x14ac:dyDescent="0.2">
      <c r="D148" s="17" t="str">
        <f>+IF($B$3="esp","Educación","Education")</f>
        <v>Education</v>
      </c>
      <c r="E148" s="1"/>
      <c r="F148" s="18">
        <f>+[1]GRUPO!K129</f>
        <v>293.95733014860747</v>
      </c>
      <c r="G148" s="19">
        <f>+[1]GRUPO!L129</f>
        <v>328.02148342967899</v>
      </c>
      <c r="H148" s="20">
        <f>IF(G148=0,"---",IF(OR(ABS((F148-G148)/ABS(G148))&gt;2,(F148*G148)&lt;0),"---",IF(G148="0","---",((F148-G148)/ABS(G148))*100)))</f>
        <v>-10.384732403776892</v>
      </c>
      <c r="K148" s="18">
        <f>+[1]GRUPO!O129</f>
        <v>120.20941290548348</v>
      </c>
      <c r="L148" s="19">
        <f>+[1]GRUPO!P129</f>
        <v>112.42070918099799</v>
      </c>
      <c r="M148" s="20">
        <f>IF(L148=0,"---",IF(OR(ABS((K148-L148)/ABS(L148))&gt;2,(K148*L148)&lt;0),"---",IF(L148="0","---",((K148-L148)/ABS(L148))*100)))</f>
        <v>6.9281752278805051</v>
      </c>
      <c r="Q148" s="17" t="str">
        <f>+IF($B$3="esp","Educación Tradicional y Compartir","Traditional Education and Compartir")</f>
        <v>Traditional Education and Compartir</v>
      </c>
      <c r="R148" s="1"/>
      <c r="S148" s="18">
        <f>+[1]SANTILLANA!K119</f>
        <v>267.25426102261338</v>
      </c>
      <c r="T148" s="19">
        <f>+[1]SANTILLANA!L119</f>
        <v>299.08385050108393</v>
      </c>
      <c r="U148" s="20">
        <f>IF(T148=0,"---",IF(OR(ABS((S148-T148)/ABS(T148))&gt;2,(S148*T148)&lt;0),"---",IF(T148="0","---",((S148-T148)/ABS(T148))*100)))</f>
        <v>-10.642363145032197</v>
      </c>
      <c r="X148" s="18">
        <f>+[1]SANTILLANA!O119</f>
        <v>108.88667866210341</v>
      </c>
      <c r="Y148" s="19">
        <f>+[1]SANTILLANA!P119</f>
        <v>101.69812554213084</v>
      </c>
      <c r="Z148" s="20">
        <f>IF(Y148=0,"---",IF(OR(ABS((X148-Y148)/ABS(Y148))&gt;2,(X148*Y148)&lt;0),"---",IF(Y148="0","---",((X148-Y148)/ABS(Y148))*100)))</f>
        <v>7.0685207634378076</v>
      </c>
    </row>
    <row r="149" spans="4:26" ht="15" customHeight="1" x14ac:dyDescent="0.2">
      <c r="D149" s="17" t="str">
        <f>+IF($B$3="esp","Radio","Radio")</f>
        <v>Radio</v>
      </c>
      <c r="F149" s="18">
        <f>+[1]GRUPO!K130</f>
        <v>135.97658028720701</v>
      </c>
      <c r="G149" s="19">
        <f>+[1]GRUPO!L130</f>
        <v>136.76790469200699</v>
      </c>
      <c r="H149" s="20">
        <f t="shared" ref="H149:H150" si="44">IF(G149=0,"---",IF(OR(ABS((F149-G149)/ABS(G149))&gt;2,(F149*G149)&lt;0),"---",IF(G149="0","---",((F149-G149)/ABS(G149))*100)))</f>
        <v>-0.57858925789789217</v>
      </c>
      <c r="K149" s="18">
        <f>+[1]GRUPO!O130</f>
        <v>77.144301663427811</v>
      </c>
      <c r="L149" s="19">
        <f>+[1]GRUPO!P130</f>
        <v>75.783237870044189</v>
      </c>
      <c r="M149" s="20">
        <f t="shared" ref="M149:M150" si="45">IF(L149=0,"---",IF(OR(ABS((K149-L149)/ABS(L149))&gt;2,(K149*L149)&lt;0),"---",IF(L149="0","---",((K149-L149)/ABS(L149))*100)))</f>
        <v>1.7959958318455891</v>
      </c>
      <c r="Q149" s="26" t="str">
        <f>+IF($B$3="esp","Campaña Sur","South Campaign")</f>
        <v>South Campaign</v>
      </c>
      <c r="S149" s="18">
        <f>+[1]SANTILLANA!K120</f>
        <v>174.16744175034998</v>
      </c>
      <c r="T149" s="19">
        <f>+[1]SANTILLANA!L120</f>
        <v>197.43540446247988</v>
      </c>
      <c r="U149" s="20">
        <f>IF(T149=0,"---",IF(OR(ABS((S149-T149)/ABS(T149))&gt;2,(S149*T149)&lt;0),"---",IF(T149="0","---",((S149-T149)/ABS(T149))*100)))</f>
        <v>-11.785101448991478</v>
      </c>
      <c r="X149" s="18">
        <f>+[1]SANTILLANA!O120</f>
        <v>29.740306327172476</v>
      </c>
      <c r="Y149" s="19">
        <f>+[1]SANTILLANA!P120</f>
        <v>14.388112791112661</v>
      </c>
      <c r="Z149" s="20">
        <f>IF(Y149=0,"---",IF(OR(ABS((X149-Y149)/ABS(Y149))&gt;2,(X149*Y149)&lt;0),"---",IF(Y149="0","---",((X149-Y149)/ABS(Y149))*100)))</f>
        <v>106.70053647023572</v>
      </c>
    </row>
    <row r="150" spans="4:26" ht="15" customHeight="1" x14ac:dyDescent="0.2">
      <c r="D150" s="17" t="str">
        <f>+IF($B$3="esp","Prensa","Press")</f>
        <v>Press</v>
      </c>
      <c r="F150" s="18">
        <f>+[1]GRUPO!K131</f>
        <v>100.257352177893</v>
      </c>
      <c r="G150" s="19">
        <f>+[1]GRUPO!L131</f>
        <v>109.053915504267</v>
      </c>
      <c r="H150" s="20">
        <f t="shared" si="44"/>
        <v>-8.0662517120073627</v>
      </c>
      <c r="K150" s="18">
        <f>+[1]GRUPO!O131</f>
        <v>54.606470981266</v>
      </c>
      <c r="L150" s="19">
        <f>+[1]GRUPO!P131</f>
        <v>58.659025464881594</v>
      </c>
      <c r="M150" s="20">
        <f t="shared" si="45"/>
        <v>-6.9086631622303498</v>
      </c>
      <c r="Q150" s="26" t="str">
        <f>+IF($B$3="esp","Campaña Norte","North Campaign")</f>
        <v>North Campaign</v>
      </c>
      <c r="S150" s="18">
        <f>+[1]SANTILLANA!K121</f>
        <v>93.086819272263398</v>
      </c>
      <c r="T150" s="19">
        <f>+[1]SANTILLANA!L121</f>
        <v>101.64844603860405</v>
      </c>
      <c r="U150" s="20">
        <f>IF(T150=0,"---",IF(OR(ABS((S150-T150)/ABS(T150))&gt;2,(S150*T150)&lt;0),"---",IF(T150="0","---",((S150-T150)/ABS(T150))*100)))</f>
        <v>-8.4227817541737107</v>
      </c>
      <c r="X150" s="18">
        <f>+[1]SANTILLANA!O121</f>
        <v>79.14637233493093</v>
      </c>
      <c r="Y150" s="19">
        <f>+[1]SANTILLANA!P121</f>
        <v>87.310012751018178</v>
      </c>
      <c r="Z150" s="20">
        <f>IF(Y150=0,"---",IF(OR(ABS((X150-Y150)/ABS(Y150))&gt;2,(X150*Y150)&lt;0),"---",IF(Y150="0","---",((X150-Y150)/ABS(Y150))*100)))</f>
        <v>-9.3501766393821146</v>
      </c>
    </row>
    <row r="151" spans="4:26" s="13" customFormat="1" ht="15" customHeight="1" x14ac:dyDescent="0.2">
      <c r="D151" s="17" t="str">
        <f>+IF($B$3="esp","Otros","Others")</f>
        <v>Others</v>
      </c>
      <c r="E151" s="1"/>
      <c r="F151" s="18">
        <f>+[1]GRUPO!K132</f>
        <v>91.514702445205941</v>
      </c>
      <c r="G151" s="19">
        <f>+[1]GRUPO!L132</f>
        <v>81.181056897334003</v>
      </c>
      <c r="H151" s="20">
        <f>IF(G151=0,"---",IF(OR(ABS((F151-G151)/ABS(G151))&gt;2,(F151*G151)&lt;0),"---",IF(G151="0","---",((F151-G151)/ABS(G151))*100)))</f>
        <v>12.729134040396186</v>
      </c>
      <c r="I151" s="1"/>
      <c r="K151" s="18">
        <f>+[1]GRUPO!O132</f>
        <v>48.745654392860118</v>
      </c>
      <c r="L151" s="19">
        <f>+[1]GRUPO!P132</f>
        <v>45.640741592064231</v>
      </c>
      <c r="M151" s="20">
        <f>IF(L151=0,"---",IF(OR(ABS((K151-L151)/ABS(L151))&gt;2,(K151*L151)&lt;0),"---",IF(L151="0","---",((K151-L151)/ABS(L151))*100)))</f>
        <v>6.802941171612674</v>
      </c>
      <c r="N151" s="1"/>
      <c r="Q151" s="17" t="str">
        <f>+IF($B$3="esp","Sistema UNO","UNO System")</f>
        <v>UNO System</v>
      </c>
      <c r="R151" s="1"/>
      <c r="S151" s="18">
        <f>+[1]SANTILLANA!K122</f>
        <v>26.703069125994066</v>
      </c>
      <c r="T151" s="19">
        <f>+[1]SANTILLANA!L122</f>
        <v>28.937632928595061</v>
      </c>
      <c r="U151" s="20">
        <f>IF(T151=0,"---",IF(OR(ABS((S151-T151)/ABS(T151))&gt;2,(S151*T151)&lt;0),"---",IF(T151="0","---",((S151-T151)/ABS(T151))*100)))</f>
        <v>-7.7219992668884974</v>
      </c>
      <c r="X151" s="18">
        <f>+[1]SANTILLANA!O122</f>
        <v>11.322734243380038</v>
      </c>
      <c r="Y151" s="19">
        <f>+[1]SANTILLANA!P122</f>
        <v>10.722583638867142</v>
      </c>
      <c r="Z151" s="20">
        <f>IF(Y151=0,"---",IF(OR(ABS((X151-Y151)/ABS(Y151))&gt;2,(X151*Y151)&lt;0),"---",IF(Y151="0","---",((X151-Y151)/ABS(Y151))*100)))</f>
        <v>5.5970708620772553</v>
      </c>
    </row>
    <row r="152" spans="4:26" ht="15" customHeight="1" x14ac:dyDescent="0.2">
      <c r="D152" s="17"/>
      <c r="F152" s="19"/>
      <c r="G152" s="19"/>
      <c r="H152" s="20"/>
      <c r="K152" s="19"/>
      <c r="L152" s="19"/>
      <c r="M152" s="20"/>
      <c r="Q152" s="17"/>
      <c r="S152" s="19"/>
      <c r="T152" s="19"/>
      <c r="U152" s="20"/>
      <c r="X152" s="19"/>
      <c r="Y152" s="19"/>
      <c r="Z152" s="20"/>
    </row>
    <row r="153" spans="4:26" ht="15" customHeight="1" x14ac:dyDescent="0.2"/>
    <row r="154" spans="4:26" ht="15" customHeight="1" x14ac:dyDescent="0.2">
      <c r="D154" s="17"/>
      <c r="F154" s="19"/>
      <c r="G154" s="19"/>
      <c r="H154" s="20"/>
      <c r="I154" s="13"/>
      <c r="K154" s="19"/>
      <c r="L154" s="19"/>
      <c r="M154" s="20"/>
      <c r="N154" s="13"/>
      <c r="S154" s="7" t="str">
        <f>+S143</f>
        <v>JANUARY - JUNE</v>
      </c>
      <c r="T154" s="8"/>
      <c r="U154" s="8"/>
      <c r="X154" s="7" t="str">
        <f>+X143</f>
        <v>APRIL - JUNE</v>
      </c>
      <c r="Y154" s="8"/>
      <c r="Z154" s="8"/>
    </row>
    <row r="155" spans="4:26" s="13" customFormat="1" ht="4.5" customHeight="1" x14ac:dyDescent="0.2">
      <c r="D155" s="17"/>
      <c r="E155" s="1"/>
      <c r="F155" s="19"/>
      <c r="G155" s="19"/>
      <c r="H155" s="20"/>
      <c r="I155" s="1"/>
      <c r="K155" s="19"/>
      <c r="L155" s="19"/>
      <c r="M155" s="20"/>
      <c r="N155" s="1"/>
      <c r="Q155" s="1"/>
      <c r="R155" s="1"/>
      <c r="S155" s="1"/>
      <c r="T155" s="1"/>
      <c r="U155" s="1"/>
      <c r="X155" s="1"/>
      <c r="Y155" s="1"/>
      <c r="Z155" s="1"/>
    </row>
    <row r="156" spans="4:26" ht="15" customHeight="1" x14ac:dyDescent="0.2">
      <c r="Q156" s="9" t="str">
        <f>+IF($B$3="esp","Millones de €","€ Millions")</f>
        <v>€ Millions</v>
      </c>
      <c r="S156" s="10">
        <v>2018</v>
      </c>
      <c r="T156" s="10">
        <v>2017</v>
      </c>
      <c r="U156" s="10" t="str">
        <f>+IF($B$3="esp","Var.%","% Chg.")</f>
        <v>% Chg.</v>
      </c>
      <c r="X156" s="10">
        <v>2018</v>
      </c>
      <c r="Y156" s="10">
        <v>2017</v>
      </c>
      <c r="Z156" s="10" t="str">
        <f>+IF($B$3="esp","Var.%","% Chg.")</f>
        <v>% Chg.</v>
      </c>
    </row>
    <row r="157" spans="4:26" ht="15" customHeight="1" x14ac:dyDescent="0.2">
      <c r="F157" s="7" t="str">
        <f>+F143</f>
        <v>JANUARY - JUNE</v>
      </c>
      <c r="G157" s="8"/>
      <c r="H157" s="8"/>
      <c r="K157" s="7" t="str">
        <f>+K143</f>
        <v>APRIL - JUNE</v>
      </c>
      <c r="L157" s="8"/>
      <c r="M157" s="8"/>
      <c r="Q157" s="11" t="str">
        <f>+IF($B$3="esp","Ingresos de Explotación ajustados a tipo constante","Operating Revenues at constant currency")</f>
        <v>Operating Revenues at constant currency</v>
      </c>
      <c r="S157" s="12"/>
      <c r="T157" s="12"/>
      <c r="U157" s="12"/>
      <c r="X157" s="12"/>
      <c r="Y157" s="12"/>
      <c r="Z157" s="12"/>
    </row>
    <row r="158" spans="4:26" ht="15" customHeight="1" x14ac:dyDescent="0.2">
      <c r="I158" s="13"/>
      <c r="N158" s="13"/>
      <c r="Q158" s="13" t="str">
        <f>+IF($B$3="esp","Total Santillana","Total Santillana")</f>
        <v>Total Santillana</v>
      </c>
      <c r="R158" s="13"/>
      <c r="S158" s="14">
        <f>+[1]SANTILLANA!K129</f>
        <v>344.24198669043602</v>
      </c>
      <c r="T158" s="15">
        <f>+[1]SANTILLANA!L129</f>
        <v>328.02148342967899</v>
      </c>
      <c r="U158" s="16">
        <f>IF(T158=0,"---",IF(OR(ABS((S158-T158)/ABS(T158))&gt;2,(S158*T158)&lt;0),"---",IF(T158="0","---",((S158-T158)/ABS(T158))*100)))</f>
        <v>4.9449514986521805</v>
      </c>
      <c r="X158" s="14">
        <f>+[1]SANTILLANA!O129</f>
        <v>137.36920483414463</v>
      </c>
      <c r="Y158" s="15">
        <f>+[1]SANTILLANA!P129</f>
        <v>112.42070918099799</v>
      </c>
      <c r="Z158" s="16">
        <f>IF(Y158=0,"---",IF(OR(ABS((X158-Y158)/ABS(Y158))&gt;2,(X158*Y158)&lt;0),"---",IF(Y158="0","---",((X158-Y158)/ABS(Y158))*100)))</f>
        <v>22.192081721330734</v>
      </c>
    </row>
    <row r="159" spans="4:26" ht="15" customHeight="1" x14ac:dyDescent="0.2">
      <c r="D159" s="9" t="str">
        <f>+IF($B$3="esp","Millones de €","€ Millions")</f>
        <v>€ Millions</v>
      </c>
      <c r="F159" s="10">
        <v>2018</v>
      </c>
      <c r="G159" s="10">
        <v>2017</v>
      </c>
      <c r="H159" s="10" t="str">
        <f>+IF($B$3="esp","Var.%","% Chg.")</f>
        <v>% Chg.</v>
      </c>
      <c r="K159" s="10">
        <v>2018</v>
      </c>
      <c r="L159" s="10">
        <v>2017</v>
      </c>
      <c r="M159" s="10" t="str">
        <f>+IF($B$3="esp","Var.%","% Chg.")</f>
        <v>% Chg.</v>
      </c>
      <c r="Q159" s="17" t="str">
        <f>+IF($B$3="esp","Educación Tradicional y Compartir","Traditional Education and Compartir")</f>
        <v>Traditional Education and Compartir</v>
      </c>
      <c r="S159" s="18">
        <f>+[1]SANTILLANA!K130</f>
        <v>313.29303386628669</v>
      </c>
      <c r="T159" s="19">
        <f>+[1]SANTILLANA!L130</f>
        <v>299.08385050108393</v>
      </c>
      <c r="U159" s="20">
        <f>IF(T159=0,"---",IF(OR(ABS((S159-T159)/ABS(T159))&gt;2,(S159*T159)&lt;0),"---",IF(T159="0","---",((S159-T159)/ABS(T159))*100)))</f>
        <v>4.7509029128108224</v>
      </c>
      <c r="X159" s="18">
        <f>+[1]SANTILLANA!O130</f>
        <v>123.96717962933263</v>
      </c>
      <c r="Y159" s="19">
        <f>+[1]SANTILLANA!P130</f>
        <v>101.69812554213084</v>
      </c>
      <c r="Z159" s="20">
        <f>IF(Y159=0,"---",IF(OR(ABS((X159-Y159)/ABS(Y159))&gt;2,(X159*Y159)&lt;0),"---",IF(Y159="0","---",((X159-Y159)/ABS(Y159))*100)))</f>
        <v>21.897211938263617</v>
      </c>
    </row>
    <row r="160" spans="4:26" ht="15" customHeight="1" x14ac:dyDescent="0.2">
      <c r="D160" s="11" t="str">
        <f>+IF($B$3="esp","EBITDA Ajustado","Adjusted EBITDA")</f>
        <v>Adjusted EBITDA</v>
      </c>
      <c r="F160" s="12"/>
      <c r="G160" s="12"/>
      <c r="H160" s="12"/>
      <c r="K160" s="12"/>
      <c r="L160" s="12"/>
      <c r="M160" s="12"/>
      <c r="Q160" s="26" t="str">
        <f>+IF($B$3="esp","Campaña Sur","South Campaign")</f>
        <v>South Campaign</v>
      </c>
      <c r="S160" s="18">
        <f>+[1]SANTILLANA!K131</f>
        <v>212.81674928819189</v>
      </c>
      <c r="T160" s="19">
        <f>+[1]SANTILLANA!L131</f>
        <v>197.43540446247988</v>
      </c>
      <c r="U160" s="20">
        <f>IF(T160=0,"---",IF(OR(ABS((S160-T160)/ABS(T160))&gt;2,(S160*T160)&lt;0),"---",IF(T160="0","---",((S160-T160)/ABS(T160))*100)))</f>
        <v>7.7905707274679994</v>
      </c>
      <c r="X160" s="18">
        <f>+[1]SANTILLANA!O131</f>
        <v>39.116436834367931</v>
      </c>
      <c r="Y160" s="19">
        <f>+[1]SANTILLANA!P131</f>
        <v>14.388112791112661</v>
      </c>
      <c r="Z160" s="20">
        <f>IF(Y160=0,"---",IF(OR(ABS((X160-Y160)/ABS(Y160))&gt;2,(X160*Y160)&lt;0),"---",IF(Y160="0","---",((X160-Y160)/ABS(Y160))*100)))</f>
        <v>171.86634829919888</v>
      </c>
    </row>
    <row r="161" spans="4:26" ht="15" customHeight="1" x14ac:dyDescent="0.2">
      <c r="D161" s="13" t="str">
        <f>+IF($B$3="esp","GRUPO","GROUP")</f>
        <v>GROUP</v>
      </c>
      <c r="E161" s="13"/>
      <c r="F161" s="14">
        <f>+[1]GRUPO!K140</f>
        <v>128.22043671489058</v>
      </c>
      <c r="G161" s="15">
        <f>+[1]GRUPO!L140</f>
        <v>131.80012489130414</v>
      </c>
      <c r="H161" s="16">
        <f>IF(G161=0,"---",IF(OR(ABS((F161-G161)/ABS(G161))&gt;2,(F161*G161)&lt;0),"---",IF(G161="0","---",((F161-G161)/ABS(G161))*100)))</f>
        <v>-2.715997560219106</v>
      </c>
      <c r="K161" s="14">
        <f>+[1]GRUPO!O140</f>
        <v>56.800962716780973</v>
      </c>
      <c r="L161" s="15">
        <f>+[1]GRUPO!P140</f>
        <v>40.911566296960572</v>
      </c>
      <c r="M161" s="16">
        <f>IF(L161=0,"---",IF(OR(ABS((K161-L161)/ABS(L161))&gt;2,(K161*L161)&lt;0),"---",IF(L161="0","---",((K161-L161)/ABS(L161))*100)))</f>
        <v>38.838396712767427</v>
      </c>
      <c r="Q161" s="26" t="str">
        <f>+IF($B$3="esp","Campaña Norte","North Campaign")</f>
        <v>North Campaign</v>
      </c>
      <c r="S161" s="18">
        <f>+[1]SANTILLANA!K132</f>
        <v>100.47628457809481</v>
      </c>
      <c r="T161" s="19">
        <f>+[1]SANTILLANA!L132</f>
        <v>101.64844603860405</v>
      </c>
      <c r="U161" s="20">
        <f>IF(T161=0,"---",IF(OR(ABS((S161-T161)/ABS(T161))&gt;2,(S161*T161)&lt;0),"---",IF(T161="0","---",((S161-T161)/ABS(T161))*100)))</f>
        <v>-1.1531523660126397</v>
      </c>
      <c r="X161" s="18">
        <f>+[1]SANTILLANA!O132</f>
        <v>84.850742794964702</v>
      </c>
      <c r="Y161" s="19">
        <f>+[1]SANTILLANA!P132</f>
        <v>87.310012751018178</v>
      </c>
      <c r="Z161" s="20">
        <f>IF(Y161=0,"---",IF(OR(ABS((X161-Y161)/ABS(Y161))&gt;2,(X161*Y161)&lt;0),"---",IF(Y161="0","---",((X161-Y161)/ABS(Y161))*100)))</f>
        <v>-2.8167101098319289</v>
      </c>
    </row>
    <row r="162" spans="4:26" s="13" customFormat="1" ht="15" customHeight="1" x14ac:dyDescent="0.2">
      <c r="D162" s="17" t="str">
        <f>+IF($B$3="esp","Educación","Education")</f>
        <v>Education</v>
      </c>
      <c r="E162" s="1"/>
      <c r="F162" s="18">
        <f>+[1]GRUPO!K141</f>
        <v>81.148683985070264</v>
      </c>
      <c r="G162" s="19">
        <f>+[1]GRUPO!L141</f>
        <v>94.203475473929714</v>
      </c>
      <c r="H162" s="20">
        <f t="shared" ref="H162:H165" si="46">IF(G162=0,"---",IF(OR(ABS((F162-G162)/ABS(G162))&gt;2,(F162*G162)&lt;0),"---",IF(G162="0","---",((F162-G162)/ABS(G162))*100)))</f>
        <v>-13.858078402290255</v>
      </c>
      <c r="I162" s="1"/>
      <c r="K162" s="18">
        <f>+[1]GRUPO!O141</f>
        <v>18.175845204785979</v>
      </c>
      <c r="L162" s="19">
        <f>+[1]GRUPO!P141</f>
        <v>11.200432742548159</v>
      </c>
      <c r="M162" s="20">
        <f t="shared" ref="M162:M165" si="47">IF(L162=0,"---",IF(OR(ABS((K162-L162)/ABS(L162))&gt;2,(K162*L162)&lt;0),"---",IF(L162="0","---",((K162-L162)/ABS(L162))*100)))</f>
        <v>62.27806213004299</v>
      </c>
      <c r="N162" s="1"/>
      <c r="Q162" s="17" t="str">
        <f>+IF($B$3="esp","Sistema UNO","UNO System")</f>
        <v>UNO System</v>
      </c>
      <c r="R162" s="1"/>
      <c r="S162" s="18">
        <f>+[1]SANTILLANA!K133</f>
        <v>30.94895282414933</v>
      </c>
      <c r="T162" s="19">
        <f>+[1]SANTILLANA!L133</f>
        <v>28.937632928595061</v>
      </c>
      <c r="U162" s="20">
        <f>IF(T162=0,"---",IF(OR(ABS((S162-T162)/ABS(T162))&gt;2,(S162*T162)&lt;0),"---",IF(T162="0","---",((S162-T162)/ABS(T162))*100)))</f>
        <v>6.9505335855123098</v>
      </c>
      <c r="X162" s="18">
        <f>+[1]SANTILLANA!O133</f>
        <v>13.402025204811995</v>
      </c>
      <c r="Y162" s="19">
        <f>+[1]SANTILLANA!P133</f>
        <v>10.722583638867142</v>
      </c>
      <c r="Z162" s="20">
        <f>IF(Y162=0,"---",IF(OR(ABS((X162-Y162)/ABS(Y162))&gt;2,(X162*Y162)&lt;0),"---",IF(Y162="0","---",((X162-Y162)/ABS(Y162))*100)))</f>
        <v>24.988768156887417</v>
      </c>
    </row>
    <row r="163" spans="4:26" ht="15" customHeight="1" x14ac:dyDescent="0.2">
      <c r="D163" s="17" t="str">
        <f>+IF($B$3="esp","Radio","Radio")</f>
        <v>Radio</v>
      </c>
      <c r="F163" s="18">
        <f>+[1]GRUPO!K142</f>
        <v>28.21189003778893</v>
      </c>
      <c r="G163" s="19">
        <f>+[1]GRUPO!L142</f>
        <v>22.013705716172801</v>
      </c>
      <c r="H163" s="20">
        <f t="shared" si="46"/>
        <v>28.156024258389678</v>
      </c>
      <c r="K163" s="18">
        <f>+[1]GRUPO!O142</f>
        <v>21.2157219718218</v>
      </c>
      <c r="L163" s="19">
        <f>+[1]GRUPO!P142</f>
        <v>16.335453433327682</v>
      </c>
      <c r="M163" s="20">
        <f t="shared" si="47"/>
        <v>29.875317256497862</v>
      </c>
      <c r="Q163" s="17"/>
      <c r="S163" s="19"/>
      <c r="T163" s="19"/>
      <c r="U163" s="20"/>
      <c r="X163" s="19"/>
      <c r="Y163" s="19"/>
      <c r="Z163" s="20"/>
    </row>
    <row r="164" spans="4:26" s="13" customFormat="1" ht="15" customHeight="1" x14ac:dyDescent="0.2">
      <c r="D164" s="17" t="str">
        <f>+IF($B$3="esp","Prensa","Press")</f>
        <v>Press</v>
      </c>
      <c r="E164" s="1"/>
      <c r="F164" s="18">
        <f>+[1]GRUPO!K143</f>
        <v>4.0065482534604628</v>
      </c>
      <c r="G164" s="19">
        <f>+[1]GRUPO!L143</f>
        <v>5.9595375868221296</v>
      </c>
      <c r="H164" s="20">
        <f t="shared" si="46"/>
        <v>-32.770819965632278</v>
      </c>
      <c r="I164" s="1"/>
      <c r="K164" s="18">
        <f>+[1]GRUPO!O143</f>
        <v>4.6966426850119225</v>
      </c>
      <c r="L164" s="19">
        <f>+[1]GRUPO!P143</f>
        <v>5.1058867729091792</v>
      </c>
      <c r="M164" s="20">
        <f t="shared" si="47"/>
        <v>-8.0151422485242829</v>
      </c>
      <c r="N164" s="1"/>
      <c r="Q164" s="1"/>
      <c r="R164" s="1"/>
      <c r="S164" s="1"/>
      <c r="T164" s="1"/>
      <c r="U164" s="1"/>
      <c r="X164" s="1"/>
      <c r="Y164" s="1"/>
      <c r="Z164" s="1"/>
    </row>
    <row r="165" spans="4:26" ht="15" customHeight="1" x14ac:dyDescent="0.2">
      <c r="D165" s="17" t="str">
        <f>+IF($B$3="esp","Otros","Others")</f>
        <v>Others</v>
      </c>
      <c r="F165" s="18">
        <f>+[1]GRUPO!K144</f>
        <v>14.853314438570926</v>
      </c>
      <c r="G165" s="19">
        <f>+[1]GRUPO!L144</f>
        <v>9.6234061143794918</v>
      </c>
      <c r="H165" s="20">
        <f t="shared" si="46"/>
        <v>54.345709430019774</v>
      </c>
      <c r="K165" s="18">
        <f>+[1]GRUPO!O144</f>
        <v>12.712752855161272</v>
      </c>
      <c r="L165" s="19">
        <f>+[1]GRUPO!P144</f>
        <v>8.2697933481755523</v>
      </c>
      <c r="M165" s="20">
        <f t="shared" si="47"/>
        <v>53.725157569577078</v>
      </c>
    </row>
    <row r="166" spans="4:26" ht="15" customHeight="1" x14ac:dyDescent="0.2">
      <c r="D166" s="17"/>
      <c r="F166" s="19"/>
      <c r="G166" s="19"/>
      <c r="H166" s="20"/>
      <c r="K166" s="19"/>
      <c r="L166" s="19"/>
      <c r="M166" s="20"/>
    </row>
    <row r="167" spans="4:26" ht="15" customHeight="1" x14ac:dyDescent="0.2">
      <c r="S167" s="7" t="str">
        <f>+S154</f>
        <v>JANUARY - JUNE</v>
      </c>
      <c r="T167" s="8"/>
      <c r="U167" s="8"/>
      <c r="X167" s="7" t="str">
        <f>+X154</f>
        <v>APRIL - JUNE</v>
      </c>
      <c r="Y167" s="8"/>
      <c r="Z167" s="8"/>
    </row>
    <row r="168" spans="4:26" s="13" customFormat="1" ht="15" customHeight="1" x14ac:dyDescent="0.2">
      <c r="D168" s="17"/>
      <c r="E168" s="1"/>
      <c r="F168" s="19"/>
      <c r="G168" s="19"/>
      <c r="H168" s="20"/>
      <c r="K168" s="19"/>
      <c r="L168" s="19"/>
      <c r="M168" s="20"/>
      <c r="Q168" s="1"/>
      <c r="R168" s="1"/>
      <c r="S168" s="1"/>
      <c r="T168" s="1"/>
      <c r="U168" s="1"/>
      <c r="X168" s="1"/>
      <c r="Y168" s="1"/>
      <c r="Z168" s="1"/>
    </row>
    <row r="169" spans="4:26" ht="15" customHeight="1" x14ac:dyDescent="0.2">
      <c r="D169" s="17"/>
      <c r="F169" s="19"/>
      <c r="G169" s="19"/>
      <c r="H169" s="20"/>
      <c r="K169" s="19"/>
      <c r="L169" s="19"/>
      <c r="M169" s="20"/>
      <c r="Q169" s="9" t="str">
        <f>+IF($B$3="esp","Millones de €","€ Millions")</f>
        <v>€ Millions</v>
      </c>
      <c r="S169" s="10">
        <v>2018</v>
      </c>
      <c r="T169" s="10">
        <v>2017</v>
      </c>
      <c r="U169" s="10" t="str">
        <f>+IF($B$3="esp","Var.%","% Chg.")</f>
        <v>% Chg.</v>
      </c>
      <c r="X169" s="10">
        <v>2018</v>
      </c>
      <c r="Y169" s="10">
        <v>2017</v>
      </c>
      <c r="Z169" s="10" t="str">
        <f>+IF($B$3="esp","Var.%","% Chg.")</f>
        <v>% Chg.</v>
      </c>
    </row>
    <row r="170" spans="4:26" ht="15" customHeight="1" x14ac:dyDescent="0.2">
      <c r="Q170" s="11" t="str">
        <f>+IF($B$3="esp","EBITDA Ajustado","Adjusted EBITDA")</f>
        <v>Adjusted EBITDA</v>
      </c>
      <c r="S170" s="12"/>
      <c r="T170" s="12"/>
      <c r="U170" s="12"/>
      <c r="X170" s="12"/>
      <c r="Y170" s="12"/>
      <c r="Z170" s="12"/>
    </row>
    <row r="171" spans="4:26" ht="15" customHeight="1" x14ac:dyDescent="0.2">
      <c r="Q171" s="13" t="str">
        <f>+IF($B$3="esp","Total Santillana","Total Santillana")</f>
        <v>Total Santillana</v>
      </c>
      <c r="R171" s="13"/>
      <c r="S171" s="14">
        <f>+[1]SANTILLANA!K149</f>
        <v>81.148683985070264</v>
      </c>
      <c r="T171" s="15">
        <f>+[1]SANTILLANA!L149</f>
        <v>94.203475473929714</v>
      </c>
      <c r="U171" s="16">
        <f>IF(T171=0,"---",IF(OR(ABS((S171-T171)/ABS(T171))&gt;2,(S171*T171)&lt;0),"---",IF(T171="0","---",((S171-T171)/ABS(T171))*100)))</f>
        <v>-13.858078402290255</v>
      </c>
      <c r="X171" s="14">
        <f>+[1]SANTILLANA!O149</f>
        <v>18.175845204785979</v>
      </c>
      <c r="Y171" s="15">
        <f>+[1]SANTILLANA!P149</f>
        <v>11.200432742548159</v>
      </c>
      <c r="Z171" s="16">
        <f>IF(Y171=0,"---",IF(OR(ABS((X171-Y171)/ABS(Y171))&gt;2,(X171*Y171)&lt;0),"---",IF(Y171="0","---",((X171-Y171)/ABS(Y171))*100)))</f>
        <v>62.27806213004299</v>
      </c>
    </row>
    <row r="172" spans="4:26" ht="15" customHeight="1" x14ac:dyDescent="0.2">
      <c r="Q172" s="17" t="str">
        <f>+IF($B$3="esp","Educación Tradicional y Compartir","Traditional Education and Compartir")</f>
        <v>Traditional Education and Compartir</v>
      </c>
      <c r="S172" s="18">
        <f>+[1]SANTILLANA!K150</f>
        <v>75.644614602652126</v>
      </c>
      <c r="T172" s="19">
        <f>+[1]SANTILLANA!L150</f>
        <v>85.272219739849618</v>
      </c>
      <c r="U172" s="20">
        <f>IF(T172=0,"---",IF(OR(ABS((S172-T172)/ABS(T172))&gt;2,(S172*T172)&lt;0),"---",IF(T172="0","---",((S172-T172)/ABS(T172))*100)))</f>
        <v>-11.290435697076497</v>
      </c>
      <c r="X172" s="18">
        <f>+[1]SANTILLANA!O150</f>
        <v>16.455291314654048</v>
      </c>
      <c r="Y172" s="19">
        <f>+[1]SANTILLANA!P150</f>
        <v>9.1577429493595304</v>
      </c>
      <c r="Z172" s="20">
        <f>IF(Y172=0,"---",IF(OR(ABS((X172-Y172)/ABS(Y172))&gt;2,(X172*Y172)&lt;0),"---",IF(Y172="0","---",((X172-Y172)/ABS(Y172))*100)))</f>
        <v>79.68719372937727</v>
      </c>
    </row>
    <row r="173" spans="4:26" ht="15" customHeight="1" x14ac:dyDescent="0.2">
      <c r="Q173" s="26" t="str">
        <f>+IF($B$3="esp","Campaña Sur","South Campaign")</f>
        <v>South Campaign</v>
      </c>
      <c r="S173" s="18">
        <f>+[1]SANTILLANA!K151</f>
        <v>69.89251582737505</v>
      </c>
      <c r="T173" s="19">
        <f>+[1]SANTILLANA!L151</f>
        <v>76.311642765381578</v>
      </c>
      <c r="U173" s="20">
        <f>IF(T173=0,"---",IF(OR(ABS((S173-T173)/ABS(T173))&gt;2,(S173*T173)&lt;0),"---",IF(T173="0","---",((S173-T173)/ABS(T173))*100)))</f>
        <v>-8.4117268419210802</v>
      </c>
      <c r="X173" s="18">
        <f>+[1]SANTILLANA!O151</f>
        <v>-10.414120799176786</v>
      </c>
      <c r="Y173" s="19">
        <f>+[1]SANTILLANA!P151</f>
        <v>-24.271977933648756</v>
      </c>
      <c r="Z173" s="20">
        <f>IF(Y173=0,"---",IF(OR(ABS((X173-Y173)/ABS(Y173))&gt;2,(X173*Y173)&lt;0),"---",IF(Y173="0","---",((X173-Y173)/ABS(Y173))*100)))</f>
        <v>57.094057898184438</v>
      </c>
    </row>
    <row r="174" spans="4:26" ht="15" customHeight="1" x14ac:dyDescent="0.2">
      <c r="Q174" s="26" t="str">
        <f>+IF($B$3="esp","Campaña Norte","North Campaign")</f>
        <v>North Campaign</v>
      </c>
      <c r="S174" s="18">
        <f>+[1]SANTILLANA!K152</f>
        <v>5.7520987752770765</v>
      </c>
      <c r="T174" s="19">
        <f>+[1]SANTILLANA!L152</f>
        <v>8.9605769744680401</v>
      </c>
      <c r="U174" s="20">
        <f>IF(T174=0,"---",IF(OR(ABS((S174-T174)/ABS(T174))&gt;2,(S174*T174)&lt;0),"---",IF(T174="0","---",((S174-T174)/ABS(T174))*100)))</f>
        <v>-35.806602725841103</v>
      </c>
      <c r="X174" s="18">
        <f>+[1]SANTILLANA!O152</f>
        <v>26.869412113830833</v>
      </c>
      <c r="Y174" s="19">
        <f>+[1]SANTILLANA!P152</f>
        <v>33.429720883008287</v>
      </c>
      <c r="Z174" s="20">
        <f>IF(Y174=0,"---",IF(OR(ABS((X174-Y174)/ABS(Y174))&gt;2,(X174*Y174)&lt;0),"---",IF(Y174="0","---",((X174-Y174)/ABS(Y174))*100)))</f>
        <v>-19.624180507327953</v>
      </c>
    </row>
    <row r="175" spans="4:26" ht="15" customHeight="1" x14ac:dyDescent="0.2">
      <c r="Q175" s="17" t="str">
        <f>+IF($B$3="esp","Sistema UNO","UNO System")</f>
        <v>UNO System</v>
      </c>
      <c r="S175" s="18">
        <f>+[1]SANTILLANA!K153</f>
        <v>5.504069382418141</v>
      </c>
      <c r="T175" s="19">
        <f>+[1]SANTILLANA!L153</f>
        <v>8.9312557340800982</v>
      </c>
      <c r="U175" s="20">
        <f>IF(T175=0,"---",IF(OR(ABS((S175-T175)/ABS(T175))&gt;2,(S175*T175)&lt;0),"---",IF(T175="0","---",((S175-T175)/ABS(T175))*100)))</f>
        <v>-38.372950609670909</v>
      </c>
      <c r="X175" s="18">
        <f>+[1]SANTILLANA!O153</f>
        <v>1.7205538901319382</v>
      </c>
      <c r="Y175" s="19">
        <f>+[1]SANTILLANA!P153</f>
        <v>2.0426897931886288</v>
      </c>
      <c r="Z175" s="20">
        <f>IF(Y175=0,"---",IF(OR(ABS((X175-Y175)/ABS(Y175))&gt;2,(X175*Y175)&lt;0),"---",IF(Y175="0","---",((X175-Y175)/ABS(Y175))*100)))</f>
        <v>-15.770182243571993</v>
      </c>
    </row>
    <row r="176" spans="4:26" ht="15" customHeight="1" x14ac:dyDescent="0.2">
      <c r="Q176" s="17"/>
      <c r="S176" s="19"/>
      <c r="T176" s="19"/>
      <c r="U176" s="20"/>
      <c r="X176" s="19"/>
      <c r="Y176" s="19"/>
      <c r="Z176" s="20"/>
    </row>
    <row r="177" spans="17:26" ht="15" customHeight="1" x14ac:dyDescent="0.2"/>
    <row r="178" spans="17:26" ht="15" customHeight="1" x14ac:dyDescent="0.2">
      <c r="S178" s="7" t="str">
        <f>+S167</f>
        <v>JANUARY - JUNE</v>
      </c>
      <c r="T178" s="8"/>
      <c r="U178" s="8"/>
      <c r="X178" s="7" t="str">
        <f>+X167</f>
        <v>APRIL - JUNE</v>
      </c>
      <c r="Y178" s="8"/>
      <c r="Z178" s="8"/>
    </row>
    <row r="179" spans="17:26" ht="15" customHeight="1" x14ac:dyDescent="0.2"/>
    <row r="180" spans="17:26" ht="15" customHeight="1" x14ac:dyDescent="0.2">
      <c r="Q180" s="9" t="str">
        <f>+IF($B$3="esp","Millones de €","€ Millions")</f>
        <v>€ Millions</v>
      </c>
      <c r="S180" s="10">
        <v>2018</v>
      </c>
      <c r="T180" s="10">
        <v>2017</v>
      </c>
      <c r="U180" s="10" t="str">
        <f>+IF($B$3="esp","Var.%","% Chg.")</f>
        <v>% Chg.</v>
      </c>
      <c r="X180" s="10">
        <v>2018</v>
      </c>
      <c r="Y180" s="10">
        <v>2017</v>
      </c>
      <c r="Z180" s="10" t="str">
        <f>+IF($B$3="esp","Var.%","% Chg.")</f>
        <v>% Chg.</v>
      </c>
    </row>
    <row r="181" spans="17:26" ht="15" customHeight="1" x14ac:dyDescent="0.2">
      <c r="Q181" s="11" t="str">
        <f>+IF($B$3="esp","EBITDA Ajustado a tipo constante","Adjusted EBITDA at constant currency")</f>
        <v>Adjusted EBITDA at constant currency</v>
      </c>
      <c r="S181" s="12"/>
      <c r="T181" s="12"/>
      <c r="U181" s="12"/>
      <c r="X181" s="12"/>
      <c r="Y181" s="12"/>
      <c r="Z181" s="12"/>
    </row>
    <row r="182" spans="17:26" ht="15" customHeight="1" x14ac:dyDescent="0.2">
      <c r="Q182" s="13" t="str">
        <f>+IF($B$3="esp","Total Santillana","Total Santillana")</f>
        <v>Total Santillana</v>
      </c>
      <c r="R182" s="13"/>
      <c r="S182" s="14">
        <f>+[1]SANTILLANA!K160</f>
        <v>99.973921661928671</v>
      </c>
      <c r="T182" s="15">
        <f>+[1]SANTILLANA!L160</f>
        <v>94.203475473929714</v>
      </c>
      <c r="U182" s="16">
        <f>IF(T182=0,"---",IF(OR(ABS((S182-T182)/ABS(T182))&gt;2,(S182*T182)&lt;0),"---",IF(T182="0","---",((S182-T182)/ABS(T182))*100)))</f>
        <v>6.1255130545538048</v>
      </c>
      <c r="X182" s="14">
        <f>+[1]SANTILLANA!O160</f>
        <v>19.965658127983261</v>
      </c>
      <c r="Y182" s="15">
        <f>+[1]SANTILLANA!P160</f>
        <v>11.200432742548159</v>
      </c>
      <c r="Z182" s="16">
        <f>IF(Y182=0,"---",IF(OR(ABS((X182-Y182)/ABS(Y182))&gt;2,(X182*Y182)&lt;0),"---",IF(Y182="0","---",((X182-Y182)/ABS(Y182))*100)))</f>
        <v>78.257917233302948</v>
      </c>
    </row>
    <row r="183" spans="17:26" ht="15" customHeight="1" x14ac:dyDescent="0.2">
      <c r="Q183" s="17" t="str">
        <f>+IF($B$3="esp","Educación Tradicional y Compartir","Traditional Education and Compartir")</f>
        <v>Traditional Education and Compartir</v>
      </c>
      <c r="S183" s="18">
        <f>+[1]SANTILLANA!K161</f>
        <v>93.494023448759449</v>
      </c>
      <c r="T183" s="19">
        <f>+[1]SANTILLANA!L161</f>
        <v>85.272219739849618</v>
      </c>
      <c r="U183" s="20">
        <f>IF(T183=0,"---",IF(OR(ABS((S183-T183)/ABS(T183))&gt;2,(S183*T183)&lt;0),"---",IF(T183="0","---",((S183-T183)/ABS(T183))*100)))</f>
        <v>9.6418314592877881</v>
      </c>
      <c r="X183" s="18">
        <f>+[1]SANTILLANA!O161</f>
        <v>17.766745895850732</v>
      </c>
      <c r="Y183" s="19">
        <f>+[1]SANTILLANA!P161</f>
        <v>9.1577429493595304</v>
      </c>
      <c r="Z183" s="20">
        <f>IF(Y183=0,"---",IF(OR(ABS((X183-Y183)/ABS(Y183))&gt;2,(X183*Y183)&lt;0),"---",IF(Y183="0","---",((X183-Y183)/ABS(Y183))*100)))</f>
        <v>94.007912147100541</v>
      </c>
    </row>
    <row r="184" spans="17:26" ht="15" customHeight="1" x14ac:dyDescent="0.2">
      <c r="Q184" s="26" t="str">
        <f>+IF($B$3="esp","Campaña Sur","South Campaign")</f>
        <v>South Campaign</v>
      </c>
      <c r="S184" s="18">
        <f>+[1]SANTILLANA!K162</f>
        <v>85.963480177295082</v>
      </c>
      <c r="T184" s="19">
        <f>+[1]SANTILLANA!L162</f>
        <v>76.311642765381578</v>
      </c>
      <c r="U184" s="20">
        <f>IF(T184=0,"---",IF(OR(ABS((S184-T184)/ABS(T184))&gt;2,(S184*T184)&lt;0),"---",IF(T184="0","---",((S184-T184)/ABS(T184))*100)))</f>
        <v>12.647922469167463</v>
      </c>
      <c r="X184" s="18">
        <f>+[1]SANTILLANA!O162</f>
        <v>-11.2304706113175</v>
      </c>
      <c r="Y184" s="19">
        <f>+[1]SANTILLANA!P162</f>
        <v>-24.271977933648756</v>
      </c>
      <c r="Z184" s="20">
        <f>IF(Y184=0,"---",IF(OR(ABS((X184-Y184)/ABS(Y184))&gt;2,(X184*Y184)&lt;0),"---",IF(Y184="0","---",((X184-Y184)/ABS(Y184))*100)))</f>
        <v>53.730715139830195</v>
      </c>
    </row>
    <row r="185" spans="17:26" ht="15" customHeight="1" x14ac:dyDescent="0.2">
      <c r="Q185" s="26" t="str">
        <f>+IF($B$3="esp","Campaña Norte","North Campaign")</f>
        <v>North Campaign</v>
      </c>
      <c r="S185" s="18">
        <f>+[1]SANTILLANA!K163</f>
        <v>7.5305432714643672</v>
      </c>
      <c r="T185" s="19">
        <f>+[1]SANTILLANA!L163</f>
        <v>8.9605769744680401</v>
      </c>
      <c r="U185" s="20">
        <f>IF(T185=0,"---",IF(OR(ABS((S185-T185)/ABS(T185))&gt;2,(S185*T185)&lt;0),"---",IF(T185="0","---",((S185-T185)/ABS(T185))*100)))</f>
        <v>-15.959169895848916</v>
      </c>
      <c r="X185" s="18">
        <f>+[1]SANTILLANA!O163</f>
        <v>28.997216507168233</v>
      </c>
      <c r="Y185" s="19">
        <f>+[1]SANTILLANA!P163</f>
        <v>33.429720883008287</v>
      </c>
      <c r="Z185" s="20">
        <f>IF(Y185=0,"---",IF(OR(ABS((X185-Y185)/ABS(Y185))&gt;2,(X185*Y185)&lt;0),"---",IF(Y185="0","---",((X185-Y185)/ABS(Y185))*100)))</f>
        <v>-13.259172552927339</v>
      </c>
    </row>
    <row r="186" spans="17:26" ht="15" customHeight="1" x14ac:dyDescent="0.2">
      <c r="Q186" s="17" t="str">
        <f>+IF($B$3="esp","Sistema UNO","UNO System")</f>
        <v>UNO System</v>
      </c>
      <c r="S186" s="18">
        <f>+[1]SANTILLANA!K164</f>
        <v>6.4798982131692204</v>
      </c>
      <c r="T186" s="19">
        <f>+[1]SANTILLANA!L164</f>
        <v>8.9312557340800982</v>
      </c>
      <c r="U186" s="20">
        <f>IF(T186=0,"---",IF(OR(ABS((S186-T186)/ABS(T186))&gt;2,(S186*T186)&lt;0),"---",IF(T186="0","---",((S186-T186)/ABS(T186))*100)))</f>
        <v>-27.44695252154666</v>
      </c>
      <c r="X186" s="18">
        <f>+[1]SANTILLANA!O164</f>
        <v>2.1989122321325336</v>
      </c>
      <c r="Y186" s="19">
        <f>+[1]SANTILLANA!P164</f>
        <v>2.0426897931886288</v>
      </c>
      <c r="Z186" s="20">
        <f>IF(Y186=0,"---",IF(OR(ABS((X186-Y186)/ABS(Y186))&gt;2,(X186*Y186)&lt;0),"---",IF(Y186="0","---",((X186-Y186)/ABS(Y186))*100)))</f>
        <v>7.6478787657739451</v>
      </c>
    </row>
    <row r="187" spans="17:26" ht="15" customHeight="1" x14ac:dyDescent="0.2">
      <c r="Q187" s="17"/>
      <c r="S187" s="19"/>
      <c r="T187" s="19"/>
      <c r="U187" s="20"/>
      <c r="X187" s="19"/>
      <c r="Y187" s="19"/>
      <c r="Z187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Gil Miguel, Pilar</cp:lastModifiedBy>
  <dcterms:created xsi:type="dcterms:W3CDTF">2018-07-24T10:41:43Z</dcterms:created>
  <dcterms:modified xsi:type="dcterms:W3CDTF">2018-07-30T08:10:49Z</dcterms:modified>
</cp:coreProperties>
</file>