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ELACIÓN CON INVERSORES\NEW\RESULTS\2018\3T\Doc DEF\"/>
    </mc:Choice>
  </mc:AlternateContent>
  <xr:revisionPtr revIDLastSave="0" documentId="8_{B5EF480C-66B8-4C79-8DC1-685037FFA247}" xr6:coauthVersionLast="37" xr6:coauthVersionMax="37" xr10:uidLastSave="{00000000-0000-0000-0000-000000000000}"/>
  <bookViews>
    <workbookView xWindow="0" yWindow="0" windowWidth="28800" windowHeight="12165" xr2:uid="{0A712B6E-1653-43E7-90DF-15F15679A9EE}"/>
  </bookViews>
  <sheets>
    <sheet name="Hoja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66" i="1" l="1"/>
  <c r="M166" i="1" s="1"/>
  <c r="K166" i="1"/>
  <c r="G166" i="1"/>
  <c r="H166" i="1" s="1"/>
  <c r="F166" i="1"/>
  <c r="D166" i="1"/>
  <c r="L165" i="1"/>
  <c r="M165" i="1" s="1"/>
  <c r="K165" i="1"/>
  <c r="H165" i="1"/>
  <c r="G165" i="1"/>
  <c r="F165" i="1"/>
  <c r="D165" i="1"/>
  <c r="M164" i="1"/>
  <c r="L164" i="1"/>
  <c r="K164" i="1"/>
  <c r="G164" i="1"/>
  <c r="F164" i="1"/>
  <c r="D164" i="1"/>
  <c r="M163" i="1"/>
  <c r="L163" i="1"/>
  <c r="K163" i="1"/>
  <c r="G163" i="1"/>
  <c r="H163" i="1" s="1"/>
  <c r="F163" i="1"/>
  <c r="D163" i="1"/>
  <c r="L162" i="1"/>
  <c r="M162" i="1" s="1"/>
  <c r="K162" i="1"/>
  <c r="H162" i="1"/>
  <c r="G162" i="1"/>
  <c r="F162" i="1"/>
  <c r="D162" i="1"/>
  <c r="D161" i="1"/>
  <c r="M160" i="1"/>
  <c r="H160" i="1"/>
  <c r="D160" i="1"/>
  <c r="L152" i="1"/>
  <c r="M152" i="1" s="1"/>
  <c r="K152" i="1"/>
  <c r="G152" i="1"/>
  <c r="H152" i="1" s="1"/>
  <c r="F152" i="1"/>
  <c r="D152" i="1"/>
  <c r="L151" i="1"/>
  <c r="M151" i="1" s="1"/>
  <c r="K151" i="1"/>
  <c r="G151" i="1"/>
  <c r="H151" i="1" s="1"/>
  <c r="F151" i="1"/>
  <c r="D151" i="1"/>
  <c r="M150" i="1"/>
  <c r="L150" i="1"/>
  <c r="K150" i="1"/>
  <c r="G150" i="1"/>
  <c r="H150" i="1" s="1"/>
  <c r="F150" i="1"/>
  <c r="D150" i="1"/>
  <c r="L149" i="1"/>
  <c r="M149" i="1" s="1"/>
  <c r="K149" i="1"/>
  <c r="H149" i="1"/>
  <c r="G149" i="1"/>
  <c r="F149" i="1"/>
  <c r="D149" i="1"/>
  <c r="L148" i="1"/>
  <c r="K148" i="1"/>
  <c r="G148" i="1"/>
  <c r="H148" i="1" s="1"/>
  <c r="F148" i="1"/>
  <c r="D148" i="1"/>
  <c r="D147" i="1"/>
  <c r="M146" i="1"/>
  <c r="H146" i="1"/>
  <c r="D146" i="1"/>
  <c r="M138" i="1"/>
  <c r="L138" i="1"/>
  <c r="K138" i="1"/>
  <c r="G138" i="1"/>
  <c r="F138" i="1"/>
  <c r="D138" i="1"/>
  <c r="L137" i="1"/>
  <c r="M137" i="1" s="1"/>
  <c r="K137" i="1"/>
  <c r="H137" i="1"/>
  <c r="G137" i="1"/>
  <c r="F137" i="1"/>
  <c r="D137" i="1"/>
  <c r="M136" i="1"/>
  <c r="L136" i="1"/>
  <c r="K136" i="1"/>
  <c r="H136" i="1"/>
  <c r="G136" i="1"/>
  <c r="F136" i="1"/>
  <c r="D136" i="1"/>
  <c r="L135" i="1"/>
  <c r="M135" i="1" s="1"/>
  <c r="K135" i="1"/>
  <c r="G135" i="1"/>
  <c r="H135" i="1" s="1"/>
  <c r="F135" i="1"/>
  <c r="D135" i="1"/>
  <c r="L134" i="1"/>
  <c r="M134" i="1" s="1"/>
  <c r="K134" i="1"/>
  <c r="H134" i="1"/>
  <c r="G134" i="1"/>
  <c r="F134" i="1"/>
  <c r="D134" i="1"/>
  <c r="L133" i="1"/>
  <c r="K133" i="1"/>
  <c r="H133" i="1"/>
  <c r="G133" i="1"/>
  <c r="F133" i="1"/>
  <c r="D133" i="1"/>
  <c r="M132" i="1"/>
  <c r="L132" i="1"/>
  <c r="K132" i="1"/>
  <c r="G132" i="1"/>
  <c r="F132" i="1"/>
  <c r="D132" i="1"/>
  <c r="M130" i="1"/>
  <c r="H130" i="1"/>
  <c r="D130" i="1"/>
  <c r="BL125" i="1"/>
  <c r="BM125" i="1" s="1"/>
  <c r="BK125" i="1"/>
  <c r="BH125" i="1"/>
  <c r="BG125" i="1"/>
  <c r="BF125" i="1"/>
  <c r="BD125" i="1"/>
  <c r="AY125" i="1"/>
  <c r="AX125" i="1"/>
  <c r="AU125" i="1"/>
  <c r="AT125" i="1"/>
  <c r="AS125" i="1"/>
  <c r="AQ125" i="1"/>
  <c r="AL125" i="1"/>
  <c r="AM125" i="1" s="1"/>
  <c r="AK125" i="1"/>
  <c r="AG125" i="1"/>
  <c r="AF125" i="1"/>
  <c r="AD125" i="1"/>
  <c r="Y125" i="1"/>
  <c r="X125" i="1"/>
  <c r="U125" i="1"/>
  <c r="T125" i="1"/>
  <c r="S125" i="1"/>
  <c r="Q125" i="1"/>
  <c r="M125" i="1"/>
  <c r="L125" i="1"/>
  <c r="K125" i="1"/>
  <c r="G125" i="1"/>
  <c r="H125" i="1" s="1"/>
  <c r="F125" i="1"/>
  <c r="D125" i="1"/>
  <c r="BM124" i="1"/>
  <c r="BL124" i="1"/>
  <c r="BK124" i="1"/>
  <c r="BG124" i="1"/>
  <c r="BF124" i="1"/>
  <c r="BD124" i="1"/>
  <c r="AY124" i="1"/>
  <c r="AZ124" i="1" s="1"/>
  <c r="AX124" i="1"/>
  <c r="AT124" i="1"/>
  <c r="AS124" i="1"/>
  <c r="AQ124" i="1"/>
  <c r="AL124" i="1"/>
  <c r="AM124" i="1" s="1"/>
  <c r="AK124" i="1"/>
  <c r="AH124" i="1"/>
  <c r="AG124" i="1"/>
  <c r="AF124" i="1"/>
  <c r="AD124" i="1"/>
  <c r="Y124" i="1"/>
  <c r="X124" i="1"/>
  <c r="U124" i="1"/>
  <c r="T124" i="1"/>
  <c r="S124" i="1"/>
  <c r="Q124" i="1"/>
  <c r="M124" i="1"/>
  <c r="L124" i="1"/>
  <c r="K124" i="1"/>
  <c r="H124" i="1"/>
  <c r="G124" i="1"/>
  <c r="F124" i="1"/>
  <c r="D124" i="1"/>
  <c r="BL123" i="1"/>
  <c r="BM123" i="1" s="1"/>
  <c r="BK123" i="1"/>
  <c r="BG123" i="1"/>
  <c r="BF123" i="1"/>
  <c r="BD123" i="1"/>
  <c r="AY123" i="1"/>
  <c r="AX123" i="1"/>
  <c r="AT123" i="1"/>
  <c r="AU123" i="1" s="1"/>
  <c r="AS123" i="1"/>
  <c r="AQ123" i="1"/>
  <c r="AM123" i="1"/>
  <c r="AL123" i="1"/>
  <c r="AK123" i="1"/>
  <c r="AG123" i="1"/>
  <c r="AH123" i="1" s="1"/>
  <c r="AF123" i="1"/>
  <c r="AD123" i="1"/>
  <c r="Z123" i="1"/>
  <c r="Y123" i="1"/>
  <c r="X123" i="1"/>
  <c r="T123" i="1"/>
  <c r="S123" i="1"/>
  <c r="Q123" i="1"/>
  <c r="M123" i="1"/>
  <c r="L123" i="1"/>
  <c r="K123" i="1"/>
  <c r="G123" i="1"/>
  <c r="H123" i="1" s="1"/>
  <c r="F123" i="1"/>
  <c r="D123" i="1"/>
  <c r="BL122" i="1"/>
  <c r="BM122" i="1" s="1"/>
  <c r="BK122" i="1"/>
  <c r="BH122" i="1"/>
  <c r="BG122" i="1"/>
  <c r="BF122" i="1"/>
  <c r="BD122" i="1"/>
  <c r="AY122" i="1"/>
  <c r="AZ122" i="1" s="1"/>
  <c r="AX122" i="1"/>
  <c r="AU122" i="1"/>
  <c r="AT122" i="1"/>
  <c r="AS122" i="1"/>
  <c r="AQ122" i="1"/>
  <c r="AL122" i="1"/>
  <c r="AK122" i="1"/>
  <c r="AH122" i="1"/>
  <c r="AG122" i="1"/>
  <c r="AF122" i="1"/>
  <c r="AD122" i="1"/>
  <c r="Y122" i="1"/>
  <c r="Z122" i="1" s="1"/>
  <c r="X122" i="1"/>
  <c r="T122" i="1"/>
  <c r="S122" i="1"/>
  <c r="Q122" i="1"/>
  <c r="L122" i="1"/>
  <c r="K122" i="1"/>
  <c r="H122" i="1"/>
  <c r="G122" i="1"/>
  <c r="F122" i="1"/>
  <c r="D122" i="1"/>
  <c r="BM121" i="1"/>
  <c r="BL121" i="1"/>
  <c r="BK121" i="1"/>
  <c r="BG121" i="1"/>
  <c r="BH121" i="1" s="1"/>
  <c r="BF121" i="1"/>
  <c r="BD121" i="1"/>
  <c r="AZ121" i="1"/>
  <c r="AY121" i="1"/>
  <c r="AX121" i="1"/>
  <c r="AT121" i="1"/>
  <c r="AS121" i="1"/>
  <c r="AQ121" i="1"/>
  <c r="AL121" i="1"/>
  <c r="AM121" i="1" s="1"/>
  <c r="AK121" i="1"/>
  <c r="AG121" i="1"/>
  <c r="AF121" i="1"/>
  <c r="AD121" i="1"/>
  <c r="Y121" i="1"/>
  <c r="Z121" i="1" s="1"/>
  <c r="X121" i="1"/>
  <c r="U121" i="1"/>
  <c r="T121" i="1"/>
  <c r="S121" i="1"/>
  <c r="Q121" i="1"/>
  <c r="L121" i="1"/>
  <c r="K121" i="1"/>
  <c r="H121" i="1"/>
  <c r="G121" i="1"/>
  <c r="F121" i="1"/>
  <c r="D121" i="1"/>
  <c r="BM120" i="1"/>
  <c r="BL120" i="1"/>
  <c r="BK120" i="1"/>
  <c r="BH120" i="1"/>
  <c r="BG120" i="1"/>
  <c r="BF120" i="1"/>
  <c r="BD120" i="1"/>
  <c r="AY120" i="1"/>
  <c r="AZ120" i="1" s="1"/>
  <c r="AX120" i="1"/>
  <c r="AT120" i="1"/>
  <c r="AS120" i="1"/>
  <c r="AQ120" i="1"/>
  <c r="AL120" i="1"/>
  <c r="AK120" i="1"/>
  <c r="AG120" i="1"/>
  <c r="AH120" i="1" s="1"/>
  <c r="AF120" i="1"/>
  <c r="AD120" i="1"/>
  <c r="Z120" i="1"/>
  <c r="Y120" i="1"/>
  <c r="X120" i="1"/>
  <c r="T120" i="1"/>
  <c r="U120" i="1" s="1"/>
  <c r="S120" i="1"/>
  <c r="Q120" i="1"/>
  <c r="M120" i="1"/>
  <c r="L120" i="1"/>
  <c r="K120" i="1"/>
  <c r="G120" i="1"/>
  <c r="F120" i="1"/>
  <c r="D120" i="1"/>
  <c r="BM119" i="1"/>
  <c r="BL119" i="1"/>
  <c r="BK119" i="1"/>
  <c r="BG119" i="1"/>
  <c r="BH119" i="1" s="1"/>
  <c r="BF119" i="1"/>
  <c r="BD119" i="1"/>
  <c r="AY119" i="1"/>
  <c r="AZ119" i="1" s="1"/>
  <c r="AX119" i="1"/>
  <c r="AU119" i="1"/>
  <c r="AT119" i="1"/>
  <c r="AS119" i="1"/>
  <c r="AQ119" i="1"/>
  <c r="AL119" i="1"/>
  <c r="AM119" i="1" s="1"/>
  <c r="AK119" i="1"/>
  <c r="AH119" i="1"/>
  <c r="AG119" i="1"/>
  <c r="AF119" i="1"/>
  <c r="AD119" i="1"/>
  <c r="Y119" i="1"/>
  <c r="X119" i="1"/>
  <c r="U119" i="1"/>
  <c r="T119" i="1"/>
  <c r="S119" i="1"/>
  <c r="Q119" i="1"/>
  <c r="L119" i="1"/>
  <c r="M119" i="1" s="1"/>
  <c r="K119" i="1"/>
  <c r="G119" i="1"/>
  <c r="F119" i="1"/>
  <c r="D119" i="1"/>
  <c r="BM117" i="1"/>
  <c r="BH117" i="1"/>
  <c r="BD117" i="1"/>
  <c r="AZ117" i="1"/>
  <c r="AU117" i="1"/>
  <c r="AQ117" i="1"/>
  <c r="AM117" i="1"/>
  <c r="AH117" i="1"/>
  <c r="AD117" i="1"/>
  <c r="Z117" i="1"/>
  <c r="U117" i="1"/>
  <c r="Q117" i="1"/>
  <c r="M117" i="1"/>
  <c r="H117" i="1"/>
  <c r="D117" i="1"/>
  <c r="AQ115" i="1"/>
  <c r="AD115" i="1"/>
  <c r="Q115" i="1"/>
  <c r="D115" i="1"/>
  <c r="BM102" i="1"/>
  <c r="BH102" i="1"/>
  <c r="BD102" i="1"/>
  <c r="AY102" i="1"/>
  <c r="AZ102" i="1" s="1"/>
  <c r="AX102" i="1"/>
  <c r="AT102" i="1"/>
  <c r="AU102" i="1" s="1"/>
  <c r="AS102" i="1"/>
  <c r="AQ102" i="1"/>
  <c r="AM102" i="1"/>
  <c r="AL102" i="1"/>
  <c r="AK102" i="1"/>
  <c r="AG102" i="1"/>
  <c r="AH102" i="1" s="1"/>
  <c r="AF102" i="1"/>
  <c r="AD102" i="1"/>
  <c r="Z102" i="1"/>
  <c r="Y102" i="1"/>
  <c r="X102" i="1"/>
  <c r="T102" i="1"/>
  <c r="S102" i="1"/>
  <c r="Q102" i="1"/>
  <c r="M102" i="1"/>
  <c r="H102" i="1"/>
  <c r="BM101" i="1"/>
  <c r="BL101" i="1"/>
  <c r="BK101" i="1"/>
  <c r="BG101" i="1"/>
  <c r="BH101" i="1" s="1"/>
  <c r="BF101" i="1"/>
  <c r="BD101" i="1"/>
  <c r="AZ101" i="1"/>
  <c r="AY101" i="1"/>
  <c r="AX101" i="1"/>
  <c r="AT101" i="1"/>
  <c r="AU101" i="1" s="1"/>
  <c r="AS101" i="1"/>
  <c r="AQ101" i="1"/>
  <c r="AM101" i="1"/>
  <c r="AL101" i="1"/>
  <c r="AK101" i="1"/>
  <c r="AG101" i="1"/>
  <c r="AH101" i="1" s="1"/>
  <c r="AF101" i="1"/>
  <c r="AD101" i="1"/>
  <c r="Y101" i="1"/>
  <c r="X101" i="1"/>
  <c r="U101" i="1"/>
  <c r="T101" i="1"/>
  <c r="S101" i="1"/>
  <c r="Q101" i="1"/>
  <c r="M101" i="1"/>
  <c r="L101" i="1"/>
  <c r="K101" i="1"/>
  <c r="H101" i="1"/>
  <c r="G101" i="1"/>
  <c r="F101" i="1"/>
  <c r="D101" i="1"/>
  <c r="BM100" i="1"/>
  <c r="BH100" i="1"/>
  <c r="L100" i="1"/>
  <c r="M100" i="1" s="1"/>
  <c r="K100" i="1"/>
  <c r="H100" i="1"/>
  <c r="G100" i="1"/>
  <c r="F100" i="1"/>
  <c r="D100" i="1"/>
  <c r="BM99" i="1"/>
  <c r="BH99" i="1"/>
  <c r="L99" i="1"/>
  <c r="M99" i="1" s="1"/>
  <c r="K99" i="1"/>
  <c r="G99" i="1"/>
  <c r="H99" i="1" s="1"/>
  <c r="F99" i="1"/>
  <c r="D99" i="1"/>
  <c r="BM98" i="1"/>
  <c r="BH98" i="1"/>
  <c r="M98" i="1"/>
  <c r="L98" i="1"/>
  <c r="K98" i="1"/>
  <c r="G98" i="1"/>
  <c r="H98" i="1" s="1"/>
  <c r="F98" i="1"/>
  <c r="D98" i="1"/>
  <c r="BM97" i="1"/>
  <c r="BH97" i="1"/>
  <c r="Z97" i="1"/>
  <c r="Y97" i="1"/>
  <c r="X97" i="1"/>
  <c r="U97" i="1"/>
  <c r="T97" i="1"/>
  <c r="S97" i="1"/>
  <c r="Q97" i="1"/>
  <c r="M97" i="1"/>
  <c r="H97" i="1"/>
  <c r="BL96" i="1"/>
  <c r="BM96" i="1" s="1"/>
  <c r="BK96" i="1"/>
  <c r="BH96" i="1"/>
  <c r="BG96" i="1"/>
  <c r="BF96" i="1"/>
  <c r="BD96" i="1"/>
  <c r="AZ96" i="1"/>
  <c r="AY96" i="1"/>
  <c r="AX96" i="1"/>
  <c r="AT96" i="1"/>
  <c r="AU96" i="1" s="1"/>
  <c r="AS96" i="1"/>
  <c r="AQ96" i="1"/>
  <c r="AM96" i="1"/>
  <c r="AL96" i="1"/>
  <c r="AK96" i="1"/>
  <c r="AG96" i="1"/>
  <c r="AH96" i="1" s="1"/>
  <c r="AF96" i="1"/>
  <c r="AD96" i="1"/>
  <c r="Y96" i="1"/>
  <c r="Z96" i="1" s="1"/>
  <c r="X96" i="1"/>
  <c r="T96" i="1"/>
  <c r="S96" i="1"/>
  <c r="Q96" i="1"/>
  <c r="M96" i="1"/>
  <c r="H96" i="1"/>
  <c r="BM95" i="1"/>
  <c r="BL95" i="1"/>
  <c r="BK95" i="1"/>
  <c r="BG95" i="1"/>
  <c r="BF95" i="1"/>
  <c r="BD95" i="1"/>
  <c r="AZ95" i="1"/>
  <c r="AY95" i="1"/>
  <c r="AX95" i="1"/>
  <c r="AT95" i="1"/>
  <c r="AS95" i="1"/>
  <c r="AQ95" i="1"/>
  <c r="AL95" i="1"/>
  <c r="AK95" i="1"/>
  <c r="AH95" i="1"/>
  <c r="AG95" i="1"/>
  <c r="AF95" i="1"/>
  <c r="AD95" i="1"/>
  <c r="Y95" i="1"/>
  <c r="X95" i="1"/>
  <c r="U95" i="1"/>
  <c r="T95" i="1"/>
  <c r="S95" i="1"/>
  <c r="Q95" i="1"/>
  <c r="M95" i="1"/>
  <c r="L95" i="1"/>
  <c r="K95" i="1"/>
  <c r="G95" i="1"/>
  <c r="H95" i="1" s="1"/>
  <c r="F95" i="1"/>
  <c r="D95" i="1"/>
  <c r="BM94" i="1"/>
  <c r="BH94" i="1"/>
  <c r="L94" i="1"/>
  <c r="M94" i="1" s="1"/>
  <c r="K94" i="1"/>
  <c r="H94" i="1"/>
  <c r="G94" i="1"/>
  <c r="F94" i="1"/>
  <c r="D94" i="1"/>
  <c r="BM93" i="1"/>
  <c r="BH93" i="1"/>
  <c r="L93" i="1"/>
  <c r="M93" i="1" s="1"/>
  <c r="K93" i="1"/>
  <c r="H93" i="1"/>
  <c r="G93" i="1"/>
  <c r="F93" i="1"/>
  <c r="D93" i="1"/>
  <c r="BM92" i="1"/>
  <c r="BH92" i="1"/>
  <c r="M92" i="1"/>
  <c r="H92" i="1"/>
  <c r="BM91" i="1"/>
  <c r="BH91" i="1"/>
  <c r="L91" i="1"/>
  <c r="K91" i="1"/>
  <c r="G91" i="1"/>
  <c r="F91" i="1"/>
  <c r="D91" i="1"/>
  <c r="BM90" i="1"/>
  <c r="BH90" i="1"/>
  <c r="Y90" i="1"/>
  <c r="Z90" i="1" s="1"/>
  <c r="X90" i="1"/>
  <c r="T90" i="1"/>
  <c r="U90" i="1" s="1"/>
  <c r="Q90" i="1"/>
  <c r="L90" i="1"/>
  <c r="M90" i="1" s="1"/>
  <c r="K90" i="1"/>
  <c r="G90" i="1"/>
  <c r="H90" i="1" s="1"/>
  <c r="F90" i="1"/>
  <c r="D90" i="1"/>
  <c r="BL89" i="1"/>
  <c r="BM89" i="1" s="1"/>
  <c r="BK89" i="1"/>
  <c r="BH89" i="1"/>
  <c r="BG89" i="1"/>
  <c r="BF89" i="1"/>
  <c r="BD89" i="1"/>
  <c r="AZ89" i="1"/>
  <c r="AY89" i="1"/>
  <c r="AX89" i="1"/>
  <c r="AU89" i="1"/>
  <c r="AT89" i="1"/>
  <c r="AS89" i="1"/>
  <c r="AQ89" i="1"/>
  <c r="AM89" i="1"/>
  <c r="AL89" i="1"/>
  <c r="AK89" i="1"/>
  <c r="AG89" i="1"/>
  <c r="AH89" i="1" s="1"/>
  <c r="AF89" i="1"/>
  <c r="AD89" i="1"/>
  <c r="Y89" i="1"/>
  <c r="Z89" i="1" s="1"/>
  <c r="X89" i="1"/>
  <c r="T89" i="1"/>
  <c r="S89" i="1"/>
  <c r="S90" i="1" s="1"/>
  <c r="Q89" i="1"/>
  <c r="M89" i="1"/>
  <c r="L89" i="1"/>
  <c r="K89" i="1"/>
  <c r="H89" i="1"/>
  <c r="G89" i="1"/>
  <c r="F89" i="1"/>
  <c r="D89" i="1"/>
  <c r="BD88" i="1"/>
  <c r="AQ88" i="1"/>
  <c r="AD88" i="1"/>
  <c r="Q88" i="1"/>
  <c r="D88" i="1"/>
  <c r="BM87" i="1"/>
  <c r="BH87" i="1"/>
  <c r="BD87" i="1"/>
  <c r="AZ87" i="1"/>
  <c r="AU87" i="1"/>
  <c r="AQ87" i="1"/>
  <c r="AM87" i="1"/>
  <c r="AH87" i="1"/>
  <c r="AD87" i="1"/>
  <c r="Z87" i="1"/>
  <c r="U87" i="1"/>
  <c r="Q87" i="1"/>
  <c r="M87" i="1"/>
  <c r="H87" i="1"/>
  <c r="D87" i="1"/>
  <c r="L80" i="1"/>
  <c r="K80" i="1"/>
  <c r="G80" i="1"/>
  <c r="F80" i="1"/>
  <c r="D80" i="1"/>
  <c r="L79" i="1"/>
  <c r="M79" i="1" s="1"/>
  <c r="K79" i="1"/>
  <c r="G79" i="1"/>
  <c r="H79" i="1" s="1"/>
  <c r="F79" i="1"/>
  <c r="D79" i="1"/>
  <c r="AK78" i="1"/>
  <c r="AF78" i="1"/>
  <c r="AD78" i="1"/>
  <c r="L78" i="1"/>
  <c r="M78" i="1" s="1"/>
  <c r="K78" i="1"/>
  <c r="H78" i="1"/>
  <c r="G78" i="1"/>
  <c r="F78" i="1"/>
  <c r="D78" i="1"/>
  <c r="AM77" i="1"/>
  <c r="AL77" i="1"/>
  <c r="AK77" i="1"/>
  <c r="AH77" i="1"/>
  <c r="AG77" i="1"/>
  <c r="AF77" i="1"/>
  <c r="AD77" i="1"/>
  <c r="L77" i="1"/>
  <c r="M77" i="1" s="1"/>
  <c r="K77" i="1"/>
  <c r="G77" i="1"/>
  <c r="H77" i="1" s="1"/>
  <c r="F77" i="1"/>
  <c r="D77" i="1"/>
  <c r="AL76" i="1"/>
  <c r="AK76" i="1"/>
  <c r="AH76" i="1"/>
  <c r="AG76" i="1"/>
  <c r="AF76" i="1"/>
  <c r="AD76" i="1"/>
  <c r="L76" i="1"/>
  <c r="K76" i="1"/>
  <c r="G76" i="1"/>
  <c r="H76" i="1" s="1"/>
  <c r="F76" i="1"/>
  <c r="D76" i="1"/>
  <c r="AM75" i="1"/>
  <c r="AL75" i="1"/>
  <c r="AK75" i="1"/>
  <c r="AG75" i="1"/>
  <c r="AF75" i="1"/>
  <c r="AD75" i="1"/>
  <c r="M75" i="1"/>
  <c r="L75" i="1"/>
  <c r="K75" i="1"/>
  <c r="G75" i="1"/>
  <c r="F75" i="1"/>
  <c r="D75" i="1"/>
  <c r="AL74" i="1"/>
  <c r="AM74" i="1" s="1"/>
  <c r="AK74" i="1"/>
  <c r="AG74" i="1"/>
  <c r="AF74" i="1"/>
  <c r="AD74" i="1"/>
  <c r="L74" i="1"/>
  <c r="K74" i="1"/>
  <c r="M74" i="1" s="1"/>
  <c r="H74" i="1"/>
  <c r="G74" i="1"/>
  <c r="F74" i="1"/>
  <c r="D74" i="1"/>
  <c r="AL73" i="1"/>
  <c r="AK73" i="1"/>
  <c r="AH73" i="1"/>
  <c r="AG73" i="1"/>
  <c r="AG78" i="1" s="1"/>
  <c r="AF73" i="1"/>
  <c r="AD73" i="1"/>
  <c r="L73" i="1"/>
  <c r="K73" i="1"/>
  <c r="M73" i="1" s="1"/>
  <c r="H73" i="1"/>
  <c r="G73" i="1"/>
  <c r="F73" i="1"/>
  <c r="D73" i="1"/>
  <c r="AL72" i="1"/>
  <c r="AK72" i="1"/>
  <c r="AG72" i="1"/>
  <c r="AF72" i="1"/>
  <c r="AD72" i="1"/>
  <c r="M72" i="1"/>
  <c r="L72" i="1"/>
  <c r="K72" i="1"/>
  <c r="G72" i="1"/>
  <c r="F72" i="1"/>
  <c r="D72" i="1"/>
  <c r="AM71" i="1"/>
  <c r="AL71" i="1"/>
  <c r="AK71" i="1"/>
  <c r="AG71" i="1"/>
  <c r="AH71" i="1" s="1"/>
  <c r="AF71" i="1"/>
  <c r="AD71" i="1"/>
  <c r="Y71" i="1"/>
  <c r="X71" i="1"/>
  <c r="T71" i="1"/>
  <c r="S71" i="1"/>
  <c r="Q71" i="1"/>
  <c r="L71" i="1"/>
  <c r="K71" i="1"/>
  <c r="G71" i="1"/>
  <c r="F71" i="1"/>
  <c r="D71" i="1"/>
  <c r="AM70" i="1"/>
  <c r="AL70" i="1"/>
  <c r="AK70" i="1"/>
  <c r="AG70" i="1"/>
  <c r="AH70" i="1" s="1"/>
  <c r="AF70" i="1"/>
  <c r="AD70" i="1"/>
  <c r="Z70" i="1"/>
  <c r="Y70" i="1"/>
  <c r="X70" i="1"/>
  <c r="T70" i="1"/>
  <c r="U70" i="1" s="1"/>
  <c r="S70" i="1"/>
  <c r="Q70" i="1"/>
  <c r="L70" i="1"/>
  <c r="M70" i="1" s="1"/>
  <c r="K70" i="1"/>
  <c r="H70" i="1"/>
  <c r="G70" i="1"/>
  <c r="F70" i="1"/>
  <c r="D70" i="1"/>
  <c r="AM69" i="1"/>
  <c r="AL69" i="1"/>
  <c r="AK69" i="1"/>
  <c r="AH69" i="1"/>
  <c r="AG69" i="1"/>
  <c r="AF69" i="1"/>
  <c r="AD69" i="1"/>
  <c r="Z69" i="1"/>
  <c r="Y69" i="1"/>
  <c r="X69" i="1"/>
  <c r="T69" i="1"/>
  <c r="U69" i="1" s="1"/>
  <c r="S69" i="1"/>
  <c r="Q69" i="1"/>
  <c r="L69" i="1"/>
  <c r="K69" i="1"/>
  <c r="H69" i="1"/>
  <c r="G69" i="1"/>
  <c r="F69" i="1"/>
  <c r="D69" i="1"/>
  <c r="AL68" i="1"/>
  <c r="AK68" i="1"/>
  <c r="AG68" i="1"/>
  <c r="AH68" i="1" s="1"/>
  <c r="AF68" i="1"/>
  <c r="AD68" i="1"/>
  <c r="Z68" i="1"/>
  <c r="Y68" i="1"/>
  <c r="X68" i="1"/>
  <c r="T68" i="1"/>
  <c r="U68" i="1" s="1"/>
  <c r="S68" i="1"/>
  <c r="Q68" i="1"/>
  <c r="M68" i="1"/>
  <c r="L68" i="1"/>
  <c r="K68" i="1"/>
  <c r="G68" i="1"/>
  <c r="F68" i="1"/>
  <c r="D68" i="1"/>
  <c r="AM67" i="1"/>
  <c r="AL67" i="1"/>
  <c r="AK67" i="1"/>
  <c r="AG67" i="1"/>
  <c r="AF67" i="1"/>
  <c r="AD67" i="1"/>
  <c r="Y67" i="1"/>
  <c r="Z67" i="1" s="1"/>
  <c r="X67" i="1"/>
  <c r="U67" i="1"/>
  <c r="T67" i="1"/>
  <c r="S67" i="1"/>
  <c r="Q67" i="1"/>
  <c r="L67" i="1"/>
  <c r="K67" i="1"/>
  <c r="H67" i="1"/>
  <c r="G67" i="1"/>
  <c r="F67" i="1"/>
  <c r="D67" i="1"/>
  <c r="AM66" i="1"/>
  <c r="AL66" i="1"/>
  <c r="AK66" i="1"/>
  <c r="AG66" i="1"/>
  <c r="AH66" i="1" s="1"/>
  <c r="AF66" i="1"/>
  <c r="AD66" i="1"/>
  <c r="Y66" i="1"/>
  <c r="X66" i="1"/>
  <c r="T66" i="1"/>
  <c r="U66" i="1" s="1"/>
  <c r="S66" i="1"/>
  <c r="Q66" i="1"/>
  <c r="L66" i="1"/>
  <c r="M66" i="1" s="1"/>
  <c r="K66" i="1"/>
  <c r="G66" i="1"/>
  <c r="H66" i="1" s="1"/>
  <c r="F66" i="1"/>
  <c r="D66" i="1"/>
  <c r="AM65" i="1"/>
  <c r="AL65" i="1"/>
  <c r="AK65" i="1"/>
  <c r="AG65" i="1"/>
  <c r="AF65" i="1"/>
  <c r="AD65" i="1"/>
  <c r="Y65" i="1"/>
  <c r="X65" i="1"/>
  <c r="T65" i="1"/>
  <c r="S65" i="1"/>
  <c r="Q65" i="1"/>
  <c r="L65" i="1"/>
  <c r="K65" i="1"/>
  <c r="G65" i="1"/>
  <c r="F65" i="1"/>
  <c r="D65" i="1"/>
  <c r="AL64" i="1"/>
  <c r="AM64" i="1" s="1"/>
  <c r="AK64" i="1"/>
  <c r="AG64" i="1"/>
  <c r="AF64" i="1"/>
  <c r="AD64" i="1"/>
  <c r="Z64" i="1"/>
  <c r="Y64" i="1"/>
  <c r="X64" i="1"/>
  <c r="U64" i="1"/>
  <c r="T64" i="1"/>
  <c r="S64" i="1"/>
  <c r="Q64" i="1"/>
  <c r="M64" i="1"/>
  <c r="L64" i="1"/>
  <c r="K64" i="1"/>
  <c r="G64" i="1"/>
  <c r="F64" i="1"/>
  <c r="D64" i="1"/>
  <c r="AL63" i="1"/>
  <c r="AM63" i="1" s="1"/>
  <c r="AK63" i="1"/>
  <c r="AG63" i="1"/>
  <c r="AH63" i="1" s="1"/>
  <c r="AF63" i="1"/>
  <c r="AD63" i="1"/>
  <c r="Z63" i="1"/>
  <c r="Y63" i="1"/>
  <c r="X63" i="1"/>
  <c r="U63" i="1"/>
  <c r="T63" i="1"/>
  <c r="S63" i="1"/>
  <c r="Q63" i="1"/>
  <c r="L63" i="1"/>
  <c r="M63" i="1" s="1"/>
  <c r="K63" i="1"/>
  <c r="H63" i="1"/>
  <c r="G63" i="1"/>
  <c r="F63" i="1"/>
  <c r="D63" i="1"/>
  <c r="AL62" i="1"/>
  <c r="AK62" i="1"/>
  <c r="AM62" i="1" s="1"/>
  <c r="AG62" i="1"/>
  <c r="AH62" i="1" s="1"/>
  <c r="AF62" i="1"/>
  <c r="AD62" i="1"/>
  <c r="Y62" i="1"/>
  <c r="X62" i="1"/>
  <c r="U62" i="1"/>
  <c r="T62" i="1"/>
  <c r="S62" i="1"/>
  <c r="Q62" i="1"/>
  <c r="L62" i="1"/>
  <c r="M62" i="1" s="1"/>
  <c r="K62" i="1"/>
  <c r="G62" i="1"/>
  <c r="H62" i="1" s="1"/>
  <c r="F62" i="1"/>
  <c r="D62" i="1"/>
  <c r="AM61" i="1"/>
  <c r="AL61" i="1"/>
  <c r="AK61" i="1"/>
  <c r="AG61" i="1"/>
  <c r="AF61" i="1"/>
  <c r="AD61" i="1"/>
  <c r="Z61" i="1"/>
  <c r="Y61" i="1"/>
  <c r="X61" i="1"/>
  <c r="T61" i="1"/>
  <c r="U61" i="1" s="1"/>
  <c r="S61" i="1"/>
  <c r="Q61" i="1"/>
  <c r="L61" i="1"/>
  <c r="M61" i="1" s="1"/>
  <c r="K61" i="1"/>
  <c r="G61" i="1"/>
  <c r="F61" i="1"/>
  <c r="H61" i="1" s="1"/>
  <c r="D61" i="1"/>
  <c r="AL60" i="1"/>
  <c r="AK60" i="1"/>
  <c r="AH60" i="1"/>
  <c r="AG60" i="1"/>
  <c r="AF60" i="1"/>
  <c r="AD60" i="1"/>
  <c r="Z60" i="1"/>
  <c r="Y60" i="1"/>
  <c r="X60" i="1"/>
  <c r="U60" i="1"/>
  <c r="T60" i="1"/>
  <c r="S60" i="1"/>
  <c r="Q60" i="1"/>
  <c r="L60" i="1"/>
  <c r="M60" i="1" s="1"/>
  <c r="K60" i="1"/>
  <c r="H60" i="1"/>
  <c r="G60" i="1"/>
  <c r="F60" i="1"/>
  <c r="D60" i="1"/>
  <c r="AL59" i="1"/>
  <c r="AK59" i="1"/>
  <c r="AG59" i="1"/>
  <c r="AF59" i="1"/>
  <c r="AH59" i="1" s="1"/>
  <c r="AD59" i="1"/>
  <c r="Y59" i="1"/>
  <c r="X59" i="1"/>
  <c r="Z59" i="1" s="1"/>
  <c r="T59" i="1"/>
  <c r="U59" i="1" s="1"/>
  <c r="S59" i="1"/>
  <c r="Q59" i="1"/>
  <c r="M59" i="1"/>
  <c r="L59" i="1"/>
  <c r="K59" i="1"/>
  <c r="H59" i="1"/>
  <c r="G59" i="1"/>
  <c r="F59" i="1"/>
  <c r="D59" i="1"/>
  <c r="AY58" i="1"/>
  <c r="AX58" i="1"/>
  <c r="AT58" i="1"/>
  <c r="AS58" i="1"/>
  <c r="AQ58" i="1"/>
  <c r="AL58" i="1"/>
  <c r="AK58" i="1"/>
  <c r="AH58" i="1"/>
  <c r="AG58" i="1"/>
  <c r="AF58" i="1"/>
  <c r="AD58" i="1"/>
  <c r="Z58" i="1"/>
  <c r="Y58" i="1"/>
  <c r="X58" i="1"/>
  <c r="U58" i="1"/>
  <c r="T58" i="1"/>
  <c r="S58" i="1"/>
  <c r="Q58" i="1"/>
  <c r="L58" i="1"/>
  <c r="M58" i="1" s="1"/>
  <c r="K58" i="1"/>
  <c r="G58" i="1"/>
  <c r="F58" i="1"/>
  <c r="D58" i="1"/>
  <c r="BL57" i="1"/>
  <c r="BK57" i="1"/>
  <c r="BG57" i="1"/>
  <c r="BF57" i="1"/>
  <c r="BD57" i="1"/>
  <c r="AY57" i="1"/>
  <c r="AZ57" i="1" s="1"/>
  <c r="AX57" i="1"/>
  <c r="AT57" i="1"/>
  <c r="AU57" i="1" s="1"/>
  <c r="AS57" i="1"/>
  <c r="AQ57" i="1"/>
  <c r="AM57" i="1"/>
  <c r="AL57" i="1"/>
  <c r="AK57" i="1"/>
  <c r="AH57" i="1"/>
  <c r="AG57" i="1"/>
  <c r="AF57" i="1"/>
  <c r="AD57" i="1"/>
  <c r="Y57" i="1"/>
  <c r="Z57" i="1" s="1"/>
  <c r="X57" i="1"/>
  <c r="U57" i="1"/>
  <c r="T57" i="1"/>
  <c r="S57" i="1"/>
  <c r="Q57" i="1"/>
  <c r="L57" i="1"/>
  <c r="K57" i="1"/>
  <c r="M57" i="1" s="1"/>
  <c r="G57" i="1"/>
  <c r="H57" i="1" s="1"/>
  <c r="F57" i="1"/>
  <c r="D57" i="1"/>
  <c r="BL56" i="1"/>
  <c r="BK56" i="1"/>
  <c r="BH56" i="1"/>
  <c r="BG56" i="1"/>
  <c r="BF56" i="1"/>
  <c r="BD56" i="1"/>
  <c r="AY56" i="1"/>
  <c r="AX56" i="1"/>
  <c r="AT56" i="1"/>
  <c r="AS56" i="1"/>
  <c r="AQ56" i="1"/>
  <c r="AM56" i="1"/>
  <c r="AL56" i="1"/>
  <c r="AK56" i="1"/>
  <c r="AG56" i="1"/>
  <c r="AH56" i="1" s="1"/>
  <c r="AF56" i="1"/>
  <c r="AD56" i="1"/>
  <c r="Z56" i="1"/>
  <c r="Y56" i="1"/>
  <c r="X56" i="1"/>
  <c r="U56" i="1"/>
  <c r="T56" i="1"/>
  <c r="S56" i="1"/>
  <c r="Q56" i="1"/>
  <c r="L56" i="1"/>
  <c r="M56" i="1" s="1"/>
  <c r="K56" i="1"/>
  <c r="H56" i="1"/>
  <c r="G56" i="1"/>
  <c r="F56" i="1"/>
  <c r="D56" i="1"/>
  <c r="BL55" i="1"/>
  <c r="BK55" i="1"/>
  <c r="BG55" i="1"/>
  <c r="BF55" i="1"/>
  <c r="BD55" i="1"/>
  <c r="AZ55" i="1"/>
  <c r="AY55" i="1"/>
  <c r="AX55" i="1"/>
  <c r="AT55" i="1"/>
  <c r="AS55" i="1"/>
  <c r="AQ55" i="1"/>
  <c r="AD55" i="1"/>
  <c r="Z55" i="1"/>
  <c r="Y55" i="1"/>
  <c r="X55" i="1"/>
  <c r="T55" i="1"/>
  <c r="S55" i="1"/>
  <c r="Q55" i="1"/>
  <c r="M55" i="1"/>
  <c r="L55" i="1"/>
  <c r="K55" i="1"/>
  <c r="G55" i="1"/>
  <c r="H55" i="1" s="1"/>
  <c r="F55" i="1"/>
  <c r="D55" i="1"/>
  <c r="BL54" i="1"/>
  <c r="BM54" i="1" s="1"/>
  <c r="BK54" i="1"/>
  <c r="BG54" i="1"/>
  <c r="BF54" i="1"/>
  <c r="BD54" i="1"/>
  <c r="AY54" i="1"/>
  <c r="AZ54" i="1" s="1"/>
  <c r="AX54" i="1"/>
  <c r="AU54" i="1"/>
  <c r="AT54" i="1"/>
  <c r="AS54" i="1"/>
  <c r="AQ54" i="1"/>
  <c r="AM54" i="1"/>
  <c r="AH54" i="1"/>
  <c r="Z54" i="1"/>
  <c r="Y54" i="1"/>
  <c r="X54" i="1"/>
  <c r="T54" i="1"/>
  <c r="U54" i="1" s="1"/>
  <c r="S54" i="1"/>
  <c r="Q54" i="1"/>
  <c r="L54" i="1"/>
  <c r="K54" i="1"/>
  <c r="M54" i="1" s="1"/>
  <c r="H54" i="1"/>
  <c r="G54" i="1"/>
  <c r="F54" i="1"/>
  <c r="D54" i="1"/>
  <c r="BL53" i="1"/>
  <c r="BM53" i="1" s="1"/>
  <c r="BK53" i="1"/>
  <c r="BH53" i="1"/>
  <c r="BG53" i="1"/>
  <c r="BF53" i="1"/>
  <c r="BD53" i="1"/>
  <c r="AY53" i="1"/>
  <c r="AX53" i="1"/>
  <c r="AT53" i="1"/>
  <c r="AU53" i="1" s="1"/>
  <c r="AS53" i="1"/>
  <c r="AQ53" i="1"/>
  <c r="Y53" i="1"/>
  <c r="Z53" i="1" s="1"/>
  <c r="X53" i="1"/>
  <c r="T53" i="1"/>
  <c r="U53" i="1" s="1"/>
  <c r="S53" i="1"/>
  <c r="Q53" i="1"/>
  <c r="L53" i="1"/>
  <c r="M53" i="1" s="1"/>
  <c r="K53" i="1"/>
  <c r="H53" i="1"/>
  <c r="G53" i="1"/>
  <c r="F53" i="1"/>
  <c r="D53" i="1"/>
  <c r="BM52" i="1"/>
  <c r="BL52" i="1"/>
  <c r="BK52" i="1"/>
  <c r="BG52" i="1"/>
  <c r="BH52" i="1" s="1"/>
  <c r="BF52" i="1"/>
  <c r="BD52" i="1"/>
  <c r="AZ52" i="1"/>
  <c r="AY52" i="1"/>
  <c r="AX52" i="1"/>
  <c r="AT52" i="1"/>
  <c r="AU52" i="1" s="1"/>
  <c r="AS52" i="1"/>
  <c r="AQ52" i="1"/>
  <c r="AL52" i="1"/>
  <c r="AM52" i="1" s="1"/>
  <c r="AK52" i="1"/>
  <c r="AG52" i="1"/>
  <c r="AF52" i="1"/>
  <c r="AD52" i="1"/>
  <c r="Z52" i="1"/>
  <c r="Y52" i="1"/>
  <c r="X52" i="1"/>
  <c r="U52" i="1"/>
  <c r="T52" i="1"/>
  <c r="S52" i="1"/>
  <c r="Q52" i="1"/>
  <c r="M52" i="1"/>
  <c r="L52" i="1"/>
  <c r="K52" i="1"/>
  <c r="H52" i="1"/>
  <c r="G52" i="1"/>
  <c r="F52" i="1"/>
  <c r="D52" i="1"/>
  <c r="BL51" i="1"/>
  <c r="BM51" i="1" s="1"/>
  <c r="BK51" i="1"/>
  <c r="BH51" i="1"/>
  <c r="BG51" i="1"/>
  <c r="BF51" i="1"/>
  <c r="BD51" i="1"/>
  <c r="AY51" i="1"/>
  <c r="AX51" i="1"/>
  <c r="AU51" i="1"/>
  <c r="AT51" i="1"/>
  <c r="AS51" i="1"/>
  <c r="AQ51" i="1"/>
  <c r="AL51" i="1"/>
  <c r="AK51" i="1"/>
  <c r="AG51" i="1"/>
  <c r="AF51" i="1"/>
  <c r="AD51" i="1"/>
  <c r="Z51" i="1"/>
  <c r="Y51" i="1"/>
  <c r="X51" i="1"/>
  <c r="T51" i="1"/>
  <c r="S51" i="1"/>
  <c r="Q51" i="1"/>
  <c r="L51" i="1"/>
  <c r="M51" i="1" s="1"/>
  <c r="K51" i="1"/>
  <c r="H51" i="1"/>
  <c r="G51" i="1"/>
  <c r="F51" i="1"/>
  <c r="D51" i="1"/>
  <c r="BL50" i="1"/>
  <c r="BK50" i="1"/>
  <c r="BH50" i="1"/>
  <c r="BG50" i="1"/>
  <c r="BF50" i="1"/>
  <c r="BD50" i="1"/>
  <c r="AZ50" i="1"/>
  <c r="AY50" i="1"/>
  <c r="AX50" i="1"/>
  <c r="AT50" i="1"/>
  <c r="AU50" i="1" s="1"/>
  <c r="AS50" i="1"/>
  <c r="AQ50" i="1"/>
  <c r="AL50" i="1"/>
  <c r="AK50" i="1"/>
  <c r="AG50" i="1"/>
  <c r="AF50" i="1"/>
  <c r="AD50" i="1"/>
  <c r="Y50" i="1"/>
  <c r="Z50" i="1" s="1"/>
  <c r="X50" i="1"/>
  <c r="T50" i="1"/>
  <c r="U50" i="1" s="1"/>
  <c r="S50" i="1"/>
  <c r="Q50" i="1"/>
  <c r="M50" i="1"/>
  <c r="L50" i="1"/>
  <c r="K50" i="1"/>
  <c r="G50" i="1"/>
  <c r="H50" i="1" s="1"/>
  <c r="F50" i="1"/>
  <c r="D50" i="1"/>
  <c r="BD49" i="1"/>
  <c r="AQ49" i="1"/>
  <c r="AL49" i="1"/>
  <c r="AK49" i="1"/>
  <c r="AG49" i="1"/>
  <c r="AF49" i="1"/>
  <c r="AD49" i="1"/>
  <c r="Q49" i="1"/>
  <c r="D49" i="1"/>
  <c r="BM48" i="1"/>
  <c r="BH48" i="1"/>
  <c r="AZ48" i="1"/>
  <c r="AU48" i="1"/>
  <c r="AM48" i="1"/>
  <c r="AL48" i="1"/>
  <c r="AK48" i="1"/>
  <c r="AG48" i="1"/>
  <c r="AF48" i="1"/>
  <c r="AD48" i="1"/>
  <c r="Z48" i="1"/>
  <c r="U48" i="1"/>
  <c r="M48" i="1"/>
  <c r="H48" i="1"/>
  <c r="AL47" i="1"/>
  <c r="AK47" i="1"/>
  <c r="AH47" i="1"/>
  <c r="AG47" i="1"/>
  <c r="AF47" i="1"/>
  <c r="AD47" i="1"/>
  <c r="AM46" i="1"/>
  <c r="AL46" i="1"/>
  <c r="AK46" i="1"/>
  <c r="AG46" i="1"/>
  <c r="AH46" i="1" s="1"/>
  <c r="AF46" i="1"/>
  <c r="AD46" i="1"/>
  <c r="Y46" i="1"/>
  <c r="X46" i="1"/>
  <c r="T46" i="1"/>
  <c r="S46" i="1"/>
  <c r="Q46" i="1"/>
  <c r="L46" i="1"/>
  <c r="K46" i="1"/>
  <c r="G46" i="1"/>
  <c r="F46" i="1"/>
  <c r="D46" i="1"/>
  <c r="AL45" i="1"/>
  <c r="AK45" i="1"/>
  <c r="AG45" i="1"/>
  <c r="AH45" i="1" s="1"/>
  <c r="AF45" i="1"/>
  <c r="AD45" i="1"/>
  <c r="Z45" i="1"/>
  <c r="Y45" i="1"/>
  <c r="X45" i="1"/>
  <c r="T45" i="1"/>
  <c r="U45" i="1" s="1"/>
  <c r="S45" i="1"/>
  <c r="Q45" i="1"/>
  <c r="M45" i="1"/>
  <c r="L45" i="1"/>
  <c r="K45" i="1"/>
  <c r="G45" i="1"/>
  <c r="F45" i="1"/>
  <c r="D45" i="1"/>
  <c r="AL44" i="1"/>
  <c r="AK44" i="1"/>
  <c r="AG44" i="1"/>
  <c r="AF44" i="1"/>
  <c r="AD44" i="1"/>
  <c r="Y44" i="1"/>
  <c r="Z44" i="1" s="1"/>
  <c r="X44" i="1"/>
  <c r="T44" i="1"/>
  <c r="U44" i="1" s="1"/>
  <c r="S44" i="1"/>
  <c r="Q44" i="1"/>
  <c r="L44" i="1"/>
  <c r="M44" i="1" s="1"/>
  <c r="K44" i="1"/>
  <c r="G44" i="1"/>
  <c r="F44" i="1"/>
  <c r="H44" i="1" s="1"/>
  <c r="D44" i="1"/>
  <c r="AL43" i="1"/>
  <c r="AK43" i="1"/>
  <c r="AH43" i="1"/>
  <c r="AG43" i="1"/>
  <c r="AF43" i="1"/>
  <c r="AD43" i="1"/>
  <c r="Z43" i="1"/>
  <c r="Y43" i="1"/>
  <c r="X43" i="1"/>
  <c r="T43" i="1"/>
  <c r="U43" i="1" s="1"/>
  <c r="S43" i="1"/>
  <c r="Q43" i="1"/>
  <c r="M43" i="1"/>
  <c r="L43" i="1"/>
  <c r="K43" i="1"/>
  <c r="G43" i="1"/>
  <c r="F43" i="1"/>
  <c r="D43" i="1"/>
  <c r="AL42" i="1"/>
  <c r="AM42" i="1" s="1"/>
  <c r="AK42" i="1"/>
  <c r="AG42" i="1"/>
  <c r="AF42" i="1"/>
  <c r="AH42" i="1" s="1"/>
  <c r="AD42" i="1"/>
  <c r="Y42" i="1"/>
  <c r="Z42" i="1" s="1"/>
  <c r="X42" i="1"/>
  <c r="U42" i="1"/>
  <c r="T42" i="1"/>
  <c r="S42" i="1"/>
  <c r="Q42" i="1"/>
  <c r="L42" i="1"/>
  <c r="K42" i="1"/>
  <c r="H42" i="1"/>
  <c r="G42" i="1"/>
  <c r="F42" i="1"/>
  <c r="D42" i="1"/>
  <c r="AM41" i="1"/>
  <c r="AL41" i="1"/>
  <c r="AK41" i="1"/>
  <c r="AH41" i="1"/>
  <c r="AG41" i="1"/>
  <c r="AF41" i="1"/>
  <c r="AD41" i="1"/>
  <c r="Y41" i="1"/>
  <c r="X41" i="1"/>
  <c r="T41" i="1"/>
  <c r="U41" i="1" s="1"/>
  <c r="S41" i="1"/>
  <c r="Q41" i="1"/>
  <c r="L41" i="1"/>
  <c r="M41" i="1" s="1"/>
  <c r="K41" i="1"/>
  <c r="G41" i="1"/>
  <c r="H41" i="1" s="1"/>
  <c r="F41" i="1"/>
  <c r="D41" i="1"/>
  <c r="AM40" i="1"/>
  <c r="AL40" i="1"/>
  <c r="AK40" i="1"/>
  <c r="AG40" i="1"/>
  <c r="AH40" i="1" s="1"/>
  <c r="AF40" i="1"/>
  <c r="AD40" i="1"/>
  <c r="Y40" i="1"/>
  <c r="X40" i="1"/>
  <c r="T40" i="1"/>
  <c r="S40" i="1"/>
  <c r="Q40" i="1"/>
  <c r="L40" i="1"/>
  <c r="K40" i="1"/>
  <c r="G40" i="1"/>
  <c r="F40" i="1"/>
  <c r="D40" i="1"/>
  <c r="AL39" i="1"/>
  <c r="AK39" i="1"/>
  <c r="AG39" i="1"/>
  <c r="AH39" i="1" s="1"/>
  <c r="AF39" i="1"/>
  <c r="AD39" i="1"/>
  <c r="Z39" i="1"/>
  <c r="Y39" i="1"/>
  <c r="X39" i="1"/>
  <c r="U39" i="1"/>
  <c r="T39" i="1"/>
  <c r="S39" i="1"/>
  <c r="Q39" i="1"/>
  <c r="M39" i="1"/>
  <c r="L39" i="1"/>
  <c r="K39" i="1"/>
  <c r="G39" i="1"/>
  <c r="F39" i="1"/>
  <c r="D39" i="1"/>
  <c r="AL38" i="1"/>
  <c r="AM38" i="1" s="1"/>
  <c r="AK38" i="1"/>
  <c r="AG38" i="1"/>
  <c r="AF38" i="1"/>
  <c r="AD38" i="1"/>
  <c r="Z38" i="1"/>
  <c r="Y38" i="1"/>
  <c r="X38" i="1"/>
  <c r="U38" i="1"/>
  <c r="T38" i="1"/>
  <c r="S38" i="1"/>
  <c r="Q38" i="1"/>
  <c r="L38" i="1"/>
  <c r="K38" i="1"/>
  <c r="H38" i="1"/>
  <c r="G38" i="1"/>
  <c r="F38" i="1"/>
  <c r="D38" i="1"/>
  <c r="AL37" i="1"/>
  <c r="AK37" i="1"/>
  <c r="AM37" i="1" s="1"/>
  <c r="AH37" i="1"/>
  <c r="AG37" i="1"/>
  <c r="AF37" i="1"/>
  <c r="AD37" i="1"/>
  <c r="Y37" i="1"/>
  <c r="X37" i="1"/>
  <c r="T37" i="1"/>
  <c r="S37" i="1"/>
  <c r="Q37" i="1"/>
  <c r="L37" i="1"/>
  <c r="K37" i="1"/>
  <c r="M37" i="1" s="1"/>
  <c r="G37" i="1"/>
  <c r="H37" i="1" s="1"/>
  <c r="F37" i="1"/>
  <c r="D37" i="1"/>
  <c r="AM36" i="1"/>
  <c r="AL36" i="1"/>
  <c r="AK36" i="1"/>
  <c r="AG36" i="1"/>
  <c r="AF36" i="1"/>
  <c r="AD36" i="1"/>
  <c r="Z36" i="1"/>
  <c r="Y36" i="1"/>
  <c r="X36" i="1"/>
  <c r="T36" i="1"/>
  <c r="U36" i="1" s="1"/>
  <c r="S36" i="1"/>
  <c r="Q36" i="1"/>
  <c r="M36" i="1"/>
  <c r="L36" i="1"/>
  <c r="K36" i="1"/>
  <c r="G36" i="1"/>
  <c r="F36" i="1"/>
  <c r="H36" i="1" s="1"/>
  <c r="D36" i="1"/>
  <c r="AL35" i="1"/>
  <c r="AM35" i="1" s="1"/>
  <c r="AK35" i="1"/>
  <c r="AH35" i="1"/>
  <c r="AG35" i="1"/>
  <c r="AF35" i="1"/>
  <c r="AD35" i="1"/>
  <c r="Z35" i="1"/>
  <c r="Y35" i="1"/>
  <c r="X35" i="1"/>
  <c r="U35" i="1"/>
  <c r="T35" i="1"/>
  <c r="S35" i="1"/>
  <c r="Q35" i="1"/>
  <c r="M35" i="1"/>
  <c r="L35" i="1"/>
  <c r="K35" i="1"/>
  <c r="G35" i="1"/>
  <c r="H35" i="1" s="1"/>
  <c r="F35" i="1"/>
  <c r="D35" i="1"/>
  <c r="AL34" i="1"/>
  <c r="AK34" i="1"/>
  <c r="AH34" i="1"/>
  <c r="AG34" i="1"/>
  <c r="AF34" i="1"/>
  <c r="AD34" i="1"/>
  <c r="Y34" i="1"/>
  <c r="X34" i="1"/>
  <c r="Z34" i="1" s="1"/>
  <c r="T34" i="1"/>
  <c r="U34" i="1" s="1"/>
  <c r="S34" i="1"/>
  <c r="Q34" i="1"/>
  <c r="M34" i="1"/>
  <c r="L34" i="1"/>
  <c r="K34" i="1"/>
  <c r="G34" i="1"/>
  <c r="H34" i="1" s="1"/>
  <c r="F34" i="1"/>
  <c r="D34" i="1"/>
  <c r="AM33" i="1"/>
  <c r="AL33" i="1"/>
  <c r="AK33" i="1"/>
  <c r="AG33" i="1"/>
  <c r="AF33" i="1"/>
  <c r="AD33" i="1"/>
  <c r="Z33" i="1"/>
  <c r="Y33" i="1"/>
  <c r="X33" i="1"/>
  <c r="T33" i="1"/>
  <c r="S33" i="1"/>
  <c r="U33" i="1" s="1"/>
  <c r="Q33" i="1"/>
  <c r="L33" i="1"/>
  <c r="M33" i="1" s="1"/>
  <c r="K33" i="1"/>
  <c r="H33" i="1"/>
  <c r="G33" i="1"/>
  <c r="F33" i="1"/>
  <c r="D33" i="1"/>
  <c r="AD32" i="1"/>
  <c r="Y32" i="1"/>
  <c r="Z32" i="1" s="1"/>
  <c r="X32" i="1"/>
  <c r="U32" i="1"/>
  <c r="T32" i="1"/>
  <c r="S32" i="1"/>
  <c r="Q32" i="1"/>
  <c r="L32" i="1"/>
  <c r="K32" i="1"/>
  <c r="H32" i="1"/>
  <c r="G32" i="1"/>
  <c r="F32" i="1"/>
  <c r="D32" i="1"/>
  <c r="AM31" i="1"/>
  <c r="AH31" i="1"/>
  <c r="Y31" i="1"/>
  <c r="Z31" i="1" s="1"/>
  <c r="X31" i="1"/>
  <c r="U31" i="1"/>
  <c r="T31" i="1"/>
  <c r="S31" i="1"/>
  <c r="Q31" i="1"/>
  <c r="L31" i="1"/>
  <c r="M31" i="1" s="1"/>
  <c r="K31" i="1"/>
  <c r="H31" i="1"/>
  <c r="G31" i="1"/>
  <c r="F31" i="1"/>
  <c r="D31" i="1"/>
  <c r="Y30" i="1"/>
  <c r="X30" i="1"/>
  <c r="Z30" i="1" s="1"/>
  <c r="T30" i="1"/>
  <c r="U30" i="1" s="1"/>
  <c r="S30" i="1"/>
  <c r="Q30" i="1"/>
  <c r="L30" i="1"/>
  <c r="K30" i="1"/>
  <c r="G30" i="1"/>
  <c r="F30" i="1"/>
  <c r="D30" i="1"/>
  <c r="AL29" i="1"/>
  <c r="AK29" i="1"/>
  <c r="AM29" i="1" s="1"/>
  <c r="AG29" i="1"/>
  <c r="AH29" i="1" s="1"/>
  <c r="AF29" i="1"/>
  <c r="AD29" i="1"/>
  <c r="Q29" i="1"/>
  <c r="D29" i="1"/>
  <c r="BL28" i="1"/>
  <c r="BK28" i="1"/>
  <c r="BG28" i="1"/>
  <c r="BF28" i="1"/>
  <c r="BD28" i="1"/>
  <c r="AL28" i="1"/>
  <c r="AK28" i="1"/>
  <c r="AG28" i="1"/>
  <c r="AF28" i="1"/>
  <c r="AD28" i="1"/>
  <c r="Z28" i="1"/>
  <c r="U28" i="1"/>
  <c r="M28" i="1"/>
  <c r="H28" i="1"/>
  <c r="BM27" i="1"/>
  <c r="BL27" i="1"/>
  <c r="BK27" i="1"/>
  <c r="BG27" i="1"/>
  <c r="BF27" i="1"/>
  <c r="BD27" i="1"/>
  <c r="AM27" i="1"/>
  <c r="AL27" i="1"/>
  <c r="AK27" i="1"/>
  <c r="AG27" i="1"/>
  <c r="AH27" i="1" s="1"/>
  <c r="AF27" i="1"/>
  <c r="AD27" i="1"/>
  <c r="BL26" i="1"/>
  <c r="BK26" i="1"/>
  <c r="BG26" i="1"/>
  <c r="BF26" i="1"/>
  <c r="BD26" i="1"/>
  <c r="AM26" i="1"/>
  <c r="AL26" i="1"/>
  <c r="AK26" i="1"/>
  <c r="AH26" i="1"/>
  <c r="AG26" i="1"/>
  <c r="AF26" i="1"/>
  <c r="AD26" i="1"/>
  <c r="Y26" i="1"/>
  <c r="X26" i="1"/>
  <c r="T26" i="1"/>
  <c r="S26" i="1"/>
  <c r="Q26" i="1"/>
  <c r="L26" i="1"/>
  <c r="K26" i="1"/>
  <c r="G26" i="1"/>
  <c r="F26" i="1"/>
  <c r="D26" i="1"/>
  <c r="BL25" i="1"/>
  <c r="BK25" i="1"/>
  <c r="BH25" i="1"/>
  <c r="BG25" i="1"/>
  <c r="BF25" i="1"/>
  <c r="BD25" i="1"/>
  <c r="AM25" i="1"/>
  <c r="AL25" i="1"/>
  <c r="AK25" i="1"/>
  <c r="AH25" i="1"/>
  <c r="AG25" i="1"/>
  <c r="AF25" i="1"/>
  <c r="AD25" i="1"/>
  <c r="Y25" i="1"/>
  <c r="X25" i="1"/>
  <c r="T25" i="1"/>
  <c r="U25" i="1" s="1"/>
  <c r="S25" i="1"/>
  <c r="Q25" i="1"/>
  <c r="L25" i="1"/>
  <c r="K25" i="1"/>
  <c r="M25" i="1" s="1"/>
  <c r="H25" i="1"/>
  <c r="G25" i="1"/>
  <c r="F25" i="1"/>
  <c r="D25" i="1"/>
  <c r="BM24" i="1"/>
  <c r="BL24" i="1"/>
  <c r="BK24" i="1"/>
  <c r="BH24" i="1"/>
  <c r="BG24" i="1"/>
  <c r="BF24" i="1"/>
  <c r="BD24" i="1"/>
  <c r="AM24" i="1"/>
  <c r="AL24" i="1"/>
  <c r="AK24" i="1"/>
  <c r="AG24" i="1"/>
  <c r="AF24" i="1"/>
  <c r="AD24" i="1"/>
  <c r="Z24" i="1"/>
  <c r="Y24" i="1"/>
  <c r="X24" i="1"/>
  <c r="T24" i="1"/>
  <c r="U24" i="1" s="1"/>
  <c r="S24" i="1"/>
  <c r="Q24" i="1"/>
  <c r="M24" i="1"/>
  <c r="L24" i="1"/>
  <c r="K24" i="1"/>
  <c r="H24" i="1"/>
  <c r="G24" i="1"/>
  <c r="F24" i="1"/>
  <c r="D24" i="1"/>
  <c r="BL23" i="1"/>
  <c r="BM23" i="1" s="1"/>
  <c r="BK23" i="1"/>
  <c r="BH23" i="1"/>
  <c r="BG23" i="1"/>
  <c r="BF23" i="1"/>
  <c r="BD23" i="1"/>
  <c r="AL23" i="1"/>
  <c r="AK23" i="1"/>
  <c r="AH23" i="1"/>
  <c r="AG23" i="1"/>
  <c r="AF23" i="1"/>
  <c r="AD23" i="1"/>
  <c r="Y23" i="1"/>
  <c r="Z23" i="1" s="1"/>
  <c r="X23" i="1"/>
  <c r="T23" i="1"/>
  <c r="U23" i="1" s="1"/>
  <c r="S23" i="1"/>
  <c r="Q23" i="1"/>
  <c r="L23" i="1"/>
  <c r="K23" i="1"/>
  <c r="M23" i="1" s="1"/>
  <c r="H23" i="1"/>
  <c r="G23" i="1"/>
  <c r="F23" i="1"/>
  <c r="D23" i="1"/>
  <c r="BM22" i="1"/>
  <c r="BL22" i="1"/>
  <c r="BK22" i="1"/>
  <c r="BG22" i="1"/>
  <c r="BH22" i="1" s="1"/>
  <c r="BF22" i="1"/>
  <c r="BD22" i="1"/>
  <c r="AM22" i="1"/>
  <c r="AL22" i="1"/>
  <c r="AK22" i="1"/>
  <c r="AG22" i="1"/>
  <c r="AF22" i="1"/>
  <c r="AD22" i="1"/>
  <c r="Y22" i="1"/>
  <c r="Z22" i="1" s="1"/>
  <c r="X22" i="1"/>
  <c r="T22" i="1"/>
  <c r="S22" i="1"/>
  <c r="U22" i="1" s="1"/>
  <c r="Q22" i="1"/>
  <c r="L22" i="1"/>
  <c r="M22" i="1" s="1"/>
  <c r="K22" i="1"/>
  <c r="H22" i="1"/>
  <c r="G22" i="1"/>
  <c r="F22" i="1"/>
  <c r="D22" i="1"/>
  <c r="BL21" i="1"/>
  <c r="BK21" i="1"/>
  <c r="BH21" i="1"/>
  <c r="BG21" i="1"/>
  <c r="BF21" i="1"/>
  <c r="BD21" i="1"/>
  <c r="AL21" i="1"/>
  <c r="AK21" i="1"/>
  <c r="AG21" i="1"/>
  <c r="AF21" i="1"/>
  <c r="AD21" i="1"/>
  <c r="Z21" i="1"/>
  <c r="Y21" i="1"/>
  <c r="X21" i="1"/>
  <c r="U21" i="1"/>
  <c r="T21" i="1"/>
  <c r="S21" i="1"/>
  <c r="Q21" i="1"/>
  <c r="M21" i="1"/>
  <c r="L21" i="1"/>
  <c r="K21" i="1"/>
  <c r="G21" i="1"/>
  <c r="H21" i="1" s="1"/>
  <c r="F21" i="1"/>
  <c r="D21" i="1"/>
  <c r="BD20" i="1"/>
  <c r="AM20" i="1"/>
  <c r="AL20" i="1"/>
  <c r="AK20" i="1"/>
  <c r="AG20" i="1"/>
  <c r="AF20" i="1"/>
  <c r="AD20" i="1"/>
  <c r="Y20" i="1"/>
  <c r="X20" i="1"/>
  <c r="T20" i="1"/>
  <c r="S20" i="1"/>
  <c r="Q20" i="1"/>
  <c r="L20" i="1"/>
  <c r="K20" i="1"/>
  <c r="G20" i="1"/>
  <c r="F20" i="1"/>
  <c r="D20" i="1"/>
  <c r="BM19" i="1"/>
  <c r="BH19" i="1"/>
  <c r="BD19" i="1"/>
  <c r="AL19" i="1"/>
  <c r="AM19" i="1" s="1"/>
  <c r="AK19" i="1"/>
  <c r="AG19" i="1"/>
  <c r="AH19" i="1" s="1"/>
  <c r="AF19" i="1"/>
  <c r="AD19" i="1"/>
  <c r="Y19" i="1"/>
  <c r="Z19" i="1" s="1"/>
  <c r="X19" i="1"/>
  <c r="T19" i="1"/>
  <c r="U19" i="1" s="1"/>
  <c r="S19" i="1"/>
  <c r="Q19" i="1"/>
  <c r="L19" i="1"/>
  <c r="M19" i="1" s="1"/>
  <c r="K19" i="1"/>
  <c r="G19" i="1"/>
  <c r="F19" i="1"/>
  <c r="H19" i="1" s="1"/>
  <c r="D19" i="1"/>
  <c r="AM18" i="1"/>
  <c r="AL18" i="1"/>
  <c r="AK18" i="1"/>
  <c r="AG18" i="1"/>
  <c r="AH18" i="1" s="1"/>
  <c r="AF18" i="1"/>
  <c r="AD18" i="1"/>
  <c r="Z18" i="1"/>
  <c r="Y18" i="1"/>
  <c r="X18" i="1"/>
  <c r="T18" i="1"/>
  <c r="U18" i="1" s="1"/>
  <c r="S18" i="1"/>
  <c r="Q18" i="1"/>
  <c r="M18" i="1"/>
  <c r="L18" i="1"/>
  <c r="K18" i="1"/>
  <c r="G18" i="1"/>
  <c r="F18" i="1"/>
  <c r="D18" i="1"/>
  <c r="AY17" i="1"/>
  <c r="AX17" i="1"/>
  <c r="AT17" i="1"/>
  <c r="AS17" i="1"/>
  <c r="AQ17" i="1"/>
  <c r="AL17" i="1"/>
  <c r="AK17" i="1"/>
  <c r="AG17" i="1"/>
  <c r="AF17" i="1"/>
  <c r="AH17" i="1" s="1"/>
  <c r="AD17" i="1"/>
  <c r="Y17" i="1"/>
  <c r="X17" i="1"/>
  <c r="Z17" i="1" s="1"/>
  <c r="T17" i="1"/>
  <c r="U17" i="1" s="1"/>
  <c r="S17" i="1"/>
  <c r="Q17" i="1"/>
  <c r="M17" i="1"/>
  <c r="L17" i="1"/>
  <c r="K17" i="1"/>
  <c r="G17" i="1"/>
  <c r="F17" i="1"/>
  <c r="H17" i="1" s="1"/>
  <c r="D17" i="1"/>
  <c r="BL16" i="1"/>
  <c r="BK16" i="1"/>
  <c r="BG16" i="1"/>
  <c r="BF16" i="1"/>
  <c r="BD16" i="1"/>
  <c r="AY16" i="1"/>
  <c r="AX16" i="1"/>
  <c r="AU16" i="1"/>
  <c r="AT16" i="1"/>
  <c r="AS16" i="1"/>
  <c r="AQ16" i="1"/>
  <c r="AL16" i="1"/>
  <c r="AK16" i="1"/>
  <c r="AM16" i="1" s="1"/>
  <c r="AH16" i="1"/>
  <c r="AG16" i="1"/>
  <c r="AF16" i="1"/>
  <c r="AD16" i="1"/>
  <c r="Y16" i="1"/>
  <c r="Z16" i="1" s="1"/>
  <c r="X16" i="1"/>
  <c r="T16" i="1"/>
  <c r="S16" i="1"/>
  <c r="Q16" i="1"/>
  <c r="L16" i="1"/>
  <c r="K16" i="1"/>
  <c r="G16" i="1"/>
  <c r="H16" i="1" s="1"/>
  <c r="F16" i="1"/>
  <c r="D16" i="1"/>
  <c r="BM15" i="1"/>
  <c r="BL15" i="1"/>
  <c r="BK15" i="1"/>
  <c r="BG15" i="1"/>
  <c r="BH15" i="1" s="1"/>
  <c r="BF15" i="1"/>
  <c r="BD15" i="1"/>
  <c r="AY15" i="1"/>
  <c r="AX15" i="1"/>
  <c r="AT15" i="1"/>
  <c r="AS15" i="1"/>
  <c r="AQ15" i="1"/>
  <c r="AL15" i="1"/>
  <c r="AM15" i="1" s="1"/>
  <c r="AK15" i="1"/>
  <c r="AH15" i="1"/>
  <c r="AG15" i="1"/>
  <c r="AF15" i="1"/>
  <c r="AD15" i="1"/>
  <c r="Y15" i="1"/>
  <c r="Z15" i="1" s="1"/>
  <c r="X15" i="1"/>
  <c r="T15" i="1"/>
  <c r="U15" i="1" s="1"/>
  <c r="S15" i="1"/>
  <c r="Q15" i="1"/>
  <c r="L15" i="1"/>
  <c r="M15" i="1" s="1"/>
  <c r="K15" i="1"/>
  <c r="G15" i="1"/>
  <c r="H15" i="1" s="1"/>
  <c r="F15" i="1"/>
  <c r="D15" i="1"/>
  <c r="BL14" i="1"/>
  <c r="BK14" i="1"/>
  <c r="BG14" i="1"/>
  <c r="BF14" i="1"/>
  <c r="BD14" i="1"/>
  <c r="AZ14" i="1"/>
  <c r="AY14" i="1"/>
  <c r="AX14" i="1"/>
  <c r="AT14" i="1"/>
  <c r="AS14" i="1"/>
  <c r="AU14" i="1" s="1"/>
  <c r="AQ14" i="1"/>
  <c r="AL14" i="1"/>
  <c r="AM14" i="1" s="1"/>
  <c r="AK14" i="1"/>
  <c r="AH14" i="1"/>
  <c r="AG14" i="1"/>
  <c r="AF14" i="1"/>
  <c r="AD14" i="1"/>
  <c r="Z14" i="1"/>
  <c r="Y14" i="1"/>
  <c r="X14" i="1"/>
  <c r="U14" i="1"/>
  <c r="T14" i="1"/>
  <c r="S14" i="1"/>
  <c r="Q14" i="1"/>
  <c r="L14" i="1"/>
  <c r="K14" i="1"/>
  <c r="G14" i="1"/>
  <c r="H14" i="1" s="1"/>
  <c r="F14" i="1"/>
  <c r="D14" i="1"/>
  <c r="BL13" i="1"/>
  <c r="BM13" i="1" s="1"/>
  <c r="BK13" i="1"/>
  <c r="BG13" i="1"/>
  <c r="BH13" i="1" s="1"/>
  <c r="BF13" i="1"/>
  <c r="BD13" i="1"/>
  <c r="AY13" i="1"/>
  <c r="AX13" i="1"/>
  <c r="AZ13" i="1" s="1"/>
  <c r="AT13" i="1"/>
  <c r="AS13" i="1"/>
  <c r="AU13" i="1" s="1"/>
  <c r="AQ13" i="1"/>
  <c r="AM13" i="1"/>
  <c r="AL13" i="1"/>
  <c r="AK13" i="1"/>
  <c r="AH13" i="1"/>
  <c r="AG13" i="1"/>
  <c r="AF13" i="1"/>
  <c r="AD13" i="1"/>
  <c r="Z13" i="1"/>
  <c r="Y13" i="1"/>
  <c r="X13" i="1"/>
  <c r="T13" i="1"/>
  <c r="S13" i="1"/>
  <c r="Q13" i="1"/>
  <c r="L13" i="1"/>
  <c r="M13" i="1" s="1"/>
  <c r="K13" i="1"/>
  <c r="G13" i="1"/>
  <c r="H13" i="1" s="1"/>
  <c r="F13" i="1"/>
  <c r="D13" i="1"/>
  <c r="BL12" i="1"/>
  <c r="BM12" i="1" s="1"/>
  <c r="BK12" i="1"/>
  <c r="BH12" i="1"/>
  <c r="BG12" i="1"/>
  <c r="BF12" i="1"/>
  <c r="BD12" i="1"/>
  <c r="AY12" i="1"/>
  <c r="AX12" i="1"/>
  <c r="AU12" i="1"/>
  <c r="AT12" i="1"/>
  <c r="AS12" i="1"/>
  <c r="AQ12" i="1"/>
  <c r="AM12" i="1"/>
  <c r="AL12" i="1"/>
  <c r="AK12" i="1"/>
  <c r="AH12" i="1"/>
  <c r="AG12" i="1"/>
  <c r="AF12" i="1"/>
  <c r="AD12" i="1"/>
  <c r="Y12" i="1"/>
  <c r="X12" i="1"/>
  <c r="T12" i="1"/>
  <c r="S12" i="1"/>
  <c r="Q12" i="1"/>
  <c r="L12" i="1"/>
  <c r="K12" i="1"/>
  <c r="M12" i="1" s="1"/>
  <c r="G12" i="1"/>
  <c r="H12" i="1" s="1"/>
  <c r="F12" i="1"/>
  <c r="D12" i="1"/>
  <c r="BM11" i="1"/>
  <c r="BL11" i="1"/>
  <c r="BK11" i="1"/>
  <c r="BG11" i="1"/>
  <c r="BF11" i="1"/>
  <c r="BH11" i="1" s="1"/>
  <c r="BD11" i="1"/>
  <c r="AZ11" i="1"/>
  <c r="AY11" i="1"/>
  <c r="AX11" i="1"/>
  <c r="AT11" i="1"/>
  <c r="AU11" i="1" s="1"/>
  <c r="AS11" i="1"/>
  <c r="AQ11" i="1"/>
  <c r="AM11" i="1"/>
  <c r="AL11" i="1"/>
  <c r="AK11" i="1"/>
  <c r="AG11" i="1"/>
  <c r="AH11" i="1" s="1"/>
  <c r="AF11" i="1"/>
  <c r="AD11" i="1"/>
  <c r="Y11" i="1"/>
  <c r="X11" i="1"/>
  <c r="Z11" i="1" s="1"/>
  <c r="U11" i="1"/>
  <c r="T11" i="1"/>
  <c r="S11" i="1"/>
  <c r="Q11" i="1"/>
  <c r="M11" i="1"/>
  <c r="L11" i="1"/>
  <c r="K11" i="1"/>
  <c r="H11" i="1"/>
  <c r="G11" i="1"/>
  <c r="F11" i="1"/>
  <c r="D11" i="1"/>
  <c r="BL10" i="1"/>
  <c r="BK10" i="1"/>
  <c r="BH10" i="1"/>
  <c r="BG10" i="1"/>
  <c r="BF10" i="1"/>
  <c r="BD10" i="1"/>
  <c r="AY10" i="1"/>
  <c r="AZ10" i="1" s="1"/>
  <c r="AX10" i="1"/>
  <c r="AT10" i="1"/>
  <c r="AU10" i="1" s="1"/>
  <c r="AS10" i="1"/>
  <c r="AQ10" i="1"/>
  <c r="AL10" i="1"/>
  <c r="AK10" i="1"/>
  <c r="AG10" i="1"/>
  <c r="AF10" i="1"/>
  <c r="AH10" i="1" s="1"/>
  <c r="AD10" i="1"/>
  <c r="Z10" i="1"/>
  <c r="Y10" i="1"/>
  <c r="X10" i="1"/>
  <c r="U10" i="1"/>
  <c r="T10" i="1"/>
  <c r="S10" i="1"/>
  <c r="Q10" i="1"/>
  <c r="M10" i="1"/>
  <c r="L10" i="1"/>
  <c r="K10" i="1"/>
  <c r="G10" i="1"/>
  <c r="F10" i="1"/>
  <c r="D10" i="1"/>
  <c r="BD9" i="1"/>
  <c r="AQ9" i="1"/>
  <c r="AD9" i="1"/>
  <c r="Q9" i="1"/>
  <c r="D9" i="1"/>
  <c r="BM8" i="1"/>
  <c r="BH8" i="1"/>
  <c r="BD8" i="1"/>
  <c r="AZ8" i="1"/>
  <c r="AU8" i="1"/>
  <c r="AQ8" i="1"/>
  <c r="AM8" i="1"/>
  <c r="AH8" i="1"/>
  <c r="AD8" i="1"/>
  <c r="Z8" i="1"/>
  <c r="U8" i="1"/>
  <c r="Q8" i="1"/>
  <c r="M8" i="1"/>
  <c r="H8" i="1"/>
  <c r="D8" i="1"/>
  <c r="AK6" i="1"/>
  <c r="X6" i="1"/>
  <c r="X115" i="1" s="1"/>
  <c r="K6" i="1"/>
  <c r="K85" i="1" s="1"/>
  <c r="K115" i="1" s="1"/>
  <c r="K128" i="1" s="1"/>
  <c r="K144" i="1" s="1"/>
  <c r="K158" i="1" s="1"/>
  <c r="F6" i="1"/>
  <c r="BF6" i="1" s="1"/>
  <c r="BF115" i="1" s="1"/>
  <c r="BD3" i="1"/>
  <c r="AQ3" i="1"/>
  <c r="AD3" i="1"/>
  <c r="Q3" i="1"/>
  <c r="D3" i="1"/>
  <c r="BM10" i="1" l="1"/>
  <c r="AM34" i="1"/>
  <c r="Z41" i="1"/>
  <c r="AH49" i="1"/>
  <c r="AZ53" i="1"/>
  <c r="BM56" i="1"/>
  <c r="AM58" i="1"/>
  <c r="Z62" i="1"/>
  <c r="AH65" i="1"/>
  <c r="M69" i="1"/>
  <c r="AM95" i="1"/>
  <c r="H119" i="1"/>
  <c r="Z119" i="1"/>
  <c r="M121" i="1"/>
  <c r="U122" i="1"/>
  <c r="AM122" i="1"/>
  <c r="Z124" i="1"/>
  <c r="AH125" i="1"/>
  <c r="AZ125" i="1"/>
  <c r="AZ12" i="1"/>
  <c r="AM23" i="1"/>
  <c r="BH27" i="1"/>
  <c r="BM50" i="1"/>
  <c r="AU55" i="1"/>
  <c r="H58" i="1"/>
  <c r="AH61" i="1"/>
  <c r="AH64" i="1"/>
  <c r="AU120" i="1"/>
  <c r="AH121" i="1"/>
  <c r="BH123" i="1"/>
  <c r="AU124" i="1"/>
  <c r="H138" i="1"/>
  <c r="U12" i="1"/>
  <c r="M16" i="1"/>
  <c r="BM25" i="1"/>
  <c r="M32" i="1"/>
  <c r="AH36" i="1"/>
  <c r="AM49" i="1"/>
  <c r="AH50" i="1"/>
  <c r="U55" i="1"/>
  <c r="AM60" i="1"/>
  <c r="M67" i="1"/>
  <c r="H80" i="1"/>
  <c r="Z95" i="1"/>
  <c r="AL78" i="1"/>
  <c r="AM73" i="1"/>
  <c r="BM21" i="1"/>
  <c r="AX6" i="1"/>
  <c r="AK115" i="1"/>
  <c r="AS6" i="1"/>
  <c r="AS115" i="1" s="1"/>
  <c r="M14" i="1"/>
  <c r="AZ16" i="1"/>
  <c r="M38" i="1"/>
  <c r="H64" i="1"/>
  <c r="AM76" i="1"/>
  <c r="H132" i="1"/>
  <c r="U16" i="1"/>
  <c r="Z25" i="1"/>
  <c r="U37" i="1"/>
  <c r="M42" i="1"/>
  <c r="AM47" i="1"/>
  <c r="AH75" i="1"/>
  <c r="H91" i="1"/>
  <c r="Z101" i="1"/>
  <c r="H164" i="1"/>
  <c r="F85" i="1"/>
  <c r="F115" i="1" s="1"/>
  <c r="F128" i="1" s="1"/>
  <c r="F144" i="1" s="1"/>
  <c r="F158" i="1" s="1"/>
  <c r="S6" i="1"/>
  <c r="AF6" i="1"/>
  <c r="AF115" i="1" s="1"/>
  <c r="AH24" i="1"/>
  <c r="Z12" i="1"/>
  <c r="AH20" i="1"/>
  <c r="H30" i="1"/>
  <c r="AH48" i="1"/>
  <c r="H120" i="1"/>
  <c r="AM120" i="1"/>
  <c r="U123" i="1"/>
  <c r="AZ123" i="1"/>
  <c r="AH33" i="1"/>
  <c r="H39" i="1"/>
  <c r="AM39" i="1"/>
  <c r="H45" i="1"/>
  <c r="AM45" i="1"/>
  <c r="AZ51" i="1"/>
  <c r="AH52" i="1"/>
  <c r="H68" i="1"/>
  <c r="AM68" i="1"/>
  <c r="H75" i="1"/>
  <c r="M76" i="1"/>
  <c r="U89" i="1"/>
  <c r="BH95" i="1"/>
  <c r="U96" i="1"/>
  <c r="U102" i="1"/>
  <c r="M133" i="1"/>
  <c r="Z66" i="1"/>
  <c r="H72" i="1"/>
  <c r="AU95" i="1"/>
  <c r="M30" i="1"/>
  <c r="Z37" i="1"/>
  <c r="AH38" i="1"/>
  <c r="AM50" i="1"/>
  <c r="U51" i="1"/>
  <c r="AH67" i="1"/>
  <c r="AH74" i="1"/>
  <c r="M80" i="1"/>
  <c r="M91" i="1"/>
  <c r="M148" i="1"/>
  <c r="H10" i="1"/>
  <c r="AM10" i="1"/>
  <c r="U13" i="1"/>
  <c r="AM17" i="1"/>
  <c r="H18" i="1"/>
  <c r="AH22" i="1"/>
  <c r="H43" i="1"/>
  <c r="AM43" i="1"/>
  <c r="BH54" i="1"/>
  <c r="AM59" i="1"/>
  <c r="AU121" i="1"/>
  <c r="M122" i="1"/>
  <c r="BH124" i="1"/>
  <c r="Z125" i="1"/>
  <c r="S115" i="1" l="1"/>
  <c r="AX115" i="1"/>
  <c r="BK6" i="1"/>
  <c r="BK115" i="1" s="1"/>
</calcChain>
</file>

<file path=xl/sharedStrings.xml><?xml version="1.0" encoding="utf-8"?>
<sst xmlns="http://schemas.openxmlformats.org/spreadsheetml/2006/main" count="7" uniqueCount="6">
  <si>
    <t>idioma</t>
  </si>
  <si>
    <t>English</t>
  </si>
  <si>
    <t>ESP</t>
  </si>
  <si>
    <t>Español</t>
  </si>
  <si>
    <t>ENG</t>
  </si>
  <si>
    <t>Millones de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</si>
</sst>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;\(#,##0.0\)"/>
    <numFmt numFmtId="166" formatCode="0.0;\ \(0.0\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Neo Sans Pro"/>
      <family val="2"/>
    </font>
    <font>
      <b/>
      <sz val="12"/>
      <color rgb="FF0070C0"/>
      <name val="Neo Sans Pro"/>
      <family val="2"/>
    </font>
    <font>
      <b/>
      <sz val="10"/>
      <color theme="0"/>
      <name val="Neo Sans Pro"/>
      <family val="2"/>
    </font>
    <font>
      <sz val="8"/>
      <color theme="1"/>
      <name val="Neo Sans Pro"/>
      <family val="2"/>
    </font>
    <font>
      <b/>
      <sz val="10"/>
      <color rgb="FF00B0F0"/>
      <name val="Neo Sans Pro"/>
      <family val="2"/>
    </font>
    <font>
      <b/>
      <sz val="10"/>
      <color theme="1"/>
      <name val="Neo Sans Pro"/>
      <family val="2"/>
    </font>
    <font>
      <i/>
      <sz val="10"/>
      <color theme="1"/>
      <name val="Neo Sans Pro"/>
      <family val="2"/>
    </font>
    <font>
      <i/>
      <sz val="8"/>
      <color rgb="FFFF0000"/>
      <name val="Neo Sans Pro"/>
      <family val="2"/>
    </font>
    <font>
      <b/>
      <sz val="11"/>
      <color theme="1"/>
      <name val="Neo Sans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0007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164" fontId="2" fillId="2" borderId="2" xfId="1" applyNumberFormat="1" applyFont="1" applyFill="1" applyBorder="1"/>
    <xf numFmtId="0" fontId="2" fillId="2" borderId="0" xfId="0" quotePrefix="1" applyFont="1" applyFill="1"/>
    <xf numFmtId="0" fontId="4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5" fillId="2" borderId="0" xfId="0" applyFont="1" applyFill="1"/>
    <xf numFmtId="0" fontId="4" fillId="3" borderId="0" xfId="0" applyFont="1" applyFill="1" applyAlignment="1">
      <alignment horizontal="right" indent="1"/>
    </xf>
    <xf numFmtId="0" fontId="6" fillId="2" borderId="3" xfId="0" applyFont="1" applyFill="1" applyBorder="1"/>
    <xf numFmtId="0" fontId="2" fillId="2" borderId="3" xfId="0" applyFont="1" applyFill="1" applyBorder="1"/>
    <xf numFmtId="0" fontId="7" fillId="2" borderId="0" xfId="0" applyFont="1" applyFill="1"/>
    <xf numFmtId="165" fontId="7" fillId="4" borderId="0" xfId="0" applyNumberFormat="1" applyFont="1" applyFill="1" applyAlignment="1">
      <alignment horizontal="right" indent="1"/>
    </xf>
    <xf numFmtId="165" fontId="7" fillId="2" borderId="0" xfId="0" applyNumberFormat="1" applyFont="1" applyFill="1" applyAlignment="1">
      <alignment horizontal="right" indent="1"/>
    </xf>
    <xf numFmtId="166" fontId="7" fillId="2" borderId="0" xfId="0" applyNumberFormat="1" applyFont="1" applyFill="1" applyAlignment="1">
      <alignment horizontal="right" indent="1"/>
    </xf>
    <xf numFmtId="0" fontId="2" fillId="2" borderId="0" xfId="0" applyFont="1" applyFill="1" applyAlignment="1">
      <alignment horizontal="left" indent="2"/>
    </xf>
    <xf numFmtId="165" fontId="2" fillId="4" borderId="0" xfId="0" applyNumberFormat="1" applyFont="1" applyFill="1" applyAlignment="1">
      <alignment horizontal="right" indent="1"/>
    </xf>
    <xf numFmtId="165" fontId="2" fillId="2" borderId="0" xfId="0" applyNumberFormat="1" applyFont="1" applyFill="1" applyAlignment="1">
      <alignment horizontal="right" indent="1"/>
    </xf>
    <xf numFmtId="166" fontId="2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left" indent="2"/>
    </xf>
    <xf numFmtId="0" fontId="8" fillId="2" borderId="0" xfId="0" applyFont="1" applyFill="1"/>
    <xf numFmtId="165" fontId="8" fillId="4" borderId="0" xfId="0" applyNumberFormat="1" applyFont="1" applyFill="1" applyAlignment="1">
      <alignment horizontal="right" indent="1"/>
    </xf>
    <xf numFmtId="165" fontId="8" fillId="2" borderId="0" xfId="0" applyNumberFormat="1" applyFont="1" applyFill="1" applyAlignment="1">
      <alignment horizontal="right" indent="1"/>
    </xf>
    <xf numFmtId="166" fontId="8" fillId="2" borderId="0" xfId="0" applyNumberFormat="1" applyFont="1" applyFill="1" applyAlignment="1">
      <alignment horizontal="right" indent="1"/>
    </xf>
    <xf numFmtId="0" fontId="2" fillId="2" borderId="0" xfId="0" applyFont="1" applyFill="1" applyAlignment="1">
      <alignment horizontal="left" indent="4"/>
    </xf>
    <xf numFmtId="164" fontId="8" fillId="4" borderId="0" xfId="0" applyNumberFormat="1" applyFont="1" applyFill="1" applyAlignment="1">
      <alignment horizontal="right" indent="1"/>
    </xf>
    <xf numFmtId="164" fontId="8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8" fillId="2" borderId="3" xfId="0" applyFont="1" applyFill="1" applyBorder="1" applyAlignment="1">
      <alignment horizontal="left" indent="2"/>
    </xf>
    <xf numFmtId="164" fontId="8" fillId="4" borderId="3" xfId="0" applyNumberFormat="1" applyFont="1" applyFill="1" applyBorder="1" applyAlignment="1">
      <alignment horizontal="right" indent="1"/>
    </xf>
    <xf numFmtId="164" fontId="8" fillId="2" borderId="3" xfId="0" applyNumberFormat="1" applyFont="1" applyFill="1" applyBorder="1" applyAlignment="1">
      <alignment horizontal="right" indent="1"/>
    </xf>
    <xf numFmtId="0" fontId="8" fillId="2" borderId="3" xfId="0" applyFont="1" applyFill="1" applyBorder="1" applyAlignment="1">
      <alignment horizontal="right" indent="1"/>
    </xf>
    <xf numFmtId="0" fontId="7" fillId="2" borderId="3" xfId="0" applyFont="1" applyFill="1" applyBorder="1"/>
    <xf numFmtId="165" fontId="7" fillId="4" borderId="3" xfId="0" applyNumberFormat="1" applyFont="1" applyFill="1" applyBorder="1" applyAlignment="1">
      <alignment horizontal="right" indent="1"/>
    </xf>
    <xf numFmtId="165" fontId="7" fillId="2" borderId="3" xfId="0" applyNumberFormat="1" applyFont="1" applyFill="1" applyBorder="1" applyAlignment="1">
      <alignment horizontal="right" indent="1"/>
    </xf>
    <xf numFmtId="166" fontId="7" fillId="2" borderId="3" xfId="0" applyNumberFormat="1" applyFont="1" applyFill="1" applyBorder="1" applyAlignment="1">
      <alignment horizontal="right" indent="1"/>
    </xf>
    <xf numFmtId="0" fontId="8" fillId="2" borderId="0" xfId="0" applyFont="1" applyFill="1" applyBorder="1" applyAlignment="1">
      <alignment horizontal="left" indent="2"/>
    </xf>
    <xf numFmtId="164" fontId="8" fillId="4" borderId="0" xfId="0" applyNumberFormat="1" applyFont="1" applyFill="1" applyBorder="1" applyAlignment="1">
      <alignment horizontal="right" indent="1"/>
    </xf>
    <xf numFmtId="164" fontId="8" fillId="2" borderId="0" xfId="0" applyNumberFormat="1" applyFont="1" applyFill="1" applyBorder="1" applyAlignment="1">
      <alignment horizontal="right" indent="1"/>
    </xf>
    <xf numFmtId="0" fontId="8" fillId="2" borderId="0" xfId="0" applyFont="1" applyFill="1" applyBorder="1" applyAlignment="1">
      <alignment horizontal="right" indent="1"/>
    </xf>
    <xf numFmtId="0" fontId="8" fillId="2" borderId="0" xfId="0" applyFont="1" applyFill="1" applyAlignment="1">
      <alignment horizontal="left" indent="4"/>
    </xf>
    <xf numFmtId="0" fontId="2" fillId="2" borderId="4" xfId="0" applyFont="1" applyFill="1" applyBorder="1"/>
    <xf numFmtId="0" fontId="2" fillId="5" borderId="0" xfId="0" applyFont="1" applyFill="1"/>
    <xf numFmtId="0" fontId="9" fillId="2" borderId="0" xfId="0" applyFont="1" applyFill="1"/>
    <xf numFmtId="0" fontId="10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centerContinuous" vertical="center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right" indent="1"/>
    </xf>
    <xf numFmtId="0" fontId="7" fillId="2" borderId="0" xfId="0" applyFont="1" applyFill="1" applyBorder="1"/>
    <xf numFmtId="165" fontId="7" fillId="2" borderId="0" xfId="0" applyNumberFormat="1" applyFont="1" applyFill="1" applyBorder="1" applyAlignment="1">
      <alignment horizontal="right" indent="1"/>
    </xf>
    <xf numFmtId="166" fontId="7" fillId="2" borderId="0" xfId="0" applyNumberFormat="1" applyFont="1" applyFill="1" applyBorder="1" applyAlignment="1">
      <alignment horizontal="right" indent="1"/>
    </xf>
    <xf numFmtId="0" fontId="2" fillId="2" borderId="0" xfId="0" applyFont="1" applyFill="1" applyBorder="1" applyAlignment="1">
      <alignment horizontal="left" indent="2"/>
    </xf>
    <xf numFmtId="165" fontId="2" fillId="2" borderId="0" xfId="0" applyNumberFormat="1" applyFont="1" applyFill="1" applyBorder="1" applyAlignment="1">
      <alignment horizontal="right" indent="1"/>
    </xf>
    <xf numFmtId="166" fontId="2" fillId="2" borderId="0" xfId="0" applyNumberFormat="1" applyFont="1" applyFill="1" applyBorder="1" applyAlignment="1">
      <alignment horizontal="right" indent="1"/>
    </xf>
    <xf numFmtId="0" fontId="2" fillId="2" borderId="0" xfId="0" applyFont="1" applyFill="1" applyBorder="1" applyAlignment="1">
      <alignment horizontal="left" indent="4"/>
    </xf>
    <xf numFmtId="0" fontId="6" fillId="2" borderId="0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LACI&#211;N%20CON%20INVERSORES/NEW/RESULTS/2018/3T/Support%20Info/TABLAS%20NOTA%20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CABEZADOS"/>
      <sheetName val="GRUPO"/>
      <sheetName val="SANTILLANA"/>
      <sheetName val="RADIO"/>
      <sheetName val="NOTICIAS"/>
      <sheetName val="MEDIA CAPITAL"/>
      <sheetName val="TRANSFORMACIÓN"/>
      <sheetName val="To Publish"/>
      <sheetName val="Hoja1"/>
    </sheetNames>
    <sheetDataSet>
      <sheetData sheetId="0"/>
      <sheetData sheetId="1">
        <row r="10">
          <cell r="T10">
            <v>956.56642701606654</v>
          </cell>
          <cell r="U10">
            <v>994.81508180074729</v>
          </cell>
          <cell r="X10">
            <v>334.86046195715312</v>
          </cell>
          <cell r="Y10">
            <v>339.79072127746031</v>
          </cell>
        </row>
        <row r="11">
          <cell r="T11">
            <v>412.09909927356722</v>
          </cell>
          <cell r="U11">
            <v>426.26758562700087</v>
          </cell>
          <cell r="X11">
            <v>182.41291090897087</v>
          </cell>
          <cell r="Y11">
            <v>181.35816884808355</v>
          </cell>
        </row>
        <row r="12">
          <cell r="T12">
            <v>544.46732774249926</v>
          </cell>
          <cell r="U12">
            <v>568.54749617374637</v>
          </cell>
          <cell r="X12">
            <v>152.44755104818216</v>
          </cell>
          <cell r="Y12">
            <v>158.4325524293767</v>
          </cell>
        </row>
        <row r="13">
          <cell r="T13">
            <v>415.37700524249937</v>
          </cell>
          <cell r="U13">
            <v>450.05033448374644</v>
          </cell>
          <cell r="X13">
            <v>109.85699869818222</v>
          </cell>
          <cell r="Y13">
            <v>118.53489399937672</v>
          </cell>
        </row>
        <row r="14">
          <cell r="T14">
            <v>129.09032249999998</v>
          </cell>
          <cell r="U14">
            <v>118.49716169</v>
          </cell>
          <cell r="X14">
            <v>42.590552349999967</v>
          </cell>
          <cell r="Y14">
            <v>39.897658430000007</v>
          </cell>
        </row>
        <row r="15">
          <cell r="T15">
            <v>211.47565830088601</v>
          </cell>
          <cell r="U15">
            <v>211.3833517514673</v>
          </cell>
          <cell r="X15">
            <v>83.255221585995429</v>
          </cell>
          <cell r="Y15">
            <v>79.583226860163165</v>
          </cell>
        </row>
        <row r="16">
          <cell r="T16">
            <v>75.013227549997509</v>
          </cell>
          <cell r="U16">
            <v>72.06447323313877</v>
          </cell>
          <cell r="X16">
            <v>59.970746689997583</v>
          </cell>
          <cell r="Y16">
            <v>56.397920266976328</v>
          </cell>
        </row>
        <row r="17">
          <cell r="T17">
            <v>136.4624307508885</v>
          </cell>
          <cell r="U17">
            <v>139.31887851832855</v>
          </cell>
          <cell r="X17">
            <v>23.284474895997846</v>
          </cell>
          <cell r="Y17">
            <v>23.185306593186837</v>
          </cell>
        </row>
        <row r="18">
          <cell r="T18">
            <v>110.23677867455721</v>
          </cell>
          <cell r="U18">
            <v>115.25406874540015</v>
          </cell>
          <cell r="X18">
            <v>15.78900858131766</v>
          </cell>
          <cell r="Y18">
            <v>15.769025640816238</v>
          </cell>
        </row>
        <row r="19">
          <cell r="T19">
            <v>26.225652076331301</v>
          </cell>
          <cell r="U19">
            <v>24.064809772928403</v>
          </cell>
          <cell r="X19">
            <v>7.4954663146802005</v>
          </cell>
          <cell r="Y19">
            <v>7.4162809523706059</v>
          </cell>
        </row>
        <row r="20">
          <cell r="T20">
            <v>0.22107785965326804</v>
          </cell>
          <cell r="U20">
            <v>0.2124850694551548</v>
          </cell>
          <cell r="X20">
            <v>0.24862661031820563</v>
          </cell>
          <cell r="Y20">
            <v>0.23421247808346862</v>
          </cell>
        </row>
        <row r="21">
          <cell r="T21">
            <v>139.80100392636399</v>
          </cell>
          <cell r="U21">
            <v>130.21720565339629</v>
          </cell>
          <cell r="X21">
            <v>45.630228370858887</v>
          </cell>
          <cell r="Y21">
            <v>37.09853525705033</v>
          </cell>
        </row>
        <row r="22">
          <cell r="T22">
            <v>40.610586969997634</v>
          </cell>
          <cell r="U22">
            <v>30.535602849763688</v>
          </cell>
          <cell r="X22">
            <v>34.091762059997301</v>
          </cell>
          <cell r="Y22">
            <v>24.957210512284366</v>
          </cell>
        </row>
        <row r="23">
          <cell r="T23">
            <v>99.190416956366349</v>
          </cell>
          <cell r="U23">
            <v>99.6816028036326</v>
          </cell>
          <cell r="X23">
            <v>11.53846631086158</v>
          </cell>
          <cell r="Y23">
            <v>12.141324744765967</v>
          </cell>
        </row>
        <row r="24">
          <cell r="T24">
            <v>77.911658540035049</v>
          </cell>
          <cell r="U24">
            <v>80.874665170704205</v>
          </cell>
          <cell r="X24">
            <v>5.8240255461813888</v>
          </cell>
          <cell r="Y24">
            <v>6.7767059123953715</v>
          </cell>
        </row>
        <row r="25">
          <cell r="T25">
            <v>21.278758416331303</v>
          </cell>
          <cell r="U25">
            <v>18.806937632928403</v>
          </cell>
          <cell r="X25">
            <v>5.7144407646802033</v>
          </cell>
          <cell r="Y25">
            <v>5.3646188323706028</v>
          </cell>
        </row>
        <row r="26">
          <cell r="T26">
            <v>0.14614876706729316</v>
          </cell>
          <cell r="U26">
            <v>0.13089589013637176</v>
          </cell>
          <cell r="X26">
            <v>0.13626639617040687</v>
          </cell>
          <cell r="Y26">
            <v>0.10918054241615698</v>
          </cell>
        </row>
        <row r="30">
          <cell r="T30">
            <v>1019.9665064602455</v>
          </cell>
          <cell r="U30">
            <v>994.81508180074729</v>
          </cell>
          <cell r="X30">
            <v>343.18173360436776</v>
          </cell>
          <cell r="Y30">
            <v>339.79072127746031</v>
          </cell>
        </row>
        <row r="31">
          <cell r="T31">
            <v>412.09909927356722</v>
          </cell>
          <cell r="U31">
            <v>426.26758562700087</v>
          </cell>
          <cell r="X31">
            <v>182.41291090897087</v>
          </cell>
          <cell r="Y31">
            <v>181.35816884808355</v>
          </cell>
        </row>
        <row r="32">
          <cell r="T32">
            <v>607.86740718667829</v>
          </cell>
          <cell r="U32">
            <v>568.54749617374637</v>
          </cell>
          <cell r="X32">
            <v>160.76882269539692</v>
          </cell>
          <cell r="Y32">
            <v>158.4325524293767</v>
          </cell>
        </row>
        <row r="33">
          <cell r="T33">
            <v>478.77708468667839</v>
          </cell>
          <cell r="U33">
            <v>450.05033448374644</v>
          </cell>
          <cell r="X33">
            <v>118.17827034539704</v>
          </cell>
          <cell r="Y33">
            <v>118.53489399937672</v>
          </cell>
        </row>
        <row r="34">
          <cell r="T34">
            <v>129.09032249999998</v>
          </cell>
          <cell r="U34">
            <v>118.49716169</v>
          </cell>
          <cell r="X34">
            <v>42.590552349999967</v>
          </cell>
          <cell r="Y34">
            <v>39.897658430000007</v>
          </cell>
        </row>
        <row r="35">
          <cell r="T35">
            <v>227.20196866787441</v>
          </cell>
          <cell r="U35">
            <v>211.3833517514673</v>
          </cell>
          <cell r="X35">
            <v>80.346376534730638</v>
          </cell>
          <cell r="Y35">
            <v>79.583226860163165</v>
          </cell>
        </row>
        <row r="36">
          <cell r="T36">
            <v>75.013227549997509</v>
          </cell>
          <cell r="U36">
            <v>72.06447323313877</v>
          </cell>
          <cell r="X36">
            <v>59.970746689997583</v>
          </cell>
          <cell r="Y36">
            <v>56.397920266976328</v>
          </cell>
        </row>
        <row r="37">
          <cell r="T37">
            <v>152.1887411178769</v>
          </cell>
          <cell r="U37">
            <v>139.31887851832855</v>
          </cell>
          <cell r="X37">
            <v>20.375629844733055</v>
          </cell>
          <cell r="Y37">
            <v>23.185306593186837</v>
          </cell>
        </row>
        <row r="38">
          <cell r="T38">
            <v>125.96308904154559</v>
          </cell>
          <cell r="U38">
            <v>115.25406874540015</v>
          </cell>
          <cell r="X38">
            <v>12.88016353005284</v>
          </cell>
          <cell r="Y38">
            <v>15.769025640816238</v>
          </cell>
        </row>
        <row r="39">
          <cell r="T39">
            <v>26.225652076331301</v>
          </cell>
          <cell r="U39">
            <v>24.064809772928403</v>
          </cell>
          <cell r="X39">
            <v>7.4954663146802005</v>
          </cell>
          <cell r="Y39">
            <v>7.4162809523706059</v>
          </cell>
        </row>
        <row r="40">
          <cell r="T40">
            <v>0.22275434264637778</v>
          </cell>
          <cell r="U40">
            <v>0.2124850694551548</v>
          </cell>
          <cell r="X40">
            <v>0.23412194958883456</v>
          </cell>
          <cell r="Y40">
            <v>0.23421247808346862</v>
          </cell>
        </row>
        <row r="41">
          <cell r="T41">
            <v>149.66361052643154</v>
          </cell>
          <cell r="U41">
            <v>130.21720565339629</v>
          </cell>
          <cell r="X41">
            <v>40.612387240122857</v>
          </cell>
          <cell r="Y41">
            <v>37.09853525705033</v>
          </cell>
        </row>
        <row r="42">
          <cell r="T42">
            <v>40.610586969997634</v>
          </cell>
          <cell r="U42">
            <v>30.535602849763688</v>
          </cell>
          <cell r="X42">
            <v>34.091762059997301</v>
          </cell>
          <cell r="Y42">
            <v>24.957210512284366</v>
          </cell>
        </row>
        <row r="43">
          <cell r="T43">
            <v>109.05302355643391</v>
          </cell>
          <cell r="U43">
            <v>99.6816028036326</v>
          </cell>
          <cell r="X43">
            <v>6.5206251801255632</v>
          </cell>
          <cell r="Y43">
            <v>12.141324744765967</v>
          </cell>
        </row>
        <row r="44">
          <cell r="T44">
            <v>87.774265140102614</v>
          </cell>
          <cell r="U44">
            <v>80.874665170704205</v>
          </cell>
          <cell r="X44">
            <v>0.80618441544535813</v>
          </cell>
          <cell r="Y44">
            <v>6.7767059123953715</v>
          </cell>
        </row>
        <row r="45">
          <cell r="T45">
            <v>21.278758416331303</v>
          </cell>
          <cell r="U45">
            <v>18.806937632928403</v>
          </cell>
          <cell r="X45">
            <v>5.7144407646802033</v>
          </cell>
          <cell r="Y45">
            <v>5.3646188323706028</v>
          </cell>
        </row>
        <row r="46">
          <cell r="T46">
            <v>0.14673384819844071</v>
          </cell>
          <cell r="U46">
            <v>0.13089589013637176</v>
          </cell>
          <cell r="X46">
            <v>0.11834076019600238</v>
          </cell>
          <cell r="Y46">
            <v>0.10918054241615698</v>
          </cell>
        </row>
        <row r="64">
          <cell r="T64">
            <v>949.17368560346597</v>
          </cell>
          <cell r="U64">
            <v>1008.5875179033301</v>
          </cell>
          <cell r="X64">
            <v>320.08986168877993</v>
          </cell>
          <cell r="Y64">
            <v>353.56315738004309</v>
          </cell>
        </row>
        <row r="65">
          <cell r="T65">
            <v>412.09909927356722</v>
          </cell>
          <cell r="U65">
            <v>430.90158562700088</v>
          </cell>
          <cell r="X65">
            <v>182.41291090897087</v>
          </cell>
          <cell r="Y65">
            <v>185.99216884808357</v>
          </cell>
        </row>
        <row r="66">
          <cell r="T66">
            <v>537.07458632989881</v>
          </cell>
          <cell r="U66">
            <v>577.68593227632914</v>
          </cell>
          <cell r="X66">
            <v>137.67695077980915</v>
          </cell>
          <cell r="Y66">
            <v>167.57098853195947</v>
          </cell>
        </row>
        <row r="67">
          <cell r="T67">
            <v>407.98426382989885</v>
          </cell>
          <cell r="U67">
            <v>459.18877058632916</v>
          </cell>
          <cell r="X67">
            <v>95.086398429809208</v>
          </cell>
          <cell r="Y67">
            <v>127.67333010195944</v>
          </cell>
        </row>
        <row r="68">
          <cell r="T68">
            <v>129.09032249999998</v>
          </cell>
          <cell r="U68">
            <v>118.49716169</v>
          </cell>
          <cell r="X68">
            <v>42.590552349999967</v>
          </cell>
          <cell r="Y68">
            <v>39.897658430000007</v>
          </cell>
        </row>
        <row r="69">
          <cell r="T69">
            <v>759.31631294003796</v>
          </cell>
          <cell r="U69">
            <v>807.20417660473413</v>
          </cell>
          <cell r="X69">
            <v>244.79014187038797</v>
          </cell>
          <cell r="Y69">
            <v>270.72916257538418</v>
          </cell>
        </row>
        <row r="70">
          <cell r="T70">
            <v>355.46651968356969</v>
          </cell>
          <cell r="U70">
            <v>365.9315257900252</v>
          </cell>
          <cell r="X70">
            <v>123.31938461897326</v>
          </cell>
          <cell r="Y70">
            <v>126.95366941110714</v>
          </cell>
        </row>
        <row r="71">
          <cell r="T71">
            <v>403.84979325646833</v>
          </cell>
          <cell r="U71">
            <v>441.27265081470881</v>
          </cell>
          <cell r="X71">
            <v>121.47075725141474</v>
          </cell>
          <cell r="Y71">
            <v>143.7754931642769</v>
          </cell>
        </row>
        <row r="72">
          <cell r="T72">
            <v>299.53287689279966</v>
          </cell>
          <cell r="U72">
            <v>345.84197377763724</v>
          </cell>
          <cell r="X72">
            <v>86.120984186095001</v>
          </cell>
          <cell r="Y72">
            <v>111.06293528664747</v>
          </cell>
        </row>
        <row r="73">
          <cell r="T73">
            <v>104.31691636366868</v>
          </cell>
          <cell r="U73">
            <v>95.430677037071604</v>
          </cell>
          <cell r="X73">
            <v>35.349773065319766</v>
          </cell>
          <cell r="Y73">
            <v>32.712557877629408</v>
          </cell>
        </row>
        <row r="74">
          <cell r="T74">
            <v>189.85737266342798</v>
          </cell>
          <cell r="U74">
            <v>201.38334129859601</v>
          </cell>
          <cell r="X74">
            <v>75.299719818391978</v>
          </cell>
          <cell r="Y74">
            <v>82.833994804659</v>
          </cell>
        </row>
        <row r="75">
          <cell r="T75">
            <v>56.632579589997505</v>
          </cell>
          <cell r="U75">
            <v>64.970059836975679</v>
          </cell>
          <cell r="X75">
            <v>59.093526289997577</v>
          </cell>
          <cell r="Y75">
            <v>59.038499436976423</v>
          </cell>
        </row>
        <row r="76">
          <cell r="T76">
            <v>133.22479307343048</v>
          </cell>
          <cell r="U76">
            <v>136.41328146162033</v>
          </cell>
          <cell r="X76">
            <v>16.206193528394394</v>
          </cell>
          <cell r="Y76">
            <v>23.795495367682591</v>
          </cell>
        </row>
        <row r="77">
          <cell r="T77">
            <v>108.45138693709919</v>
          </cell>
          <cell r="U77">
            <v>113.34679680869193</v>
          </cell>
          <cell r="X77">
            <v>8.965414243714207</v>
          </cell>
          <cell r="Y77">
            <v>16.610394815311992</v>
          </cell>
        </row>
        <row r="78">
          <cell r="T78">
            <v>24.7734061363313</v>
          </cell>
          <cell r="U78">
            <v>23.066484652928402</v>
          </cell>
          <cell r="X78">
            <v>7.2407792846801975</v>
          </cell>
          <cell r="Y78">
            <v>7.1851005523706046</v>
          </cell>
        </row>
        <row r="79">
          <cell r="T79">
            <v>0.20002384762986808</v>
          </cell>
          <cell r="U79">
            <v>0.19966868290937739</v>
          </cell>
          <cell r="X79">
            <v>0.23524556329623811</v>
          </cell>
          <cell r="Y79">
            <v>0.23428344575965304</v>
          </cell>
        </row>
        <row r="80">
          <cell r="T80">
            <v>118.76934204360003</v>
          </cell>
          <cell r="U80">
            <v>46.377823356647063</v>
          </cell>
          <cell r="X80">
            <v>38.26135035794951</v>
          </cell>
          <cell r="Y80">
            <v>-33.490068642331757</v>
          </cell>
        </row>
        <row r="81">
          <cell r="T81">
            <v>22.229939009997643</v>
          </cell>
          <cell r="U81">
            <v>-50.112810546399395</v>
          </cell>
          <cell r="X81">
            <v>33.214541659997337</v>
          </cell>
          <cell r="Y81">
            <v>-45.956210317715545</v>
          </cell>
        </row>
        <row r="82">
          <cell r="T82">
            <v>96.539403033602383</v>
          </cell>
          <cell r="U82">
            <v>96.490633903046458</v>
          </cell>
          <cell r="X82">
            <v>5.0468086979521587</v>
          </cell>
          <cell r="Y82">
            <v>12.466141675383781</v>
          </cell>
        </row>
        <row r="83">
          <cell r="T83">
            <v>76.712890557271081</v>
          </cell>
          <cell r="U83">
            <v>78.682021390118052</v>
          </cell>
          <cell r="X83">
            <v>-0.41294503672804694</v>
          </cell>
          <cell r="Y83">
            <v>7.3327032430131851</v>
          </cell>
        </row>
        <row r="84">
          <cell r="T84">
            <v>19.826512476331303</v>
          </cell>
          <cell r="U84">
            <v>17.808612512928402</v>
          </cell>
          <cell r="X84">
            <v>5.4597537346802021</v>
          </cell>
          <cell r="Y84">
            <v>5.1334384323706033</v>
          </cell>
        </row>
        <row r="85">
          <cell r="T85">
            <v>0.12512919800140562</v>
          </cell>
          <cell r="U85">
            <v>4.5982944001783918E-2</v>
          </cell>
          <cell r="X85">
            <v>0.11953315283428323</v>
          </cell>
          <cell r="Y85">
            <v>-9.4721601906992442E-2</v>
          </cell>
        </row>
        <row r="86">
          <cell r="T86">
            <v>-64.5104455025416</v>
          </cell>
          <cell r="U86">
            <v>-40.419780071907802</v>
          </cell>
          <cell r="X86">
            <v>-20.387790896366397</v>
          </cell>
          <cell r="Y86">
            <v>-14.1344297854057</v>
          </cell>
        </row>
        <row r="87">
          <cell r="T87">
            <v>-39.303194848383797</v>
          </cell>
          <cell r="U87">
            <v>-39.978647429037601</v>
          </cell>
          <cell r="X87">
            <v>-14.083411143651297</v>
          </cell>
          <cell r="Y87">
            <v>-13.036876279312299</v>
          </cell>
        </row>
        <row r="88">
          <cell r="T88">
            <v>-25.207250654157804</v>
          </cell>
          <cell r="U88">
            <v>-0.44113264287020115</v>
          </cell>
          <cell r="X88">
            <v>-6.3043797527151</v>
          </cell>
          <cell r="Y88">
            <v>-1.0975535060934014</v>
          </cell>
        </row>
        <row r="89">
          <cell r="T89">
            <v>3.0623384392276298</v>
          </cell>
          <cell r="U89">
            <v>1.6203167378905201</v>
          </cell>
          <cell r="X89">
            <v>0.62306511645317952</v>
          </cell>
          <cell r="Y89">
            <v>1.0639345741247972</v>
          </cell>
        </row>
        <row r="90">
          <cell r="T90">
            <v>57.321234980286064</v>
          </cell>
          <cell r="U90">
            <v>7.5783600226297816</v>
          </cell>
          <cell r="X90">
            <v>18.496624578036297</v>
          </cell>
          <cell r="Y90">
            <v>-46.560563853612663</v>
          </cell>
        </row>
        <row r="91">
          <cell r="T91">
            <v>37.224610483199996</v>
          </cell>
          <cell r="U91">
            <v>42.150767497266997</v>
          </cell>
          <cell r="X91">
            <v>14.425031388226955</v>
          </cell>
          <cell r="Y91">
            <v>17.082639069756489</v>
          </cell>
        </row>
        <row r="92">
          <cell r="T92">
            <v>0</v>
          </cell>
          <cell r="U92">
            <v>-0.98474301000000608</v>
          </cell>
          <cell r="X92">
            <v>0</v>
          </cell>
          <cell r="Y92">
            <v>2.4098999999400128E-4</v>
          </cell>
        </row>
        <row r="93">
          <cell r="T93">
            <v>23.0640010601565</v>
          </cell>
          <cell r="U93">
            <v>20.062215705848001</v>
          </cell>
          <cell r="X93">
            <v>7.4413496825367993</v>
          </cell>
          <cell r="Y93">
            <v>5.8758639610739003</v>
          </cell>
        </row>
        <row r="94">
          <cell r="T94">
            <v>-2.9673765630692941</v>
          </cell>
          <cell r="U94">
            <v>-55.619366317112735</v>
          </cell>
          <cell r="X94">
            <v>-3.3697564927253385</v>
          </cell>
          <cell r="Y94">
            <v>-69.518826019754997</v>
          </cell>
        </row>
        <row r="105">
          <cell r="T105">
            <v>-7.3927414126004454</v>
          </cell>
          <cell r="U105">
            <v>13.77243610258272</v>
          </cell>
          <cell r="X105">
            <v>-14.770600268372975</v>
          </cell>
          <cell r="Y105">
            <v>13.77243610258272</v>
          </cell>
        </row>
        <row r="106">
          <cell r="T106">
            <v>7.37785885577253</v>
          </cell>
          <cell r="U106">
            <v>9.1384361025827197</v>
          </cell>
          <cell r="Y106">
            <v>9.1384361025827197</v>
          </cell>
        </row>
        <row r="107">
          <cell r="U107">
            <v>4.6340000000000003</v>
          </cell>
          <cell r="Y107">
            <v>4.6340000000000003</v>
          </cell>
        </row>
        <row r="109">
          <cell r="T109">
            <v>-14.225544224857586</v>
          </cell>
          <cell r="U109">
            <v>-23.772446555454017</v>
          </cell>
          <cell r="X109">
            <v>6.815098500769512</v>
          </cell>
          <cell r="Y109">
            <v>-10.521668158086877</v>
          </cell>
        </row>
        <row r="110">
          <cell r="T110">
            <v>-22.853968405264496</v>
          </cell>
          <cell r="U110">
            <v>-17.213849820068937</v>
          </cell>
          <cell r="X110">
            <v>-1.8133256796373978</v>
          </cell>
          <cell r="Y110">
            <v>-3.9630714227017965</v>
          </cell>
        </row>
        <row r="111">
          <cell r="U111">
            <v>-6.5585967353850805</v>
          </cell>
          <cell r="X111">
            <v>0</v>
          </cell>
          <cell r="Y111">
            <v>-6.5585967353850805</v>
          </cell>
        </row>
        <row r="114">
          <cell r="T114">
            <v>0.58662375469408135</v>
          </cell>
          <cell r="U114">
            <v>-73.839371843877956</v>
          </cell>
          <cell r="X114">
            <v>0.58662375469408135</v>
          </cell>
          <cell r="Y114">
            <v>-73.839371843877956</v>
          </cell>
        </row>
        <row r="115">
          <cell r="T115">
            <v>0</v>
          </cell>
          <cell r="U115">
            <v>-73.554000000000002</v>
          </cell>
          <cell r="X115">
            <v>0</v>
          </cell>
          <cell r="Y115">
            <v>-73.554000000000002</v>
          </cell>
        </row>
        <row r="116">
          <cell r="T116">
            <v>0</v>
          </cell>
          <cell r="U116">
            <v>-0.285371843877951</v>
          </cell>
          <cell r="X116">
            <v>0</v>
          </cell>
          <cell r="Y116">
            <v>-0.285371843877951</v>
          </cell>
        </row>
        <row r="117">
          <cell r="T117">
            <v>0</v>
          </cell>
          <cell r="U117">
            <v>0</v>
          </cell>
          <cell r="X117">
            <v>0</v>
          </cell>
          <cell r="Y117">
            <v>0</v>
          </cell>
        </row>
        <row r="128">
          <cell r="T128">
            <v>956.56642701606654</v>
          </cell>
          <cell r="U128">
            <v>994.81508180074729</v>
          </cell>
          <cell r="X128">
            <v>334.86046195715312</v>
          </cell>
          <cell r="Y128">
            <v>339.79072127746031</v>
          </cell>
        </row>
        <row r="129">
          <cell r="T129">
            <v>473.67219236606445</v>
          </cell>
          <cell r="U129">
            <v>513.47072229197829</v>
          </cell>
          <cell r="X129">
            <v>179.71486221745698</v>
          </cell>
          <cell r="Y129">
            <v>185.4492388622993</v>
          </cell>
        </row>
        <row r="130">
          <cell r="T130">
            <v>206.09591672117401</v>
          </cell>
          <cell r="U130">
            <v>202.82103665034901</v>
          </cell>
          <cell r="X130">
            <v>70.119336433966993</v>
          </cell>
          <cell r="Y130">
            <v>66.053131958342021</v>
          </cell>
        </row>
        <row r="131">
          <cell r="T131">
            <v>144.90139858759801</v>
          </cell>
          <cell r="U131">
            <v>157.42095472154497</v>
          </cell>
          <cell r="X131">
            <v>44.644046409705012</v>
          </cell>
          <cell r="Y131">
            <v>48.367039217277977</v>
          </cell>
        </row>
        <row r="132">
          <cell r="T132">
            <v>131.89691934123005</v>
          </cell>
          <cell r="U132">
            <v>121.10236813687501</v>
          </cell>
          <cell r="X132">
            <v>40.382216896024104</v>
          </cell>
          <cell r="Y132">
            <v>39.921311239541012</v>
          </cell>
        </row>
        <row r="140">
          <cell r="T140">
            <v>211.47565830088601</v>
          </cell>
          <cell r="U140">
            <v>211.3833517514673</v>
          </cell>
          <cell r="X140">
            <v>83.255221585995429</v>
          </cell>
          <cell r="Y140">
            <v>79.583226860163165</v>
          </cell>
        </row>
        <row r="141">
          <cell r="T141">
            <v>150.83718674471098</v>
          </cell>
          <cell r="U141">
            <v>165.01028584425259</v>
          </cell>
          <cell r="X141">
            <v>69.688502759640713</v>
          </cell>
          <cell r="Y141">
            <v>70.806810370322879</v>
          </cell>
        </row>
        <row r="142">
          <cell r="T142">
            <v>38.436805081268197</v>
          </cell>
          <cell r="U142">
            <v>28.466654266150478</v>
          </cell>
          <cell r="X142">
            <v>10.224915043479267</v>
          </cell>
          <cell r="Y142">
            <v>6.4529485499776769</v>
          </cell>
        </row>
        <row r="143">
          <cell r="T143">
            <v>3.3028916525798699</v>
          </cell>
          <cell r="U143">
            <v>4.5127304994734292</v>
          </cell>
          <cell r="X143">
            <v>-0.7036566008805929</v>
          </cell>
          <cell r="Y143">
            <v>-1.4468070873487004</v>
          </cell>
        </row>
        <row r="144">
          <cell r="T144">
            <v>18.898774822326967</v>
          </cell>
          <cell r="U144">
            <v>13.393681141590802</v>
          </cell>
          <cell r="X144">
            <v>4.0454603837560406</v>
          </cell>
          <cell r="Y144">
            <v>3.7702750272113104</v>
          </cell>
        </row>
        <row r="156">
          <cell r="T156">
            <v>189.85737266342798</v>
          </cell>
          <cell r="U156">
            <v>201.38334129859601</v>
          </cell>
          <cell r="X156">
            <v>75.299719818391978</v>
          </cell>
          <cell r="Y156">
            <v>82.833994804659</v>
          </cell>
        </row>
        <row r="157">
          <cell r="T157">
            <v>21.61828563745803</v>
          </cell>
          <cell r="U157">
            <v>10.000010452871294</v>
          </cell>
          <cell r="X157">
            <v>7.955501767603451</v>
          </cell>
          <cell r="Y157">
            <v>-3.2507679444958342</v>
          </cell>
        </row>
        <row r="158">
          <cell r="T158">
            <v>211.47565830088601</v>
          </cell>
          <cell r="U158">
            <v>211.3833517514673</v>
          </cell>
          <cell r="X158">
            <v>83.255221585995429</v>
          </cell>
          <cell r="Y158">
            <v>79.583226860163165</v>
          </cell>
        </row>
        <row r="159">
          <cell r="T159">
            <v>48.135485350781899</v>
          </cell>
          <cell r="U159">
            <v>57.743021015819401</v>
          </cell>
          <cell r="X159">
            <v>18.440475995138698</v>
          </cell>
          <cell r="Y159">
            <v>23.908904381050398</v>
          </cell>
        </row>
        <row r="160">
          <cell r="T160">
            <v>22.327056225321201</v>
          </cell>
          <cell r="U160">
            <v>21.575883050467599</v>
          </cell>
          <cell r="X160">
            <v>18.355098285586291</v>
          </cell>
          <cell r="Y160">
            <v>18.761801815195248</v>
          </cell>
        </row>
        <row r="161">
          <cell r="T161">
            <v>1.2121127984189215</v>
          </cell>
          <cell r="U161">
            <v>1.8472420317840097</v>
          </cell>
          <cell r="X161">
            <v>0.82941893441155257</v>
          </cell>
          <cell r="Y161">
            <v>-0.18601459313281099</v>
          </cell>
        </row>
        <row r="162">
          <cell r="T162">
            <v>139.80100392636399</v>
          </cell>
          <cell r="U162">
            <v>130.21720565339629</v>
          </cell>
          <cell r="X162">
            <v>45.630228370858887</v>
          </cell>
          <cell r="Y162">
            <v>37.09853525705033</v>
          </cell>
        </row>
        <row r="169">
          <cell r="T169">
            <v>-13.425102980222649</v>
          </cell>
          <cell r="U169">
            <v>-11.433355201365133</v>
          </cell>
          <cell r="X169">
            <v>-1.6095783871424398</v>
          </cell>
          <cell r="Y169">
            <v>1.3250037648132</v>
          </cell>
        </row>
        <row r="170">
          <cell r="T170">
            <v>7.2045669862183157</v>
          </cell>
          <cell r="U170">
            <v>1.0486681600275354</v>
          </cell>
          <cell r="X170">
            <v>0.46229676621828375</v>
          </cell>
          <cell r="Y170">
            <v>-3.0734508899724897</v>
          </cell>
        </row>
        <row r="171">
          <cell r="T171">
            <v>-6.220535994004333</v>
          </cell>
          <cell r="U171">
            <v>-10.384687041337598</v>
          </cell>
          <cell r="X171">
            <v>-1.1472816209241579</v>
          </cell>
          <cell r="Y171">
            <v>-1.7484471251592897</v>
          </cell>
        </row>
        <row r="172">
          <cell r="T172">
            <v>0.58508945030496928</v>
          </cell>
          <cell r="U172">
            <v>0.73818914516314216</v>
          </cell>
          <cell r="X172">
            <v>0.17800997463254786</v>
          </cell>
          <cell r="Y172">
            <v>0.19422859926500724</v>
          </cell>
        </row>
        <row r="173">
          <cell r="T173">
            <v>0.24962212598195968</v>
          </cell>
          <cell r="U173">
            <v>0.25258655609434844</v>
          </cell>
          <cell r="X173">
            <v>1.6477884711484203E-2</v>
          </cell>
          <cell r="Y173">
            <v>0.18671520136071101</v>
          </cell>
        </row>
        <row r="174">
          <cell r="T174">
            <v>0.1019551099996415</v>
          </cell>
          <cell r="U174">
            <v>4.9193982221140686E-13</v>
          </cell>
          <cell r="X174">
            <v>-9.9999999995270539E-5</v>
          </cell>
          <cell r="Y174">
            <v>5.3929083421166979E-13</v>
          </cell>
        </row>
        <row r="175">
          <cell r="T175">
            <v>-7.1572026802909043</v>
          </cell>
          <cell r="U175">
            <v>-11.37546274259558</v>
          </cell>
          <cell r="X175">
            <v>-1.3416694802681945</v>
          </cell>
          <cell r="Y175">
            <v>-2.1293909257855468</v>
          </cell>
        </row>
      </sheetData>
      <sheetData sheetId="2">
        <row r="10">
          <cell r="T10">
            <v>473.67219236606445</v>
          </cell>
          <cell r="U10">
            <v>513.47072229197829</v>
          </cell>
          <cell r="X10">
            <v>179.71486221745698</v>
          </cell>
          <cell r="Y10">
            <v>185.4492388622993</v>
          </cell>
        </row>
        <row r="11">
          <cell r="T11">
            <v>127.81477648009786</v>
          </cell>
          <cell r="U11">
            <v>139.06418482874767</v>
          </cell>
          <cell r="X11">
            <v>90.513662002182457</v>
          </cell>
          <cell r="Y11">
            <v>92.521348441855253</v>
          </cell>
        </row>
        <row r="12">
          <cell r="T12">
            <v>345.85741588596659</v>
          </cell>
          <cell r="U12">
            <v>374.40653746323062</v>
          </cell>
          <cell r="X12">
            <v>89.201200215274525</v>
          </cell>
          <cell r="Y12">
            <v>92.927890420444044</v>
          </cell>
        </row>
        <row r="13">
          <cell r="T13">
            <v>342.32065888596657</v>
          </cell>
          <cell r="U13">
            <v>370.65804546323062</v>
          </cell>
          <cell r="X13">
            <v>85.694251215274505</v>
          </cell>
          <cell r="Y13">
            <v>89.247476420444059</v>
          </cell>
        </row>
        <row r="14">
          <cell r="T14">
            <v>3.5367570000000002</v>
          </cell>
          <cell r="U14">
            <v>3.7484920000000002</v>
          </cell>
          <cell r="X14">
            <v>3.5069490000000001</v>
          </cell>
          <cell r="Y14">
            <v>3.6804140000000003</v>
          </cell>
        </row>
        <row r="15">
          <cell r="T15">
            <v>150.83718674471098</v>
          </cell>
          <cell r="U15">
            <v>165.01028584425259</v>
          </cell>
          <cell r="X15">
            <v>69.688502759640713</v>
          </cell>
          <cell r="Y15">
            <v>70.806810370322879</v>
          </cell>
        </row>
        <row r="16">
          <cell r="T16">
            <v>51.074381799999685</v>
          </cell>
          <cell r="U16">
            <v>60.992472016975256</v>
          </cell>
          <cell r="X16">
            <v>56.170502199999703</v>
          </cell>
          <cell r="Y16">
            <v>58.627110376976191</v>
          </cell>
        </row>
        <row r="17">
          <cell r="T17">
            <v>99.762804944711291</v>
          </cell>
          <cell r="U17">
            <v>104.01781382727734</v>
          </cell>
          <cell r="X17">
            <v>13.51800055964101</v>
          </cell>
          <cell r="Y17">
            <v>12.179699993346688</v>
          </cell>
        </row>
        <row r="18">
          <cell r="T18">
            <v>98.407069944711296</v>
          </cell>
          <cell r="U18">
            <v>103.46081082727734</v>
          </cell>
          <cell r="X18">
            <v>11.238368559641017</v>
          </cell>
          <cell r="Y18">
            <v>10.100464993346691</v>
          </cell>
        </row>
        <row r="19">
          <cell r="T19">
            <v>1.355735000000001</v>
          </cell>
          <cell r="U19">
            <v>0.55700300000000091</v>
          </cell>
          <cell r="X19">
            <v>2.2796320000000012</v>
          </cell>
          <cell r="Y19">
            <v>2.0792350000000011</v>
          </cell>
        </row>
        <row r="20">
          <cell r="T20">
            <v>0.31844214031492191</v>
          </cell>
          <cell r="U20">
            <v>0.321362599035241</v>
          </cell>
          <cell r="X20">
            <v>0.38777261880164843</v>
          </cell>
          <cell r="Y20">
            <v>0.38181235363763727</v>
          </cell>
        </row>
        <row r="21">
          <cell r="T21">
            <v>96.654793697017055</v>
          </cell>
          <cell r="U21">
            <v>105.67942681857656</v>
          </cell>
          <cell r="X21">
            <v>37.606733781493297</v>
          </cell>
          <cell r="Y21">
            <v>34.889967191250037</v>
          </cell>
        </row>
        <row r="22">
          <cell r="T22">
            <v>26.512149079999645</v>
          </cell>
          <cell r="U22">
            <v>32.060832916975627</v>
          </cell>
          <cell r="X22">
            <v>33.488867589999806</v>
          </cell>
          <cell r="Y22">
            <v>31.137609806976698</v>
          </cell>
        </row>
        <row r="23">
          <cell r="T23">
            <v>70.14264461701741</v>
          </cell>
          <cell r="U23">
            <v>73.618593901600931</v>
          </cell>
          <cell r="X23">
            <v>4.1178661914934906</v>
          </cell>
          <cell r="Y23">
            <v>3.7523573842733384</v>
          </cell>
        </row>
        <row r="24">
          <cell r="T24">
            <v>69.127077617017406</v>
          </cell>
          <cell r="U24">
            <v>73.50463790160093</v>
          </cell>
          <cell r="X24">
            <v>2.1765001914934885</v>
          </cell>
          <cell r="Y24">
            <v>2.1114363842733326</v>
          </cell>
        </row>
        <row r="25">
          <cell r="T25">
            <v>1.0155670000000001</v>
          </cell>
          <cell r="U25">
            <v>0.11395600000000121</v>
          </cell>
          <cell r="X25">
            <v>1.9413659999999999</v>
          </cell>
          <cell r="Y25">
            <v>1.6409210000000012</v>
          </cell>
        </row>
        <row r="26">
          <cell r="T26">
            <v>0.20405418611173204</v>
          </cell>
          <cell r="U26">
            <v>0.20581392907244156</v>
          </cell>
          <cell r="X26">
            <v>0.20925778378857021</v>
          </cell>
          <cell r="Y26">
            <v>0.18813755939519769</v>
          </cell>
        </row>
        <row r="30">
          <cell r="T30">
            <v>531.29683151967117</v>
          </cell>
          <cell r="U30">
            <v>513.47072229197829</v>
          </cell>
          <cell r="X30">
            <v>187.05484482923515</v>
          </cell>
          <cell r="Y30">
            <v>185.4492388622993</v>
          </cell>
        </row>
        <row r="31">
          <cell r="T31">
            <v>127.81477648009786</v>
          </cell>
          <cell r="U31">
            <v>139.06418482874767</v>
          </cell>
          <cell r="X31">
            <v>90.5136620021824</v>
          </cell>
          <cell r="Y31">
            <v>92.521348441855253</v>
          </cell>
        </row>
        <row r="32">
          <cell r="T32">
            <v>403.48205503957331</v>
          </cell>
          <cell r="U32">
            <v>374.40653746323062</v>
          </cell>
          <cell r="X32">
            <v>96.541182827052751</v>
          </cell>
          <cell r="Y32">
            <v>92.927890420444044</v>
          </cell>
        </row>
        <row r="33">
          <cell r="T33">
            <v>399.94529803957329</v>
          </cell>
          <cell r="U33">
            <v>370.65804546323062</v>
          </cell>
          <cell r="X33">
            <v>93.034233827052731</v>
          </cell>
          <cell r="Y33">
            <v>89.247476420444059</v>
          </cell>
        </row>
        <row r="34">
          <cell r="T34">
            <v>3.5367570000000002</v>
          </cell>
          <cell r="U34">
            <v>3.7484920000000002</v>
          </cell>
          <cell r="X34">
            <v>3.5069490000000001</v>
          </cell>
          <cell r="Y34">
            <v>3.6804140000000003</v>
          </cell>
        </row>
        <row r="35">
          <cell r="T35">
            <v>167.27828375882748</v>
          </cell>
          <cell r="U35">
            <v>165.01028584425259</v>
          </cell>
          <cell r="X35">
            <v>67.304362096898814</v>
          </cell>
          <cell r="Y35">
            <v>70.806810370322879</v>
          </cell>
        </row>
        <row r="36">
          <cell r="T36">
            <v>51.074381799999685</v>
          </cell>
          <cell r="U36">
            <v>60.992472016975256</v>
          </cell>
          <cell r="X36">
            <v>56.170502199999703</v>
          </cell>
          <cell r="Y36">
            <v>58.627110376976191</v>
          </cell>
        </row>
        <row r="37">
          <cell r="T37">
            <v>116.2039019588278</v>
          </cell>
          <cell r="U37">
            <v>104.01781382727734</v>
          </cell>
          <cell r="X37">
            <v>11.133859896899111</v>
          </cell>
          <cell r="Y37">
            <v>12.179699993346688</v>
          </cell>
        </row>
        <row r="38">
          <cell r="T38">
            <v>114.8481669588278</v>
          </cell>
          <cell r="U38">
            <v>103.46081082727734</v>
          </cell>
          <cell r="X38">
            <v>8.8542278968991184</v>
          </cell>
          <cell r="Y38">
            <v>10.100464993346691</v>
          </cell>
        </row>
        <row r="39">
          <cell r="T39">
            <v>1.355735000000001</v>
          </cell>
          <cell r="U39">
            <v>0.55700300000000091</v>
          </cell>
          <cell r="X39">
            <v>2.2796320000000012</v>
          </cell>
          <cell r="Y39">
            <v>2.0792350000000011</v>
          </cell>
        </row>
        <row r="40">
          <cell r="T40">
            <v>0.3148490144019126</v>
          </cell>
          <cell r="U40">
            <v>0.321362599035241</v>
          </cell>
          <cell r="X40">
            <v>0.35981084669761887</v>
          </cell>
          <cell r="Y40">
            <v>0.38181235363763727</v>
          </cell>
        </row>
        <row r="41">
          <cell r="T41">
            <v>108.6633891858247</v>
          </cell>
          <cell r="U41">
            <v>105.67942681857656</v>
          </cell>
          <cell r="X41">
            <v>34.361091526401538</v>
          </cell>
          <cell r="Y41">
            <v>34.889967191250037</v>
          </cell>
        </row>
        <row r="42">
          <cell r="T42">
            <v>26.512149079999645</v>
          </cell>
          <cell r="U42">
            <v>32.060832916975627</v>
          </cell>
          <cell r="X42">
            <v>33.488867589999813</v>
          </cell>
          <cell r="Y42">
            <v>31.137609806976698</v>
          </cell>
        </row>
        <row r="43">
          <cell r="T43">
            <v>82.151240105825053</v>
          </cell>
          <cell r="U43">
            <v>73.618593901600931</v>
          </cell>
          <cell r="X43">
            <v>0.87222393640172413</v>
          </cell>
          <cell r="Y43">
            <v>3.7523573842733384</v>
          </cell>
        </row>
        <row r="44">
          <cell r="T44">
            <v>81.135673105825049</v>
          </cell>
          <cell r="U44">
            <v>73.50463790160093</v>
          </cell>
          <cell r="X44">
            <v>-1.069142063598278</v>
          </cell>
          <cell r="Y44">
            <v>2.1114363842733326</v>
          </cell>
        </row>
        <row r="45">
          <cell r="T45">
            <v>1.0155670000000001</v>
          </cell>
          <cell r="U45">
            <v>0.11395600000000121</v>
          </cell>
          <cell r="X45">
            <v>1.9413659999999999</v>
          </cell>
          <cell r="Y45">
            <v>1.6409210000000012</v>
          </cell>
        </row>
        <row r="46">
          <cell r="T46">
            <v>0.20452482066383537</v>
          </cell>
          <cell r="U46">
            <v>0.20581392907244156</v>
          </cell>
          <cell r="X46">
            <v>0.18369527695350651</v>
          </cell>
          <cell r="Y46">
            <v>0.18813755939519769</v>
          </cell>
        </row>
        <row r="64">
          <cell r="T64">
            <v>467.59816027889303</v>
          </cell>
          <cell r="U64">
            <v>522.60915839456095</v>
          </cell>
          <cell r="X64">
            <v>166.26297127451301</v>
          </cell>
          <cell r="Y64">
            <v>194.58767496488196</v>
          </cell>
        </row>
        <row r="65">
          <cell r="T65">
            <v>127.81477648009792</v>
          </cell>
          <cell r="U65">
            <v>139.06418482874761</v>
          </cell>
          <cell r="X65">
            <v>90.513662002182457</v>
          </cell>
          <cell r="Y65">
            <v>92.521348441855196</v>
          </cell>
        </row>
        <row r="66">
          <cell r="T66">
            <v>339.78338379879511</v>
          </cell>
          <cell r="U66">
            <v>383.54497356581334</v>
          </cell>
          <cell r="X66">
            <v>75.749309272330549</v>
          </cell>
          <cell r="Y66">
            <v>102.06632652302676</v>
          </cell>
        </row>
        <row r="67">
          <cell r="T67">
            <v>336.24662679879509</v>
          </cell>
          <cell r="U67">
            <v>379.79648156581334</v>
          </cell>
          <cell r="X67">
            <v>72.242360272330529</v>
          </cell>
          <cell r="Y67">
            <v>98.385912523026775</v>
          </cell>
        </row>
        <row r="68">
          <cell r="T68">
            <v>3.5367570000000002</v>
          </cell>
          <cell r="U68">
            <v>3.7484920000000002</v>
          </cell>
          <cell r="X68">
            <v>3.5069490000000001</v>
          </cell>
          <cell r="Y68">
            <v>3.6804140000000003</v>
          </cell>
        </row>
        <row r="69">
          <cell r="T69">
            <v>319.02181914705903</v>
          </cell>
          <cell r="U69">
            <v>358.715743031648</v>
          </cell>
          <cell r="X69">
            <v>103.54243598132192</v>
          </cell>
          <cell r="Y69">
            <v>122.59121792483822</v>
          </cell>
        </row>
        <row r="70">
          <cell r="T70">
            <v>76.99928258009821</v>
          </cell>
          <cell r="U70">
            <v>78.838081001772366</v>
          </cell>
          <cell r="X70">
            <v>34.343280942182744</v>
          </cell>
          <cell r="Y70">
            <v>33.896955174879011</v>
          </cell>
        </row>
        <row r="71">
          <cell r="T71">
            <v>242.02253656696081</v>
          </cell>
          <cell r="U71">
            <v>279.87766202987564</v>
          </cell>
          <cell r="X71">
            <v>69.199155039139157</v>
          </cell>
          <cell r="Y71">
            <v>88.694262749959194</v>
          </cell>
        </row>
        <row r="72">
          <cell r="T72">
            <v>238.94729256696081</v>
          </cell>
          <cell r="U72">
            <v>276.53864802987562</v>
          </cell>
          <cell r="X72">
            <v>67.922164039139147</v>
          </cell>
          <cell r="Y72">
            <v>86.946008749959219</v>
          </cell>
        </row>
        <row r="73">
          <cell r="T73">
            <v>3.0752439999999992</v>
          </cell>
          <cell r="U73">
            <v>3.3390139999999993</v>
          </cell>
          <cell r="X73">
            <v>1.2769909999999991</v>
          </cell>
          <cell r="Y73">
            <v>1.7482539999999991</v>
          </cell>
        </row>
        <row r="74">
          <cell r="T74">
            <v>148.576341131834</v>
          </cell>
          <cell r="U74">
            <v>163.89341536291298</v>
          </cell>
          <cell r="X74">
            <v>62.720535293191091</v>
          </cell>
          <cell r="Y74">
            <v>71.996457040043765</v>
          </cell>
        </row>
        <row r="75">
          <cell r="T75">
            <v>50.815493899999709</v>
          </cell>
          <cell r="U75">
            <v>60.226103826975248</v>
          </cell>
          <cell r="X75">
            <v>56.170381059999713</v>
          </cell>
          <cell r="Y75">
            <v>58.624393266976185</v>
          </cell>
        </row>
        <row r="76">
          <cell r="T76">
            <v>97.76084723183429</v>
          </cell>
          <cell r="U76">
            <v>103.66731153593773</v>
          </cell>
          <cell r="X76">
            <v>6.5501542331913782</v>
          </cell>
          <cell r="Y76">
            <v>13.37206377306758</v>
          </cell>
        </row>
        <row r="77">
          <cell r="T77">
            <v>97.299334231834294</v>
          </cell>
          <cell r="U77">
            <v>103.25783353593772</v>
          </cell>
          <cell r="X77">
            <v>4.3201962331913819</v>
          </cell>
          <cell r="Y77">
            <v>11.43990377306757</v>
          </cell>
        </row>
        <row r="78">
          <cell r="T78">
            <v>0.46151300000000101</v>
          </cell>
          <cell r="U78">
            <v>0.40947800000000095</v>
          </cell>
          <cell r="X78">
            <v>2.2299580000000012</v>
          </cell>
          <cell r="Y78">
            <v>1.932160000000001</v>
          </cell>
        </row>
        <row r="79">
          <cell r="T79">
            <v>0.31774363920340815</v>
          </cell>
          <cell r="U79">
            <v>0.31360609114924132</v>
          </cell>
          <cell r="X79">
            <v>0.37723694465699548</v>
          </cell>
          <cell r="Y79">
            <v>0.36999494984991865</v>
          </cell>
        </row>
        <row r="80">
          <cell r="T80">
            <v>94.944594493923503</v>
          </cell>
          <cell r="U80">
            <v>104.277184493359</v>
          </cell>
          <cell r="X80">
            <v>31.1894127248271</v>
          </cell>
          <cell r="Y80">
            <v>35.794242017092998</v>
          </cell>
        </row>
        <row r="81">
          <cell r="T81">
            <v>26.25326117999964</v>
          </cell>
          <cell r="U81">
            <v>31.294464726975619</v>
          </cell>
          <cell r="X81">
            <v>33.488746449999802</v>
          </cell>
          <cell r="Y81">
            <v>31.134892696976706</v>
          </cell>
        </row>
        <row r="82">
          <cell r="T82">
            <v>68.691333313923863</v>
          </cell>
          <cell r="U82">
            <v>72.982719766383383</v>
          </cell>
          <cell r="X82">
            <v>-2.2993337251727013</v>
          </cell>
          <cell r="Y82">
            <v>4.6593493201162914</v>
          </cell>
        </row>
        <row r="83">
          <cell r="T83">
            <v>68.569988313923858</v>
          </cell>
          <cell r="U83">
            <v>73.016288766383383</v>
          </cell>
          <cell r="X83">
            <v>-4.1910257251727074</v>
          </cell>
          <cell r="Y83">
            <v>3.1655033201162865</v>
          </cell>
        </row>
        <row r="84">
          <cell r="T84">
            <v>0.12134499999999999</v>
          </cell>
          <cell r="U84">
            <v>-3.3568999999998801E-2</v>
          </cell>
          <cell r="X84">
            <v>1.8916919999999999</v>
          </cell>
          <cell r="Y84">
            <v>1.4938460000000011</v>
          </cell>
        </row>
        <row r="85">
          <cell r="T85">
            <v>0.20304740813628308</v>
          </cell>
          <cell r="U85">
            <v>0.1995318735203479</v>
          </cell>
          <cell r="X85">
            <v>0.18759085372852485</v>
          </cell>
          <cell r="Y85">
            <v>0.18394917367481231</v>
          </cell>
        </row>
        <row r="93">
          <cell r="T93">
            <v>-6.0740320871714513</v>
          </cell>
          <cell r="U93">
            <v>9.1384361025827197</v>
          </cell>
          <cell r="X93">
            <v>-13.451890942943981</v>
          </cell>
          <cell r="Y93">
            <v>9.1384361025827197</v>
          </cell>
        </row>
        <row r="99">
          <cell r="T99">
            <v>-10.200397526848032</v>
          </cell>
          <cell r="U99">
            <v>-10.255306583922319</v>
          </cell>
          <cell r="X99">
            <v>-7.5296605246481425</v>
          </cell>
          <cell r="Y99">
            <v>-7.9487894328618092</v>
          </cell>
        </row>
        <row r="100">
          <cell r="T100">
            <v>-3.19360552627679</v>
          </cell>
          <cell r="U100">
            <v>-3.6967098485372398</v>
          </cell>
          <cell r="X100">
            <v>-0.52286852407689999</v>
          </cell>
          <cell r="Y100">
            <v>-1.3901926974767296</v>
          </cell>
        </row>
        <row r="101">
          <cell r="U101">
            <v>-6.5585967353850805</v>
          </cell>
          <cell r="X101">
            <v>0</v>
          </cell>
          <cell r="Y101">
            <v>-6.5585967353850805</v>
          </cell>
        </row>
        <row r="103">
          <cell r="T103">
            <v>-0.55064640978345181</v>
          </cell>
          <cell r="U103">
            <v>-0.285371843877951</v>
          </cell>
          <cell r="X103">
            <v>-0.55064640978345181</v>
          </cell>
          <cell r="Y103">
            <v>-0.285371843877951</v>
          </cell>
        </row>
        <row r="104">
          <cell r="U104">
            <v>-0.285371843877951</v>
          </cell>
          <cell r="X104">
            <v>0</v>
          </cell>
          <cell r="Y104">
            <v>-0.285371843877951</v>
          </cell>
        </row>
        <row r="202">
          <cell r="T202">
            <v>148.576341131834</v>
          </cell>
          <cell r="U202">
            <v>163.89341536291298</v>
          </cell>
          <cell r="X202">
            <v>62.720535293191091</v>
          </cell>
          <cell r="Y202">
            <v>71.996457040043765</v>
          </cell>
        </row>
        <row r="203">
          <cell r="T203">
            <v>2.2608456128769774</v>
          </cell>
          <cell r="U203">
            <v>1.1168704813396175</v>
          </cell>
          <cell r="X203">
            <v>6.9679674664496218</v>
          </cell>
          <cell r="Y203">
            <v>-1.1896466697208865</v>
          </cell>
        </row>
        <row r="204">
          <cell r="T204">
            <v>150.83718674471098</v>
          </cell>
          <cell r="U204">
            <v>165.01028584425259</v>
          </cell>
          <cell r="X204">
            <v>69.688502759640713</v>
          </cell>
          <cell r="Y204">
            <v>70.806810370322879</v>
          </cell>
        </row>
        <row r="205">
          <cell r="T205">
            <v>33.386692474039499</v>
          </cell>
          <cell r="U205">
            <v>39.6118756101557</v>
          </cell>
          <cell r="X205">
            <v>13.2532341499106</v>
          </cell>
          <cell r="Y205">
            <v>17.899956337891002</v>
          </cell>
        </row>
        <row r="206">
          <cell r="T206">
            <v>19.655870798824701</v>
          </cell>
          <cell r="U206">
            <v>18.9220350580771</v>
          </cell>
          <cell r="X206">
            <v>17.993840367414961</v>
          </cell>
          <cell r="Y206">
            <v>18.147400550759404</v>
          </cell>
        </row>
        <row r="207">
          <cell r="T207">
            <v>1.139829774829721</v>
          </cell>
          <cell r="U207">
            <v>0.79694835744323456</v>
          </cell>
          <cell r="X207">
            <v>0.83469446082185472</v>
          </cell>
          <cell r="Y207">
            <v>-0.1305137095775627</v>
          </cell>
        </row>
        <row r="208">
          <cell r="T208">
            <v>96.654793697017055</v>
          </cell>
          <cell r="U208">
            <v>105.67942681857656</v>
          </cell>
          <cell r="X208">
            <v>37.606733781493297</v>
          </cell>
          <cell r="Y208">
            <v>34.889967191250037</v>
          </cell>
        </row>
      </sheetData>
      <sheetData sheetId="3">
        <row r="10">
          <cell r="T10">
            <v>206.09591672117401</v>
          </cell>
          <cell r="U10">
            <v>202.82103665034901</v>
          </cell>
          <cell r="X10">
            <v>70.119336433966993</v>
          </cell>
          <cell r="Y10">
            <v>66.053131958342021</v>
          </cell>
        </row>
        <row r="11">
          <cell r="T11">
            <v>133.80983763</v>
          </cell>
          <cell r="U11">
            <v>129.03484419</v>
          </cell>
          <cell r="X11">
            <v>40.194304450000004</v>
          </cell>
          <cell r="Y11">
            <v>37.252511999999996</v>
          </cell>
        </row>
        <row r="12">
          <cell r="T12">
            <v>66.177429527705883</v>
          </cell>
          <cell r="U12">
            <v>68.526984595122599</v>
          </cell>
          <cell r="X12">
            <v>22.327520079178178</v>
          </cell>
          <cell r="Y12">
            <v>23.8171133981797</v>
          </cell>
        </row>
        <row r="13">
          <cell r="T13">
            <v>12.3321652053998</v>
          </cell>
          <cell r="U13">
            <v>11.9571570410289</v>
          </cell>
          <cell r="X13">
            <v>9.8532002521037505</v>
          </cell>
          <cell r="Y13">
            <v>7.2232817594895495</v>
          </cell>
        </row>
        <row r="14">
          <cell r="T14">
            <v>-6.2235156419316802</v>
          </cell>
          <cell r="U14">
            <v>-6.6979491758024849</v>
          </cell>
          <cell r="X14">
            <v>-2.2556883473149401</v>
          </cell>
          <cell r="Y14">
            <v>-2.2397751993272239</v>
          </cell>
        </row>
        <row r="15">
          <cell r="T15">
            <v>221.3817788273123</v>
          </cell>
          <cell r="U15">
            <v>217.62852707372812</v>
          </cell>
          <cell r="X15">
            <v>74.77421934078879</v>
          </cell>
          <cell r="Y15">
            <v>70.846315585678809</v>
          </cell>
        </row>
        <row r="16">
          <cell r="T16">
            <v>38.436805081268197</v>
          </cell>
          <cell r="U16">
            <v>28.466654266150478</v>
          </cell>
          <cell r="X16">
            <v>10.224915043479267</v>
          </cell>
          <cell r="Y16">
            <v>6.4529485499776769</v>
          </cell>
        </row>
        <row r="17">
          <cell r="T17">
            <v>23.333077019999998</v>
          </cell>
          <cell r="U17">
            <v>14.7671469499999</v>
          </cell>
          <cell r="X17">
            <v>4.5121513899999961</v>
          </cell>
          <cell r="Y17">
            <v>0.47404027999999698</v>
          </cell>
        </row>
        <row r="18">
          <cell r="T18">
            <v>15.023817301338184</v>
          </cell>
          <cell r="U18">
            <v>15.124500148969478</v>
          </cell>
          <cell r="X18">
            <v>5.2699383667960777</v>
          </cell>
          <cell r="Y18">
            <v>6.698238111133568</v>
          </cell>
        </row>
        <row r="19">
          <cell r="T19">
            <v>7.9910759929749706E-2</v>
          </cell>
          <cell r="U19">
            <v>-1.4249928328186201</v>
          </cell>
          <cell r="X19">
            <v>0.44282528668283422</v>
          </cell>
          <cell r="Y19">
            <v>-0.71932984115559118</v>
          </cell>
        </row>
        <row r="20">
          <cell r="T20">
            <v>2.6602331448799532E-13</v>
          </cell>
          <cell r="U20">
            <v>-2.7955415760061442E-13</v>
          </cell>
          <cell r="X20">
            <v>3.5944858201020224E-13</v>
          </cell>
          <cell r="Y20">
            <v>-2.9698465908722937E-13</v>
          </cell>
        </row>
        <row r="21">
          <cell r="T21">
            <v>0.18649959539600744</v>
          </cell>
          <cell r="U21">
            <v>0.14035355866573759</v>
          </cell>
          <cell r="X21">
            <v>0.14582161730963195</v>
          </cell>
          <cell r="Y21">
            <v>9.7693301720308767E-2</v>
          </cell>
        </row>
        <row r="22">
          <cell r="T22">
            <v>44.289219911226887</v>
          </cell>
          <cell r="U22">
            <v>34.113087445114331</v>
          </cell>
          <cell r="X22">
            <v>11.728513006995279</v>
          </cell>
          <cell r="Y22">
            <v>8.2042907657086417</v>
          </cell>
        </row>
        <row r="23">
          <cell r="T23">
            <v>31.114854892327067</v>
          </cell>
          <cell r="U23">
            <v>20.111538549855943</v>
          </cell>
          <cell r="X23">
            <v>7.8454065036997349</v>
          </cell>
          <cell r="Y23">
            <v>4.2144383670478209</v>
          </cell>
        </row>
        <row r="24">
          <cell r="T24">
            <v>19.031660870000103</v>
          </cell>
          <cell r="U24">
            <v>10.497377259999901</v>
          </cell>
          <cell r="X24">
            <v>2.9642289800001045</v>
          </cell>
          <cell r="Y24">
            <v>-1.0039081599999982</v>
          </cell>
        </row>
        <row r="25">
          <cell r="T25">
            <v>12.398043822521553</v>
          </cell>
          <cell r="U25">
            <v>11.472086537232745</v>
          </cell>
          <cell r="X25">
            <v>4.4493855383390155</v>
          </cell>
          <cell r="Y25">
            <v>5.9848043275204112</v>
          </cell>
        </row>
        <row r="26">
          <cell r="T26">
            <v>0.1129801998053635</v>
          </cell>
          <cell r="U26">
            <v>-1.8579252473768402</v>
          </cell>
          <cell r="X26">
            <v>0.43079198536063401</v>
          </cell>
          <cell r="Y26">
            <v>-0.76645780047268008</v>
          </cell>
        </row>
        <row r="27">
          <cell r="T27">
            <v>-0.42782999999995203</v>
          </cell>
          <cell r="U27">
            <v>1.3811174426336947E-13</v>
          </cell>
          <cell r="X27">
            <v>9.9999999998090505E-4</v>
          </cell>
          <cell r="Y27">
            <v>8.7929663550312398E-14</v>
          </cell>
        </row>
        <row r="28">
          <cell r="T28">
            <v>0.15097268974242792</v>
          </cell>
          <cell r="U28">
            <v>9.9159036370211423E-2</v>
          </cell>
          <cell r="X28">
            <v>0.11188649098366663</v>
          </cell>
          <cell r="Y28">
            <v>6.3803762851181028E-2</v>
          </cell>
        </row>
        <row r="29">
          <cell r="T29">
            <v>36.252254799090601</v>
          </cell>
          <cell r="U29">
            <v>25.059714929916563</v>
          </cell>
          <cell r="X29">
            <v>9.1120119616657398</v>
          </cell>
          <cell r="Y29">
            <v>5.6999480814970376</v>
          </cell>
        </row>
        <row r="33">
          <cell r="T33">
            <v>211.06427909727819</v>
          </cell>
          <cell r="U33">
            <v>202.82103665034901</v>
          </cell>
          <cell r="X33">
            <v>70.938755842953185</v>
          </cell>
          <cell r="Y33">
            <v>66.053131958342021</v>
          </cell>
        </row>
        <row r="34">
          <cell r="T34">
            <v>133.80983763</v>
          </cell>
          <cell r="U34">
            <v>129.03484419</v>
          </cell>
          <cell r="X34">
            <v>40.194304450000004</v>
          </cell>
          <cell r="Y34">
            <v>37.252511999999996</v>
          </cell>
        </row>
        <row r="35">
          <cell r="T35">
            <v>70.747793690862608</v>
          </cell>
          <cell r="U35">
            <v>68.526984595122599</v>
          </cell>
          <cell r="X35">
            <v>22.727505470038409</v>
          </cell>
          <cell r="Y35">
            <v>23.8171133981797</v>
          </cell>
        </row>
        <row r="36">
          <cell r="T36">
            <v>12.383893559445335</v>
          </cell>
          <cell r="U36">
            <v>11.9571570410289</v>
          </cell>
          <cell r="X36">
            <v>9.8518098813980455</v>
          </cell>
          <cell r="Y36">
            <v>7.2232817594895495</v>
          </cell>
        </row>
        <row r="37">
          <cell r="T37">
            <v>-5.8772457830297586</v>
          </cell>
          <cell r="U37">
            <v>-6.6979491758024849</v>
          </cell>
          <cell r="X37">
            <v>-1.8348639584832735</v>
          </cell>
          <cell r="Y37">
            <v>-2.2397751993272239</v>
          </cell>
        </row>
        <row r="38">
          <cell r="T38">
            <v>227.70302067864526</v>
          </cell>
          <cell r="U38">
            <v>217.62852707372812</v>
          </cell>
          <cell r="X38">
            <v>75.819849963158276</v>
          </cell>
          <cell r="Y38">
            <v>70.846315585678809</v>
          </cell>
        </row>
        <row r="39">
          <cell r="T39">
            <v>38.29692541037128</v>
          </cell>
          <cell r="U39">
            <v>28.466654266150478</v>
          </cell>
          <cell r="X39">
            <v>9.9782296662994661</v>
          </cell>
          <cell r="Y39">
            <v>6.4529485499776769</v>
          </cell>
        </row>
        <row r="40">
          <cell r="T40">
            <v>23.333077019999998</v>
          </cell>
          <cell r="U40">
            <v>14.7671469499999</v>
          </cell>
          <cell r="X40">
            <v>4.5121513899999961</v>
          </cell>
          <cell r="Y40">
            <v>0.47404027999999698</v>
          </cell>
        </row>
        <row r="41">
          <cell r="T41">
            <v>15.022845385766916</v>
          </cell>
          <cell r="U41">
            <v>15.124500148969478</v>
          </cell>
          <cell r="X41">
            <v>5.1360540183223655</v>
          </cell>
          <cell r="Y41">
            <v>6.698238111133568</v>
          </cell>
        </row>
        <row r="42">
          <cell r="T42">
            <v>5.3034536386003653E-2</v>
          </cell>
          <cell r="U42">
            <v>-1.4249928328186201</v>
          </cell>
          <cell r="X42">
            <v>0.44205578975864523</v>
          </cell>
          <cell r="Y42">
            <v>-0.71932984115559118</v>
          </cell>
        </row>
        <row r="43">
          <cell r="T43">
            <v>-0.11203153178163673</v>
          </cell>
          <cell r="U43">
            <v>-2.7955415760061442E-13</v>
          </cell>
          <cell r="X43">
            <v>-0.11203153178154081</v>
          </cell>
          <cell r="Y43">
            <v>-2.9698465908722937E-13</v>
          </cell>
        </row>
        <row r="44">
          <cell r="T44">
            <v>0.18144674017871337</v>
          </cell>
          <cell r="U44">
            <v>0.14035355866573759</v>
          </cell>
          <cell r="X44">
            <v>0.14065977825139245</v>
          </cell>
          <cell r="Y44">
            <v>9.7693301720308767E-2</v>
          </cell>
        </row>
        <row r="45">
          <cell r="T45">
            <v>44.698680699435762</v>
          </cell>
          <cell r="U45">
            <v>34.113087445114331</v>
          </cell>
          <cell r="X45">
            <v>11.555490377611285</v>
          </cell>
          <cell r="Y45">
            <v>8.2042907657086417</v>
          </cell>
        </row>
        <row r="46">
          <cell r="T46">
            <v>29.573415577128856</v>
          </cell>
          <cell r="U46">
            <v>20.111538549855943</v>
          </cell>
          <cell r="X46">
            <v>6.3651209436634382</v>
          </cell>
          <cell r="Y46">
            <v>4.2144383670478209</v>
          </cell>
        </row>
        <row r="47">
          <cell r="T47">
            <v>19.031660870000103</v>
          </cell>
          <cell r="U47">
            <v>10.497377259999901</v>
          </cell>
          <cell r="X47">
            <v>2.9642289800001045</v>
          </cell>
          <cell r="Y47">
            <v>-1.0039081599999982</v>
          </cell>
        </row>
        <row r="48">
          <cell r="T48">
            <v>11.751471192009481</v>
          </cell>
          <cell r="U48">
            <v>11.472086537232745</v>
          </cell>
          <cell r="X48">
            <v>3.8314913541965305</v>
          </cell>
          <cell r="Y48">
            <v>5.9848043275204112</v>
          </cell>
        </row>
        <row r="49">
          <cell r="T49">
            <v>7.9593574917558446E-2</v>
          </cell>
          <cell r="U49">
            <v>-1.8579252473768402</v>
          </cell>
          <cell r="X49">
            <v>0.42988066926508206</v>
          </cell>
          <cell r="Y49">
            <v>-0.76645780047268008</v>
          </cell>
        </row>
        <row r="50">
          <cell r="T50">
            <v>-1.2893100597982863</v>
          </cell>
          <cell r="U50">
            <v>1.3811174426336947E-13</v>
          </cell>
          <cell r="X50">
            <v>-0.86048005979827891</v>
          </cell>
          <cell r="Y50">
            <v>8.7929663550312398E-14</v>
          </cell>
        </row>
        <row r="51">
          <cell r="T51">
            <v>0.14011568278447845</v>
          </cell>
          <cell r="U51">
            <v>9.9159036370211423E-2</v>
          </cell>
          <cell r="X51">
            <v>8.972698869648596E-2</v>
          </cell>
          <cell r="Y51">
            <v>6.3803762851181028E-2</v>
          </cell>
        </row>
        <row r="52">
          <cell r="T52">
            <v>35.199745484767291</v>
          </cell>
          <cell r="U52">
            <v>25.059714929916563</v>
          </cell>
          <cell r="X52">
            <v>7.6937126342423738</v>
          </cell>
          <cell r="Y52">
            <v>5.6999480814970376</v>
          </cell>
        </row>
        <row r="56">
          <cell r="T56">
            <v>204.77720739574499</v>
          </cell>
          <cell r="U56">
            <v>202.82103665034901</v>
          </cell>
          <cell r="X56">
            <v>68.800627108537981</v>
          </cell>
          <cell r="Y56">
            <v>66.053131958342021</v>
          </cell>
        </row>
        <row r="57">
          <cell r="T57">
            <v>183.82172244491599</v>
          </cell>
          <cell r="U57">
            <v>179.777553225285</v>
          </cell>
          <cell r="X57">
            <v>55.988067600998988</v>
          </cell>
          <cell r="Y57">
            <v>56.030047914777001</v>
          </cell>
        </row>
        <row r="58">
          <cell r="T58">
            <v>121.96309372</v>
          </cell>
          <cell r="U58">
            <v>116.7790857</v>
          </cell>
          <cell r="X58">
            <v>35.913670530000005</v>
          </cell>
          <cell r="Y58">
            <v>33.62819103999999</v>
          </cell>
        </row>
        <row r="59">
          <cell r="T59">
            <v>62.006190773596401</v>
          </cell>
          <cell r="U59">
            <v>63.0967127500125</v>
          </cell>
          <cell r="X59">
            <v>20.1041003072298</v>
          </cell>
          <cell r="Y59">
            <v>22.477745675144696</v>
          </cell>
        </row>
        <row r="60">
          <cell r="T60">
            <v>-0.14756204868041323</v>
          </cell>
          <cell r="U60">
            <v>-9.8245224727492086E-2</v>
          </cell>
          <cell r="X60">
            <v>-2.9703236230815833E-2</v>
          </cell>
          <cell r="Y60">
            <v>-7.588880036768586E-2</v>
          </cell>
        </row>
        <row r="61">
          <cell r="T61">
            <v>20.955484950829003</v>
          </cell>
          <cell r="U61">
            <v>23.043483425064011</v>
          </cell>
          <cell r="X61">
            <v>12.812559507538992</v>
          </cell>
          <cell r="Y61">
            <v>10.023084043565021</v>
          </cell>
        </row>
        <row r="62">
          <cell r="T62">
            <v>172.7989853030453</v>
          </cell>
          <cell r="U62">
            <v>178.70413837697751</v>
          </cell>
          <cell r="X62">
            <v>58.516951041645086</v>
          </cell>
          <cell r="Y62">
            <v>60.26348724483671</v>
          </cell>
        </row>
        <row r="63">
          <cell r="T63">
            <v>116.29847717999999</v>
          </cell>
          <cell r="U63">
            <v>116.93383961000008</v>
          </cell>
          <cell r="X63">
            <v>35.754162399999984</v>
          </cell>
          <cell r="Y63">
            <v>37.21122499999997</v>
          </cell>
        </row>
        <row r="64">
          <cell r="T64">
            <v>50.466469769352905</v>
          </cell>
          <cell r="U64">
            <v>54.989322548932108</v>
          </cell>
          <cell r="X64">
            <v>15.608102023539494</v>
          </cell>
          <cell r="Y64">
            <v>17.349425843518524</v>
          </cell>
        </row>
        <row r="65">
          <cell r="T65">
            <v>12.257553995624368</v>
          </cell>
          <cell r="U65">
            <v>13.478925393847522</v>
          </cell>
          <cell r="X65">
            <v>9.4103749654209157</v>
          </cell>
          <cell r="Y65">
            <v>7.9426116006451428</v>
          </cell>
        </row>
        <row r="66">
          <cell r="T66">
            <v>-6.2235156419319662</v>
          </cell>
          <cell r="U66">
            <v>-6.6979491758021972</v>
          </cell>
          <cell r="X66">
            <v>-2.2556883473153087</v>
          </cell>
          <cell r="Y66">
            <v>-2.2397751993269273</v>
          </cell>
        </row>
        <row r="67">
          <cell r="T67">
            <v>31.978222092699699</v>
          </cell>
          <cell r="U67">
            <v>24.116898273371497</v>
          </cell>
          <cell r="X67">
            <v>10.283676066892898</v>
          </cell>
          <cell r="Y67">
            <v>5.7896447135052966</v>
          </cell>
        </row>
        <row r="68">
          <cell r="T68">
            <v>17.511360450000002</v>
          </cell>
          <cell r="U68">
            <v>12.101004579999898</v>
          </cell>
          <cell r="X68">
            <v>4.4401420500000039</v>
          </cell>
          <cell r="Y68">
            <v>4.1286999999998741E-2</v>
          </cell>
        </row>
        <row r="69">
          <cell r="T69">
            <v>14.392250432924</v>
          </cell>
          <cell r="U69">
            <v>13.537662046190501</v>
          </cell>
          <cell r="X69">
            <v>5.4007087302097094</v>
          </cell>
          <cell r="Y69">
            <v>6.4676875546611905</v>
          </cell>
        </row>
        <row r="70">
          <cell r="T70">
            <v>7.4611209775432202E-2</v>
          </cell>
          <cell r="U70">
            <v>-1.5217683528186201</v>
          </cell>
          <cell r="X70">
            <v>0.44282528668283416</v>
          </cell>
          <cell r="Y70">
            <v>-0.71932984115559118</v>
          </cell>
        </row>
        <row r="71">
          <cell r="T71">
            <v>2.6592616997334062E-13</v>
          </cell>
          <cell r="U71">
            <v>-2.8266278206956486E-13</v>
          </cell>
          <cell r="X71">
            <v>3.5058067560100881E-13</v>
          </cell>
          <cell r="Y71">
            <v>-3.0142555118573E-13</v>
          </cell>
        </row>
        <row r="72">
          <cell r="T72">
            <v>0.15616104203872527</v>
          </cell>
          <cell r="U72">
            <v>0.11890728235921379</v>
          </cell>
          <cell r="X72">
            <v>0.14947067343833439</v>
          </cell>
          <cell r="Y72">
            <v>8.765132767900656E-2</v>
          </cell>
        </row>
        <row r="73">
          <cell r="T73">
            <v>24.692249248669199</v>
          </cell>
          <cell r="U73">
            <v>15.761782557076966</v>
          </cell>
          <cell r="X73">
            <v>7.9401448720239998</v>
          </cell>
          <cell r="Y73">
            <v>3.5511345305754425</v>
          </cell>
        </row>
        <row r="74">
          <cell r="T74">
            <v>13.209944300000101</v>
          </cell>
          <cell r="U74">
            <v>7.8312348899998998</v>
          </cell>
          <cell r="X74">
            <v>2.8922196400001035</v>
          </cell>
          <cell r="Y74">
            <v>-1.43666144</v>
          </cell>
        </row>
        <row r="75">
          <cell r="T75">
            <v>11.802454299018001</v>
          </cell>
          <cell r="U75">
            <v>9.8852484344537661</v>
          </cell>
          <cell r="X75">
            <v>4.6161332466632805</v>
          </cell>
          <cell r="Y75">
            <v>5.7542537710480319</v>
          </cell>
        </row>
        <row r="76">
          <cell r="T76">
            <v>0.107680649651046</v>
          </cell>
          <cell r="U76">
            <v>-1.9547007673768402</v>
          </cell>
          <cell r="X76">
            <v>0.43079198536063401</v>
          </cell>
          <cell r="Y76">
            <v>-0.76645780047268008</v>
          </cell>
        </row>
        <row r="77">
          <cell r="T77">
            <v>-0.42782999999994858</v>
          </cell>
          <cell r="U77">
            <v>1.4033219031261979E-13</v>
          </cell>
          <cell r="X77">
            <v>9.9999999998179323E-4</v>
          </cell>
          <cell r="Y77">
            <v>9.0594198809412774E-14</v>
          </cell>
        </row>
        <row r="78">
          <cell r="T78">
            <v>0.12058104299151738</v>
          </cell>
          <cell r="X78">
            <v>0.11540803050381859</v>
          </cell>
        </row>
        <row r="86">
          <cell r="T86">
            <v>-1.3187093254289939</v>
          </cell>
          <cell r="U86">
            <v>0</v>
          </cell>
          <cell r="X86">
            <v>-1.3187093254289939</v>
          </cell>
          <cell r="Y86">
            <v>0</v>
          </cell>
        </row>
        <row r="92">
          <cell r="T92">
            <v>-7.6322561430310918</v>
          </cell>
          <cell r="U92">
            <v>-4.34975599277898</v>
          </cell>
          <cell r="X92">
            <v>-1.1152320910489619</v>
          </cell>
          <cell r="Y92">
            <v>-0.66369020263551981</v>
          </cell>
        </row>
        <row r="93">
          <cell r="T93">
            <v>-6.0106239631954264</v>
          </cell>
          <cell r="U93">
            <v>-4.34975599277898</v>
          </cell>
          <cell r="X93">
            <v>0.50640008878670351</v>
          </cell>
          <cell r="Y93">
            <v>-0.66369020263551981</v>
          </cell>
        </row>
        <row r="98">
          <cell r="T98">
            <v>-3.5977344910629427E-2</v>
          </cell>
          <cell r="U98">
            <v>0</v>
          </cell>
          <cell r="X98">
            <v>-3.5977344910629427E-2</v>
          </cell>
          <cell r="Y98">
            <v>0</v>
          </cell>
        </row>
        <row r="99">
          <cell r="T99">
            <v>0</v>
          </cell>
          <cell r="U99">
            <v>0</v>
          </cell>
          <cell r="X99">
            <v>0</v>
          </cell>
          <cell r="Y99">
            <v>0</v>
          </cell>
        </row>
        <row r="113">
          <cell r="T113">
            <v>31.978222092699699</v>
          </cell>
          <cell r="U113">
            <v>24.116898273371497</v>
          </cell>
          <cell r="X113">
            <v>10.283676066892898</v>
          </cell>
          <cell r="Y113">
            <v>5.7896447135052966</v>
          </cell>
        </row>
        <row r="114">
          <cell r="T114">
            <v>6.458582988568498</v>
          </cell>
          <cell r="U114">
            <v>4.3497559927789808</v>
          </cell>
          <cell r="X114">
            <v>-5.8761023413630653E-2</v>
          </cell>
          <cell r="Y114">
            <v>0.66330383647238023</v>
          </cell>
        </row>
        <row r="115">
          <cell r="T115">
            <v>38.436805081268197</v>
          </cell>
          <cell r="U115">
            <v>28.466654266150478</v>
          </cell>
          <cell r="X115">
            <v>10.224915043479267</v>
          </cell>
          <cell r="Y115">
            <v>6.4529485499776769</v>
          </cell>
        </row>
        <row r="116">
          <cell r="T116">
            <v>6.0135527622808507</v>
          </cell>
          <cell r="U116">
            <v>5.9302483477215997</v>
          </cell>
          <cell r="X116">
            <v>1.9785682621853304</v>
          </cell>
          <cell r="Y116">
            <v>1.9560075014050993</v>
          </cell>
        </row>
        <row r="117">
          <cell r="T117">
            <v>1.3381310717495001</v>
          </cell>
          <cell r="U117">
            <v>1.37619851587793</v>
          </cell>
          <cell r="X117">
            <v>0.4061773626832651</v>
          </cell>
          <cell r="Y117">
            <v>0.33849957152511001</v>
          </cell>
        </row>
        <row r="118">
          <cell r="T118">
            <v>-2.9733645089220273E-2</v>
          </cell>
          <cell r="U118">
            <v>1.0486688526950048</v>
          </cell>
          <cell r="X118">
            <v>-5.2370850890629539E-3</v>
          </cell>
          <cell r="Y118">
            <v>-5.599689000035335E-2</v>
          </cell>
        </row>
        <row r="119">
          <cell r="T119">
            <v>31.114854892327067</v>
          </cell>
          <cell r="U119">
            <v>20.111538549855943</v>
          </cell>
          <cell r="X119">
            <v>7.8454065036997349</v>
          </cell>
          <cell r="Y119">
            <v>4.2144383670478209</v>
          </cell>
        </row>
      </sheetData>
      <sheetData sheetId="4">
        <row r="10">
          <cell r="T10">
            <v>144.90139858759801</v>
          </cell>
          <cell r="U10">
            <v>157.42095472154497</v>
          </cell>
          <cell r="X10">
            <v>44.644046409705012</v>
          </cell>
          <cell r="Y10">
            <v>48.367039217277977</v>
          </cell>
        </row>
        <row r="11">
          <cell r="T11">
            <v>71.678472599159306</v>
          </cell>
          <cell r="U11">
            <v>71.670896436666197</v>
          </cell>
          <cell r="X11">
            <v>21.856112694577305</v>
          </cell>
          <cell r="Y11">
            <v>20.588127793300394</v>
          </cell>
        </row>
        <row r="12">
          <cell r="T12">
            <v>52.392342247532099</v>
          </cell>
          <cell r="U12">
            <v>60.448018888632106</v>
          </cell>
          <cell r="X12">
            <v>17.173803822758501</v>
          </cell>
          <cell r="Y12">
            <v>20.236591508744809</v>
          </cell>
        </row>
        <row r="13">
          <cell r="T13">
            <v>20.830583740906604</v>
          </cell>
          <cell r="U13">
            <v>25.30203939624667</v>
          </cell>
          <cell r="X13">
            <v>5.6141298923692062</v>
          </cell>
          <cell r="Y13">
            <v>7.542319915232774</v>
          </cell>
        </row>
        <row r="14">
          <cell r="T14">
            <v>3.3028916525798699</v>
          </cell>
          <cell r="U14">
            <v>4.5127304994734292</v>
          </cell>
          <cell r="X14">
            <v>-0.7036566008805929</v>
          </cell>
          <cell r="Y14">
            <v>-1.4468070873487004</v>
          </cell>
        </row>
        <row r="15">
          <cell r="T15">
            <v>2.2794063306318987E-2</v>
          </cell>
          <cell r="U15">
            <v>2.8666644205377869E-2</v>
          </cell>
          <cell r="X15">
            <v>-1.5761487980346409E-2</v>
          </cell>
          <cell r="Y15">
            <v>-2.9913079459944758E-2</v>
          </cell>
        </row>
        <row r="16">
          <cell r="T16">
            <v>-0.91030899902052986</v>
          </cell>
          <cell r="U16">
            <v>-2.0758564053690307</v>
          </cell>
          <cell r="X16">
            <v>-1.8273800387461501</v>
          </cell>
          <cell r="Y16">
            <v>-3.4278298778325831</v>
          </cell>
        </row>
        <row r="17">
          <cell r="T17">
            <v>-6.2822650981537347E-3</v>
          </cell>
          <cell r="U17">
            <v>-1.3186658720504663E-2</v>
          </cell>
          <cell r="X17">
            <v>-4.0932222450805945E-2</v>
          </cell>
          <cell r="Y17">
            <v>-7.0871195204524159E-2</v>
          </cell>
        </row>
        <row r="22">
          <cell r="T22">
            <v>144.90139858759801</v>
          </cell>
          <cell r="U22">
            <v>157.42095472154497</v>
          </cell>
          <cell r="X22">
            <v>44.644046409705012</v>
          </cell>
          <cell r="Y22">
            <v>48.367039217277977</v>
          </cell>
        </row>
        <row r="23">
          <cell r="T23">
            <v>71.678472599159306</v>
          </cell>
          <cell r="U23">
            <v>71.670896436666197</v>
          </cell>
          <cell r="X23">
            <v>21.856112694577305</v>
          </cell>
          <cell r="Y23">
            <v>20.588127793300394</v>
          </cell>
        </row>
        <row r="24">
          <cell r="T24">
            <v>52.392342247532099</v>
          </cell>
          <cell r="U24">
            <v>60.448018888632106</v>
          </cell>
          <cell r="X24">
            <v>17.173803822758501</v>
          </cell>
          <cell r="Y24">
            <v>20.236591508744809</v>
          </cell>
        </row>
        <row r="25">
          <cell r="T25">
            <v>20.830583740906604</v>
          </cell>
          <cell r="U25">
            <v>25.30203939624667</v>
          </cell>
          <cell r="X25">
            <v>5.6141298923692062</v>
          </cell>
          <cell r="Y25">
            <v>7.542319915232774</v>
          </cell>
        </row>
        <row r="26">
          <cell r="T26">
            <v>146.73477304481239</v>
          </cell>
          <cell r="U26">
            <v>155.47576795079669</v>
          </cell>
          <cell r="X26">
            <v>45.726688538934795</v>
          </cell>
          <cell r="Y26">
            <v>50.07876668335183</v>
          </cell>
        </row>
        <row r="27">
          <cell r="T27">
            <v>-1.83337445721437</v>
          </cell>
          <cell r="U27">
            <v>1.94518677074827</v>
          </cell>
          <cell r="X27">
            <v>-1.0826421292297721</v>
          </cell>
          <cell r="Y27">
            <v>-1.7117274660738599</v>
          </cell>
        </row>
        <row r="28">
          <cell r="T28">
            <v>-1.2652565641773502E-2</v>
          </cell>
          <cell r="U28">
            <v>1.2356593657998235E-2</v>
          </cell>
          <cell r="X28">
            <v>-2.4250537670671812E-2</v>
          </cell>
          <cell r="Y28">
            <v>-3.539037108275972E-2</v>
          </cell>
        </row>
        <row r="29">
          <cell r="T29">
            <v>-6.0465751088147703</v>
          </cell>
          <cell r="U29">
            <v>-4.6434001340941906</v>
          </cell>
          <cell r="X29">
            <v>-2.2063655670953302</v>
          </cell>
          <cell r="Y29">
            <v>-3.6927502565577432</v>
          </cell>
        </row>
        <row r="30">
          <cell r="T30">
            <v>-4.1728894046246232E-2</v>
          </cell>
          <cell r="U30">
            <v>-2.9496709267884301E-2</v>
          </cell>
          <cell r="X30">
            <v>-4.9421272141131366E-2</v>
          </cell>
          <cell r="Y30">
            <v>-7.6348486827339135E-2</v>
          </cell>
        </row>
        <row r="38">
          <cell r="T38">
            <v>0</v>
          </cell>
          <cell r="U38">
            <v>0</v>
          </cell>
          <cell r="X38">
            <v>0</v>
          </cell>
          <cell r="Y38">
            <v>0</v>
          </cell>
        </row>
        <row r="44">
          <cell r="T44">
            <v>-5.1362661097942404</v>
          </cell>
          <cell r="U44">
            <v>-2.5675437287251599</v>
          </cell>
          <cell r="X44">
            <v>-0.37933327834918096</v>
          </cell>
          <cell r="Y44">
            <v>-0.26492037872516017</v>
          </cell>
        </row>
        <row r="45">
          <cell r="T45">
            <v>-5.1362661097942404</v>
          </cell>
          <cell r="U45">
            <v>-2.5675437287251599</v>
          </cell>
          <cell r="X45">
            <v>-0.37933327834918096</v>
          </cell>
          <cell r="Y45">
            <v>-0.26492037872516017</v>
          </cell>
        </row>
        <row r="50">
          <cell r="T50">
            <v>0</v>
          </cell>
          <cell r="U50">
            <v>0</v>
          </cell>
          <cell r="X50">
            <v>0</v>
          </cell>
          <cell r="Y50">
            <v>0</v>
          </cell>
        </row>
        <row r="51">
          <cell r="T51">
            <v>0</v>
          </cell>
          <cell r="U51">
            <v>0</v>
          </cell>
        </row>
        <row r="65">
          <cell r="T65">
            <v>-1.83337445721437</v>
          </cell>
          <cell r="U65">
            <v>1.94518677074827</v>
          </cell>
          <cell r="X65">
            <v>-1.0826421292297721</v>
          </cell>
          <cell r="Y65">
            <v>-1.7117274660738599</v>
          </cell>
        </row>
        <row r="66">
          <cell r="T66">
            <v>5.1362661097942404</v>
          </cell>
          <cell r="U66">
            <v>2.567543728725159</v>
          </cell>
          <cell r="X66">
            <v>0.37898552834917965</v>
          </cell>
          <cell r="Y66">
            <v>0.26492037872515928</v>
          </cell>
        </row>
        <row r="67">
          <cell r="T67">
            <v>3.3028916525798699</v>
          </cell>
          <cell r="U67">
            <v>4.5127304994734292</v>
          </cell>
          <cell r="X67">
            <v>-0.7036566008805929</v>
          </cell>
          <cell r="Y67">
            <v>-1.4468070873487004</v>
          </cell>
        </row>
        <row r="68">
          <cell r="T68">
            <v>3.2005625541565799</v>
          </cell>
          <cell r="U68">
            <v>5.6780267827789599</v>
          </cell>
          <cell r="X68">
            <v>1.1093551084102198</v>
          </cell>
          <cell r="Y68">
            <v>1.9119799724892901</v>
          </cell>
        </row>
        <row r="69">
          <cell r="T69">
            <v>1.0125765387650401</v>
          </cell>
          <cell r="U69">
            <v>0.90893530041822101</v>
          </cell>
          <cell r="X69">
            <v>1.4306770776581046E-2</v>
          </cell>
          <cell r="Y69">
            <v>6.8546811550025066E-2</v>
          </cell>
        </row>
        <row r="70">
          <cell r="T70">
            <v>6.155867877999377E-5</v>
          </cell>
          <cell r="U70">
            <v>1.6248216452789954E-3</v>
          </cell>
          <cell r="X70">
            <v>6.1558678756346019E-5</v>
          </cell>
          <cell r="Y70">
            <v>4.9600644456704313E-4</v>
          </cell>
        </row>
        <row r="71">
          <cell r="T71">
            <v>-0.91030899902052986</v>
          </cell>
          <cell r="U71">
            <v>-2.0758564053690307</v>
          </cell>
          <cell r="X71">
            <v>-1.8273800387461501</v>
          </cell>
          <cell r="Y71">
            <v>-3.4278298778325831</v>
          </cell>
        </row>
      </sheetData>
      <sheetData sheetId="5">
        <row r="10">
          <cell r="T10">
            <v>126.00252077</v>
          </cell>
          <cell r="U10">
            <v>115.30804198999999</v>
          </cell>
          <cell r="X10">
            <v>39.126658800000001</v>
          </cell>
          <cell r="Y10">
            <v>36.27468180999999</v>
          </cell>
        </row>
        <row r="11">
          <cell r="T11">
            <v>84.548098809999999</v>
          </cell>
          <cell r="U11">
            <v>82.988945519999987</v>
          </cell>
          <cell r="X11">
            <v>25.948322129999994</v>
          </cell>
          <cell r="Y11">
            <v>25.887452199999984</v>
          </cell>
        </row>
        <row r="12">
          <cell r="T12">
            <v>41.454421960000005</v>
          </cell>
          <cell r="U12">
            <v>32.319096470000005</v>
          </cell>
          <cell r="X12">
            <v>13.178336670000007</v>
          </cell>
          <cell r="Y12">
            <v>10.387229610000006</v>
          </cell>
        </row>
        <row r="13">
          <cell r="T13">
            <v>25.1193108163313</v>
          </cell>
          <cell r="U13">
            <v>23.7783681829284</v>
          </cell>
          <cell r="X13">
            <v>5.1927420046801984</v>
          </cell>
          <cell r="Y13">
            <v>5.5187221523706</v>
          </cell>
        </row>
        <row r="14">
          <cell r="T14">
            <v>0.1993556213227122</v>
          </cell>
          <cell r="U14">
            <v>0.20621604332671403</v>
          </cell>
          <cell r="X14">
            <v>0.13271621354696911</v>
          </cell>
          <cell r="Y14">
            <v>0.1521370244204108</v>
          </cell>
        </row>
        <row r="15">
          <cell r="T15">
            <v>20.098867016331301</v>
          </cell>
          <cell r="U15">
            <v>17.8775594329284</v>
          </cell>
          <cell r="X15">
            <v>3.3471376046801993</v>
          </cell>
          <cell r="Y15">
            <v>3.5513505023706013</v>
          </cell>
        </row>
        <row r="16">
          <cell r="T16">
            <v>0.15951162638261004</v>
          </cell>
          <cell r="U16">
            <v>0.15504173971212537</v>
          </cell>
          <cell r="X16">
            <v>8.5546215990213795E-2</v>
          </cell>
          <cell r="Y16">
            <v>9.7901630701322545E-2</v>
          </cell>
        </row>
        <row r="21">
          <cell r="T21">
            <v>118.25952077000001</v>
          </cell>
          <cell r="U21">
            <v>115.30804198999999</v>
          </cell>
          <cell r="X21">
            <v>36.335658800000004</v>
          </cell>
          <cell r="Y21">
            <v>36.27468180999999</v>
          </cell>
        </row>
        <row r="22">
          <cell r="T22">
            <v>84.548098809999999</v>
          </cell>
          <cell r="U22">
            <v>82.988945519999987</v>
          </cell>
          <cell r="X22">
            <v>25.948322129999994</v>
          </cell>
          <cell r="Y22">
            <v>25.887452199999984</v>
          </cell>
        </row>
        <row r="23">
          <cell r="T23">
            <v>33.71142196000001</v>
          </cell>
          <cell r="U23">
            <v>32.319096470000005</v>
          </cell>
          <cell r="X23">
            <v>10.38733667000001</v>
          </cell>
          <cell r="Y23">
            <v>10.387229610000006</v>
          </cell>
        </row>
        <row r="24">
          <cell r="T24">
            <v>93.140209953668716</v>
          </cell>
          <cell r="U24">
            <v>91.529673807071589</v>
          </cell>
          <cell r="X24">
            <v>31.142916795319813</v>
          </cell>
          <cell r="Y24">
            <v>30.75595965762939</v>
          </cell>
        </row>
        <row r="25">
          <cell r="T25">
            <v>25.1193108163313</v>
          </cell>
          <cell r="U25">
            <v>23.7783681829284</v>
          </cell>
          <cell r="X25">
            <v>5.1927420046801984</v>
          </cell>
          <cell r="Y25">
            <v>5.5187221523706</v>
          </cell>
        </row>
        <row r="26">
          <cell r="T26">
            <v>0.21240835962108473</v>
          </cell>
          <cell r="U26">
            <v>0.20621604332671403</v>
          </cell>
          <cell r="X26">
            <v>0.14291035792861964</v>
          </cell>
          <cell r="Y26">
            <v>0.1521370244204108</v>
          </cell>
        </row>
        <row r="27">
          <cell r="T27">
            <v>20.098867016331301</v>
          </cell>
          <cell r="U27">
            <v>17.8775594329284</v>
          </cell>
          <cell r="X27">
            <v>3.3471376046801993</v>
          </cell>
          <cell r="Y27">
            <v>3.5513505023706013</v>
          </cell>
        </row>
        <row r="28">
          <cell r="T28">
            <v>0.16995559330416268</v>
          </cell>
          <cell r="U28">
            <v>0.15504173971212537</v>
          </cell>
          <cell r="X28">
            <v>9.2117157503697131E-2</v>
          </cell>
          <cell r="Y28">
            <v>9.7901630701322545E-2</v>
          </cell>
        </row>
        <row r="33">
          <cell r="T33">
            <v>126.00252077</v>
          </cell>
          <cell r="U33">
            <v>115.30804198999999</v>
          </cell>
          <cell r="X33">
            <v>39.126658800000001</v>
          </cell>
          <cell r="Y33">
            <v>36.27468180999999</v>
          </cell>
        </row>
        <row r="34">
          <cell r="T34">
            <v>84.548098809999999</v>
          </cell>
          <cell r="U34">
            <v>82.988945519999987</v>
          </cell>
          <cell r="X34">
            <v>25.948322129999994</v>
          </cell>
          <cell r="Y34">
            <v>25.887452199999984</v>
          </cell>
        </row>
        <row r="35">
          <cell r="T35">
            <v>41.454421960000005</v>
          </cell>
          <cell r="U35">
            <v>32.319096470000005</v>
          </cell>
          <cell r="X35">
            <v>13.178336670000007</v>
          </cell>
          <cell r="Y35">
            <v>10.387229610000006</v>
          </cell>
        </row>
        <row r="36">
          <cell r="T36">
            <v>101.44123389366871</v>
          </cell>
          <cell r="U36">
            <v>92.446845897071597</v>
          </cell>
          <cell r="X36">
            <v>34.138929825319806</v>
          </cell>
          <cell r="Y36">
            <v>30.840065057629396</v>
          </cell>
        </row>
        <row r="37">
          <cell r="T37">
            <v>24.561286876331302</v>
          </cell>
          <cell r="U37">
            <v>22.861196092928399</v>
          </cell>
          <cell r="X37">
            <v>4.987728974680202</v>
          </cell>
          <cell r="Y37">
            <v>5.4346167523705979</v>
          </cell>
        </row>
        <row r="38">
          <cell r="T38">
            <v>0.19492694849466147</v>
          </cell>
          <cell r="U38">
            <v>0.19826193991665403</v>
          </cell>
          <cell r="X38">
            <v>0.12747648604946052</v>
          </cell>
          <cell r="Y38">
            <v>0.14981845411728503</v>
          </cell>
        </row>
        <row r="39">
          <cell r="T39">
            <v>19.540843076331299</v>
          </cell>
          <cell r="U39">
            <v>16.960387342928399</v>
          </cell>
          <cell r="X39">
            <v>3.1421245746801993</v>
          </cell>
          <cell r="Y39">
            <v>3.4672451023705992</v>
          </cell>
        </row>
        <row r="40">
          <cell r="T40">
            <v>0.15508295355455926</v>
          </cell>
          <cell r="U40">
            <v>0.14708763630206537</v>
          </cell>
          <cell r="X40">
            <v>8.0306488492705108E-2</v>
          </cell>
          <cell r="Y40">
            <v>9.5583060398196779E-2</v>
          </cell>
        </row>
        <row r="48">
          <cell r="T48">
            <v>0</v>
          </cell>
          <cell r="U48">
            <v>0</v>
          </cell>
          <cell r="X48">
            <v>0</v>
          </cell>
          <cell r="Y48">
            <v>0</v>
          </cell>
        </row>
        <row r="54">
          <cell r="T54">
            <v>-0.55802393999999822</v>
          </cell>
          <cell r="U54">
            <v>-0.91717209000000111</v>
          </cell>
          <cell r="X54">
            <v>-0.20501302999999638</v>
          </cell>
          <cell r="Y54">
            <v>-8.4105400000002106E-2</v>
          </cell>
        </row>
        <row r="55">
          <cell r="T55">
            <v>-0.55802393999999822</v>
          </cell>
          <cell r="U55">
            <v>-0.91717209000000111</v>
          </cell>
          <cell r="X55">
            <v>-0.20501302999999638</v>
          </cell>
          <cell r="Y55">
            <v>-8.4105400000002106E-2</v>
          </cell>
        </row>
        <row r="60">
          <cell r="T60">
            <v>0</v>
          </cell>
          <cell r="U60">
            <v>0</v>
          </cell>
          <cell r="X60">
            <v>0</v>
          </cell>
          <cell r="Y60">
            <v>0</v>
          </cell>
        </row>
        <row r="75">
          <cell r="T75">
            <v>24.561286876331302</v>
          </cell>
          <cell r="U75">
            <v>22.861196092928399</v>
          </cell>
          <cell r="X75">
            <v>4.987728974680202</v>
          </cell>
          <cell r="Y75">
            <v>5.4346167523705979</v>
          </cell>
        </row>
        <row r="76">
          <cell r="T76">
            <v>0.55802393999999822</v>
          </cell>
          <cell r="U76">
            <v>0.91717209000000111</v>
          </cell>
          <cell r="X76">
            <v>0.20501302999999638</v>
          </cell>
          <cell r="Y76">
            <v>8.4105400000002106E-2</v>
          </cell>
        </row>
        <row r="77">
          <cell r="T77">
            <v>25.1193108163313</v>
          </cell>
          <cell r="U77">
            <v>23.7783681829284</v>
          </cell>
          <cell r="X77">
            <v>5.1927420046801984</v>
          </cell>
          <cell r="Y77">
            <v>5.5187221523706</v>
          </cell>
        </row>
        <row r="78">
          <cell r="T78">
            <v>4.9495881099999997</v>
          </cell>
          <cell r="U78">
            <v>5.7846811300000001</v>
          </cell>
          <cell r="X78">
            <v>1.9213084999999994</v>
          </cell>
          <cell r="Y78">
            <v>1.9467319700000001</v>
          </cell>
        </row>
        <row r="79">
          <cell r="T79">
            <v>7.0855689999999999E-2</v>
          </cell>
          <cell r="U79">
            <v>0.11612761999999999</v>
          </cell>
          <cell r="X79">
            <v>-7.5704099999999996E-2</v>
          </cell>
          <cell r="Y79">
            <v>2.0639679999999994E-2</v>
          </cell>
        </row>
        <row r="80">
          <cell r="T80">
            <v>-7.4940054162198066E-16</v>
          </cell>
          <cell r="U80">
            <v>-5.5511151231257827E-16</v>
          </cell>
          <cell r="X80">
            <v>-2.7755575615628914E-16</v>
          </cell>
          <cell r="Y80">
            <v>-1.3877787807814457E-15</v>
          </cell>
        </row>
        <row r="81">
          <cell r="T81">
            <v>20.098867016331301</v>
          </cell>
          <cell r="U81">
            <v>17.8775594329284</v>
          </cell>
          <cell r="X81">
            <v>3.3471376046801993</v>
          </cell>
          <cell r="Y81">
            <v>3.5513505023706013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A9904-2B99-41A6-93FA-D32546DDBA87}">
  <dimension ref="A2:BM194"/>
  <sheetViews>
    <sheetView tabSelected="1" workbookViewId="0"/>
  </sheetViews>
  <sheetFormatPr baseColWidth="10" defaultRowHeight="12.75"/>
  <cols>
    <col min="1" max="1" width="6.5703125" style="1" bestFit="1" customWidth="1"/>
    <col min="2" max="3" width="11.42578125" style="1"/>
    <col min="4" max="4" width="48.7109375" style="1" customWidth="1"/>
    <col min="5" max="5" width="1" style="1" customWidth="1"/>
    <col min="6" max="8" width="11.42578125" style="1"/>
    <col min="9" max="9" width="6.85546875" style="1" customWidth="1"/>
    <col min="10" max="10" width="0.85546875" style="1" customWidth="1"/>
    <col min="11" max="13" width="11.42578125" style="1"/>
    <col min="14" max="14" width="7.140625" style="1" customWidth="1"/>
    <col min="15" max="16" width="11.42578125" style="1"/>
    <col min="17" max="17" width="48.7109375" style="1" customWidth="1"/>
    <col min="18" max="18" width="0.85546875" style="1" customWidth="1"/>
    <col min="19" max="21" width="11.42578125" style="1"/>
    <col min="22" max="22" width="6.85546875" style="1" customWidth="1"/>
    <col min="23" max="23" width="0.85546875" style="1" customWidth="1"/>
    <col min="24" max="26" width="11.42578125" style="1"/>
    <col min="27" max="27" width="7.140625" style="1" customWidth="1"/>
    <col min="28" max="29" width="11.42578125" style="1"/>
    <col min="30" max="30" width="48.7109375" style="1" customWidth="1"/>
    <col min="31" max="31" width="0.85546875" style="1" customWidth="1"/>
    <col min="32" max="34" width="11.42578125" style="1"/>
    <col min="35" max="35" width="6.85546875" style="1" customWidth="1"/>
    <col min="36" max="36" width="0.85546875" style="1" customWidth="1"/>
    <col min="37" max="39" width="11.42578125" style="1"/>
    <col min="40" max="40" width="7.140625" style="1" customWidth="1"/>
    <col min="41" max="42" width="11.42578125" style="1"/>
    <col min="43" max="43" width="48.7109375" style="1" customWidth="1"/>
    <col min="44" max="44" width="0.85546875" style="1" customWidth="1"/>
    <col min="45" max="47" width="11.42578125" style="1"/>
    <col min="48" max="48" width="6.85546875" style="1" customWidth="1"/>
    <col min="49" max="49" width="0.85546875" style="1" customWidth="1"/>
    <col min="50" max="52" width="11.42578125" style="1"/>
    <col min="53" max="53" width="7.140625" style="1" customWidth="1"/>
    <col min="54" max="55" width="11.42578125" style="1"/>
    <col min="56" max="56" width="48.7109375" style="1" customWidth="1"/>
    <col min="57" max="57" width="0.85546875" style="1" customWidth="1"/>
    <col min="58" max="60" width="11.42578125" style="1"/>
    <col min="61" max="61" width="6.85546875" style="1" customWidth="1"/>
    <col min="62" max="62" width="0.85546875" style="1" customWidth="1"/>
    <col min="63" max="16384" width="11.42578125" style="1"/>
  </cols>
  <sheetData>
    <row r="2" spans="1:65" ht="13.5" thickBot="1"/>
    <row r="3" spans="1:65" ht="16.5" thickBot="1">
      <c r="A3" s="1" t="s">
        <v>0</v>
      </c>
      <c r="B3" s="2" t="s">
        <v>1</v>
      </c>
      <c r="D3" s="3" t="str">
        <f>+IF($B$3="esp","GRUPO","GROUP")</f>
        <v>GROUP</v>
      </c>
      <c r="E3" s="4"/>
      <c r="F3" s="4"/>
      <c r="G3" s="5"/>
      <c r="H3" s="4"/>
      <c r="K3" s="4"/>
      <c r="L3" s="5"/>
      <c r="M3" s="4"/>
      <c r="Q3" s="3" t="str">
        <f>+IF($B$3="esp","EDUCACIÓN","EDUCATION")</f>
        <v>EDUCATION</v>
      </c>
      <c r="R3" s="4"/>
      <c r="S3" s="4"/>
      <c r="T3" s="5"/>
      <c r="U3" s="4"/>
      <c r="X3" s="4"/>
      <c r="Y3" s="5"/>
      <c r="Z3" s="4"/>
      <c r="AD3" s="3" t="str">
        <f>+IF($B$3="esp","RADIO","RADIO")</f>
        <v>RADIO</v>
      </c>
      <c r="AE3" s="4"/>
      <c r="AF3" s="4"/>
      <c r="AG3" s="5"/>
      <c r="AH3" s="4"/>
      <c r="AK3" s="4"/>
      <c r="AL3" s="5"/>
      <c r="AM3" s="4"/>
      <c r="AQ3" s="3" t="str">
        <f>+IF($B$3="esp","PRENSA","PRESS")</f>
        <v>PRESS</v>
      </c>
      <c r="AR3" s="4"/>
      <c r="AS3" s="4"/>
      <c r="AT3" s="5"/>
      <c r="AU3" s="4"/>
      <c r="AX3" s="4"/>
      <c r="AY3" s="5"/>
      <c r="AZ3" s="4"/>
      <c r="BD3" s="3" t="str">
        <f>+IF($B$3="esp","MEDIA CAPITAL","MEDIA CAPITAL")</f>
        <v>MEDIA CAPITAL</v>
      </c>
      <c r="BE3" s="4"/>
      <c r="BF3" s="4"/>
      <c r="BG3" s="5"/>
      <c r="BH3" s="4"/>
      <c r="BK3" s="4"/>
      <c r="BL3" s="5"/>
      <c r="BM3" s="4"/>
    </row>
    <row r="4" spans="1:65">
      <c r="A4" s="1" t="s">
        <v>2</v>
      </c>
      <c r="B4" s="6" t="s">
        <v>3</v>
      </c>
    </row>
    <row r="5" spans="1:65">
      <c r="A5" s="1" t="s">
        <v>4</v>
      </c>
      <c r="B5" s="1" t="s">
        <v>1</v>
      </c>
    </row>
    <row r="6" spans="1:65">
      <c r="F6" s="7" t="str">
        <f>+IF($B$3="esp","ENERO - SEPTIEMBRE","JANUARY - SEPTEMBER")</f>
        <v>JANUARY - SEPTEMBER</v>
      </c>
      <c r="G6" s="8"/>
      <c r="H6" s="8"/>
      <c r="K6" s="7" t="str">
        <f>+IF($B$3="esp","JUNIO - SEPTIEMBRE","JUNE - SEPTEMBER")</f>
        <v>JUNE - SEPTEMBER</v>
      </c>
      <c r="L6" s="8"/>
      <c r="M6" s="8"/>
      <c r="S6" s="7" t="str">
        <f>+$F$6</f>
        <v>JANUARY - SEPTEMBER</v>
      </c>
      <c r="T6" s="8"/>
      <c r="U6" s="8"/>
      <c r="X6" s="7" t="str">
        <f>+K6</f>
        <v>JUNE - SEPTEMBER</v>
      </c>
      <c r="Y6" s="8"/>
      <c r="Z6" s="8"/>
      <c r="AF6" s="7" t="str">
        <f>+$F$6</f>
        <v>JANUARY - SEPTEMBER</v>
      </c>
      <c r="AG6" s="8"/>
      <c r="AH6" s="8"/>
      <c r="AK6" s="7" t="str">
        <f>+X6</f>
        <v>JUNE - SEPTEMBER</v>
      </c>
      <c r="AL6" s="8"/>
      <c r="AM6" s="8"/>
      <c r="AS6" s="7" t="str">
        <f>+$F$6</f>
        <v>JANUARY - SEPTEMBER</v>
      </c>
      <c r="AT6" s="8"/>
      <c r="AU6" s="8"/>
      <c r="AX6" s="7" t="str">
        <f>+AK6</f>
        <v>JUNE - SEPTEMBER</v>
      </c>
      <c r="AY6" s="8"/>
      <c r="AZ6" s="8"/>
      <c r="BF6" s="7" t="str">
        <f>+$F$6</f>
        <v>JANUARY - SEPTEMBER</v>
      </c>
      <c r="BG6" s="8"/>
      <c r="BH6" s="8"/>
      <c r="BK6" s="7" t="str">
        <f>+AX6</f>
        <v>JUNE - SEPTEMBER</v>
      </c>
      <c r="BL6" s="8"/>
      <c r="BM6" s="8"/>
    </row>
    <row r="8" spans="1:65">
      <c r="D8" s="9" t="str">
        <f>+IF($B$3="esp","Millones de €","€ Millions")</f>
        <v>€ Millions</v>
      </c>
      <c r="F8" s="10">
        <v>2018</v>
      </c>
      <c r="G8" s="10">
        <v>2017</v>
      </c>
      <c r="H8" s="10" t="str">
        <f>+IF($B$3="esp","Var.%","% Chg.")</f>
        <v>% Chg.</v>
      </c>
      <c r="K8" s="10">
        <v>2018</v>
      </c>
      <c r="L8" s="10">
        <v>2017</v>
      </c>
      <c r="M8" s="10" t="str">
        <f>+IF($B$3="esp","Var.%","% Chg.")</f>
        <v>% Chg.</v>
      </c>
      <c r="Q8" s="9" t="str">
        <f>+IF($B$3="esp","Millones de €","€ Millions")</f>
        <v>€ Millions</v>
      </c>
      <c r="S8" s="10">
        <v>2018</v>
      </c>
      <c r="T8" s="10">
        <v>2017</v>
      </c>
      <c r="U8" s="10" t="str">
        <f>+IF($B$3="esp","Var.%","% Chg.")</f>
        <v>% Chg.</v>
      </c>
      <c r="X8" s="10">
        <v>2018</v>
      </c>
      <c r="Y8" s="10">
        <v>2017</v>
      </c>
      <c r="Z8" s="10" t="str">
        <f>+IF($B$3="esp","Var.%","% Chg.")</f>
        <v>% Chg.</v>
      </c>
      <c r="AD8" s="9" t="str">
        <f>+IF($B$3="esp","Millones de €","€ Millions")</f>
        <v>€ Millions</v>
      </c>
      <c r="AF8" s="10">
        <v>2018</v>
      </c>
      <c r="AG8" s="10">
        <v>2017</v>
      </c>
      <c r="AH8" s="10" t="str">
        <f>+IF($B$3="esp","Var.%","% Chg.")</f>
        <v>% Chg.</v>
      </c>
      <c r="AK8" s="10">
        <v>2018</v>
      </c>
      <c r="AL8" s="10">
        <v>2017</v>
      </c>
      <c r="AM8" s="10" t="str">
        <f>+IF($B$3="esp","Var.%","% Chg.")</f>
        <v>% Chg.</v>
      </c>
      <c r="AQ8" s="9" t="str">
        <f>+IF($B$3="esp","Millones de €","€ Millions")</f>
        <v>€ Millions</v>
      </c>
      <c r="AS8" s="10">
        <v>2018</v>
      </c>
      <c r="AT8" s="10">
        <v>2017</v>
      </c>
      <c r="AU8" s="10" t="str">
        <f>+IF($B$3="esp","Var.%","% Chg.")</f>
        <v>% Chg.</v>
      </c>
      <c r="AX8" s="10">
        <v>2018</v>
      </c>
      <c r="AY8" s="10">
        <v>2017</v>
      </c>
      <c r="AZ8" s="10" t="str">
        <f>+IF($B$3="esp","Var.%","% Chg.")</f>
        <v>% Chg.</v>
      </c>
      <c r="BD8" s="9" t="str">
        <f>+IF($B$3="esp","Millones de €","€ Millions")</f>
        <v>€ Millions</v>
      </c>
      <c r="BF8" s="10">
        <v>2018</v>
      </c>
      <c r="BG8" s="10">
        <v>2017</v>
      </c>
      <c r="BH8" s="10" t="str">
        <f>+IF($B$3="esp","Var.%","% Chg.")</f>
        <v>% Chg.</v>
      </c>
      <c r="BK8" s="10">
        <v>2018</v>
      </c>
      <c r="BL8" s="10">
        <v>2017</v>
      </c>
      <c r="BM8" s="10" t="str">
        <f>+IF($B$3="esp","Var.%","% Chg.")</f>
        <v>% Chg.</v>
      </c>
    </row>
    <row r="9" spans="1:65" ht="15.75" customHeight="1">
      <c r="D9" s="11" t="str">
        <f>+IF($B$3="esp","Resultados de Explotación Ajustados","Operating Adjusted Results")</f>
        <v>Operating Adjusted Results</v>
      </c>
      <c r="F9" s="12"/>
      <c r="G9" s="12"/>
      <c r="H9" s="12"/>
      <c r="K9" s="12"/>
      <c r="L9" s="12"/>
      <c r="M9" s="12"/>
      <c r="Q9" s="11" t="str">
        <f>+IF($B$3="esp","Resultados de Explotación Ajustados","Operating Adjusted Results")</f>
        <v>Operating Adjusted Results</v>
      </c>
      <c r="S9" s="12"/>
      <c r="T9" s="12"/>
      <c r="U9" s="12"/>
      <c r="X9" s="12"/>
      <c r="Y9" s="12"/>
      <c r="Z9" s="12"/>
      <c r="AD9" s="11" t="str">
        <f>+IF($B$3="esp","Resultados de Explotación Ajustados","Operating Adjusted Results")</f>
        <v>Operating Adjusted Results</v>
      </c>
      <c r="AF9" s="12"/>
      <c r="AG9" s="12"/>
      <c r="AH9" s="12"/>
      <c r="AK9" s="12"/>
      <c r="AL9" s="12"/>
      <c r="AM9" s="12"/>
      <c r="AQ9" s="11" t="str">
        <f>+IF($B$3="esp","Resultados de Explotación Ajustados","Operating Adjusted Results")</f>
        <v>Operating Adjusted Results</v>
      </c>
      <c r="AS9" s="12"/>
      <c r="AT9" s="12"/>
      <c r="AU9" s="12"/>
      <c r="AX9" s="12"/>
      <c r="AY9" s="12"/>
      <c r="AZ9" s="12"/>
      <c r="BD9" s="11" t="str">
        <f>+IF($B$3="esp","Resultados de Explotación Ajustados","Operating Adjusted Results")</f>
        <v>Operating Adjusted Results</v>
      </c>
      <c r="BF9" s="12"/>
      <c r="BG9" s="12"/>
      <c r="BH9" s="12"/>
      <c r="BJ9" s="12"/>
      <c r="BK9" s="12"/>
      <c r="BL9" s="12"/>
      <c r="BM9" s="12"/>
    </row>
    <row r="10" spans="1:65" s="13" customFormat="1" ht="15" customHeight="1">
      <c r="D10" s="13" t="str">
        <f>+IF($B$3="esp","Ingresos de Explotación Ajustados","Operating Adjusted Revenues")</f>
        <v>Operating Adjusted Revenues</v>
      </c>
      <c r="F10" s="14">
        <f>+[1]GRUPO!T10</f>
        <v>956.56642701606654</v>
      </c>
      <c r="G10" s="15">
        <f>+[1]GRUPO!U10</f>
        <v>994.81508180074729</v>
      </c>
      <c r="H10" s="16">
        <f t="shared" ref="H10:H19" si="0">IF(G10=0,"---",IF(OR(ABS((F10-G10)/ABS(G10))&gt;2,(F10*G10)&lt;0),"---",IF(G10="0","---",((F10-G10)/ABS(G10))*100)))</f>
        <v>-3.8448004543161542</v>
      </c>
      <c r="K10" s="14">
        <f>+[1]GRUPO!X10</f>
        <v>334.86046195715312</v>
      </c>
      <c r="L10" s="15">
        <f>+[1]GRUPO!Y10</f>
        <v>339.79072127746031</v>
      </c>
      <c r="M10" s="16">
        <f t="shared" ref="M10:M19" si="1">IF(L10=0,"---",IF(OR(ABS((K10-L10)/ABS(L10))&gt;2,(K10*L10)&lt;0),"---",IF(L10="0","---",((K10-L10)/ABS(L10))*100)))</f>
        <v>-1.450969379555636</v>
      </c>
      <c r="Q10" s="13" t="str">
        <f>+IF($B$3="esp","Ingresos de Explotación Ajustados","Operating Adjusted Revenues")</f>
        <v>Operating Adjusted Revenues</v>
      </c>
      <c r="S10" s="14">
        <f>+[1]SANTILLANA!T10</f>
        <v>473.67219236606445</v>
      </c>
      <c r="T10" s="15">
        <f>+[1]SANTILLANA!U10</f>
        <v>513.47072229197829</v>
      </c>
      <c r="U10" s="16">
        <f t="shared" ref="U10:U19" si="2">IF(T10=0,"---",IF(OR(ABS((S10-T10)/ABS(T10))&gt;2,(S10*T10)&lt;0),"---",IF(T10="0","---",((S10-T10)/ABS(T10))*100)))</f>
        <v>-7.7508859216481163</v>
      </c>
      <c r="X10" s="14">
        <f>+[1]SANTILLANA!X10</f>
        <v>179.71486221745698</v>
      </c>
      <c r="Y10" s="15">
        <f>+[1]SANTILLANA!Y10</f>
        <v>185.4492388622993</v>
      </c>
      <c r="Z10" s="16">
        <f t="shared" ref="Z10:Z19" si="3">IF(Y10=0,"---",IF(OR(ABS((X10-Y10)/ABS(Y10))&gt;2,(X10*Y10)&lt;0),"---",IF(Y10="0","---",((X10-Y10)/ABS(Y10))*100)))</f>
        <v>-3.0921543167401362</v>
      </c>
      <c r="AD10" s="13" t="str">
        <f>+IF($B$3="esp","Ingresos de Explotación","Operating Revenues")</f>
        <v>Operating Revenues</v>
      </c>
      <c r="AF10" s="14">
        <f>+[1]RADIO!T10</f>
        <v>206.09591672117401</v>
      </c>
      <c r="AG10" s="15">
        <f>+[1]RADIO!U10</f>
        <v>202.82103665034901</v>
      </c>
      <c r="AH10" s="16">
        <f t="shared" ref="AH10:AH20" si="4">IF(AG10=0,"---",IF(OR(ABS((AF10-AG10)/ABS(AG10))&gt;2,(AF10*AG10)&lt;0),"---",IF(AG10="0","---",((AF10-AG10)/ABS(AG10))*100)))</f>
        <v>1.6146648912315165</v>
      </c>
      <c r="AK10" s="14">
        <f>+[1]RADIO!X10</f>
        <v>70.119336433966993</v>
      </c>
      <c r="AL10" s="15">
        <f>+[1]RADIO!Y10</f>
        <v>66.053131958342021</v>
      </c>
      <c r="AM10" s="16">
        <f t="shared" ref="AM10:AM20" si="5">IF(AL10=0,"---",IF(OR(ABS((AK10-AL10)/ABS(AL10))&gt;2,(AK10*AL10)&lt;0),"---",IF(AL10="0","---",((AK10-AL10)/ABS(AL10))*100)))</f>
        <v>6.1559601415863519</v>
      </c>
      <c r="AQ10" s="13" t="str">
        <f>+IF($B$3="esp","Ingresos de Explotación","OperatingRevenues")</f>
        <v>OperatingRevenues</v>
      </c>
      <c r="AS10" s="14">
        <f>+[1]NOTICIAS!T10</f>
        <v>144.90139858759801</v>
      </c>
      <c r="AT10" s="15">
        <f>+[1]NOTICIAS!U10</f>
        <v>157.42095472154497</v>
      </c>
      <c r="AU10" s="16">
        <f>IF(AT10=0,"---",IF(OR(ABS((AS10-AT10)/ABS(AT10))&gt;2,(AS10*AT10)&lt;0),"---",IF(AT10="0","---",((AS10-AT10)/ABS(AT10))*100)))</f>
        <v>-7.9529158974370713</v>
      </c>
      <c r="AX10" s="14">
        <f>+[1]NOTICIAS!X10</f>
        <v>44.644046409705012</v>
      </c>
      <c r="AY10" s="15">
        <f>+[1]NOTICIAS!Y10</f>
        <v>48.367039217277977</v>
      </c>
      <c r="AZ10" s="16">
        <f>IF(AY10=0,"---",IF(OR(ABS((AX10-AY10)/ABS(AY10))&gt;2,(AX10*AY10)&lt;0),"---",IF(AY10="0","---",((AX10-AY10)/ABS(AY10))*100)))</f>
        <v>-7.6973758737810298</v>
      </c>
      <c r="BD10" s="13" t="str">
        <f>+IF($B$3="esp","Ingresos de Explotación","OperatingRevenues")</f>
        <v>OperatingRevenues</v>
      </c>
      <c r="BF10" s="14">
        <f>+'[1]MEDIA CAPITAL'!T10</f>
        <v>126.00252077</v>
      </c>
      <c r="BG10" s="15">
        <f>+'[1]MEDIA CAPITAL'!U10</f>
        <v>115.30804198999999</v>
      </c>
      <c r="BH10" s="16">
        <f>IF(BG10=0,"---",IF(OR(ABS((BF10-BG10)/ABS(BG10))&gt;2,(BF10*BG10)&lt;0),"---",IF(BG10="0","---",((BF10-BG10)/ABS(BG10))*100)))</f>
        <v>9.2747033038055431</v>
      </c>
      <c r="BK10" s="14">
        <f>+'[1]MEDIA CAPITAL'!X10</f>
        <v>39.126658800000001</v>
      </c>
      <c r="BL10" s="15">
        <f>+'[1]MEDIA CAPITAL'!Y10</f>
        <v>36.27468180999999</v>
      </c>
      <c r="BM10" s="16">
        <f>IF(BL10=0,"---",IF(OR(ABS((BK10-BL10)/ABS(BL10))&gt;2,(BK10*BL10)&lt;0),"---",IF(BL10="0","---",((BK10-BL10)/ABS(BL10))*100)))</f>
        <v>7.8621695565467231</v>
      </c>
    </row>
    <row r="11" spans="1:65" ht="15" customHeight="1">
      <c r="D11" s="17" t="str">
        <f>+IF($B$3="esp","España","Spain")</f>
        <v>Spain</v>
      </c>
      <c r="F11" s="18">
        <f>+[1]GRUPO!T11</f>
        <v>412.09909927356722</v>
      </c>
      <c r="G11" s="19">
        <f>+[1]GRUPO!U11</f>
        <v>426.26758562700087</v>
      </c>
      <c r="H11" s="20">
        <f t="shared" si="0"/>
        <v>-3.3238479375796532</v>
      </c>
      <c r="K11" s="18">
        <f>+[1]GRUPO!X11</f>
        <v>182.41291090897087</v>
      </c>
      <c r="L11" s="19">
        <f>+[1]GRUPO!Y11</f>
        <v>181.35816884808355</v>
      </c>
      <c r="M11" s="20">
        <f t="shared" si="1"/>
        <v>0.58157957129068505</v>
      </c>
      <c r="Q11" s="17" t="str">
        <f>+IF($B$3="esp","España","Spain")</f>
        <v>Spain</v>
      </c>
      <c r="S11" s="18">
        <f>+[1]SANTILLANA!T11</f>
        <v>127.81477648009786</v>
      </c>
      <c r="T11" s="19">
        <f>+[1]SANTILLANA!U11</f>
        <v>139.06418482874767</v>
      </c>
      <c r="U11" s="20">
        <f t="shared" si="2"/>
        <v>-8.0893641756164847</v>
      </c>
      <c r="X11" s="18">
        <f>+[1]SANTILLANA!X11</f>
        <v>90.513662002182457</v>
      </c>
      <c r="Y11" s="19">
        <f>+[1]SANTILLANA!Y11</f>
        <v>92.521348441855253</v>
      </c>
      <c r="Z11" s="20">
        <f t="shared" si="3"/>
        <v>-2.1699710104576782</v>
      </c>
      <c r="AD11" s="17" t="str">
        <f>+IF($B$3="esp","España","Spain")</f>
        <v>Spain</v>
      </c>
      <c r="AF11" s="18">
        <f>+[1]RADIO!T11</f>
        <v>133.80983763</v>
      </c>
      <c r="AG11" s="19">
        <f>+[1]RADIO!U11</f>
        <v>129.03484419</v>
      </c>
      <c r="AH11" s="20">
        <f t="shared" si="4"/>
        <v>3.7005457479136146</v>
      </c>
      <c r="AK11" s="18">
        <f>+[1]RADIO!X11</f>
        <v>40.194304450000004</v>
      </c>
      <c r="AL11" s="19">
        <f>+[1]RADIO!Y11</f>
        <v>37.252511999999996</v>
      </c>
      <c r="AM11" s="20">
        <f t="shared" si="5"/>
        <v>7.8968968589286233</v>
      </c>
      <c r="AQ11" s="21" t="str">
        <f>+IF($B$3="esp","Publicidad","Advertising")</f>
        <v>Advertising</v>
      </c>
      <c r="AR11" s="22"/>
      <c r="AS11" s="23">
        <f>+[1]NOTICIAS!T11</f>
        <v>71.678472599159306</v>
      </c>
      <c r="AT11" s="24">
        <f>+[1]NOTICIAS!U11</f>
        <v>71.670896436666197</v>
      </c>
      <c r="AU11" s="25">
        <f>IF(AT11=0,"---",IF(OR(ABS((AS11-AT11)/ABS(AT11))&gt;2,(AS11*AT11)&lt;0),"---",IF(AT11="0","---",((AS11-AT11)/ABS(AT11))*100)))</f>
        <v>1.0570765638188807E-2</v>
      </c>
      <c r="AX11" s="23">
        <f>+[1]NOTICIAS!X11</f>
        <v>21.856112694577305</v>
      </c>
      <c r="AY11" s="24">
        <f>+[1]NOTICIAS!Y11</f>
        <v>20.588127793300394</v>
      </c>
      <c r="AZ11" s="25">
        <f>IF(AY11=0,"---",IF(OR(ABS((AX11-AY11)/ABS(AY11))&gt;2,(AX11*AY11)&lt;0),"---",IF(AY11="0","---",((AX11-AY11)/ABS(AY11))*100)))</f>
        <v>6.1588159642642566</v>
      </c>
      <c r="BD11" s="21" t="str">
        <f>+IF($B$3="esp","Publicidad","Advertising")</f>
        <v>Advertising</v>
      </c>
      <c r="BF11" s="23">
        <f>+'[1]MEDIA CAPITAL'!T11</f>
        <v>84.548098809999999</v>
      </c>
      <c r="BG11" s="24">
        <f>+'[1]MEDIA CAPITAL'!U11</f>
        <v>82.988945519999987</v>
      </c>
      <c r="BH11" s="25">
        <f>IF(BG11=0,"---",IF(OR(ABS((BF11-BG11)/ABS(BG11))&gt;2,(BF11*BG11)&lt;0),"---",IF(BG11="0","---",((BF11-BG11)/ABS(BG11))*100)))</f>
        <v>1.8787481636626679</v>
      </c>
      <c r="BI11" s="22"/>
      <c r="BK11" s="23">
        <f>+'[1]MEDIA CAPITAL'!X11</f>
        <v>25.948322129999994</v>
      </c>
      <c r="BL11" s="24">
        <f>+'[1]MEDIA CAPITAL'!Y11</f>
        <v>25.887452199999984</v>
      </c>
      <c r="BM11" s="25">
        <f>IF(BL11=0,"---",IF(OR(ABS((BK11-BL11)/ABS(BL11))&gt;2,(BK11*BL11)&lt;0),"---",IF(BL11="0","---",((BK11-BL11)/ABS(BL11))*100)))</f>
        <v>0.23513294985440772</v>
      </c>
    </row>
    <row r="12" spans="1:65" ht="15" customHeight="1">
      <c r="D12" s="17" t="str">
        <f>+IF($B$3="esp","Internacional","International")</f>
        <v>International</v>
      </c>
      <c r="F12" s="18">
        <f>+[1]GRUPO!T12</f>
        <v>544.46732774249926</v>
      </c>
      <c r="G12" s="19">
        <f>+[1]GRUPO!U12</f>
        <v>568.54749617374637</v>
      </c>
      <c r="H12" s="20">
        <f t="shared" si="0"/>
        <v>-4.235383779421003</v>
      </c>
      <c r="K12" s="18">
        <f>+[1]GRUPO!X12</f>
        <v>152.44755104818216</v>
      </c>
      <c r="L12" s="19">
        <f>+[1]GRUPO!Y12</f>
        <v>158.4325524293767</v>
      </c>
      <c r="M12" s="20">
        <f t="shared" si="1"/>
        <v>-3.777633629845373</v>
      </c>
      <c r="Q12" s="17" t="str">
        <f>+IF($B$3="esp","Internacional","International")</f>
        <v>International</v>
      </c>
      <c r="S12" s="18">
        <f>+[1]SANTILLANA!T12</f>
        <v>345.85741588596659</v>
      </c>
      <c r="T12" s="19">
        <f>+[1]SANTILLANA!U12</f>
        <v>374.40653746323062</v>
      </c>
      <c r="U12" s="20">
        <f t="shared" si="2"/>
        <v>-7.6251664222256696</v>
      </c>
      <c r="X12" s="18">
        <f>+[1]SANTILLANA!X12</f>
        <v>89.201200215274525</v>
      </c>
      <c r="Y12" s="19">
        <f>+[1]SANTILLANA!Y12</f>
        <v>92.927890420444044</v>
      </c>
      <c r="Z12" s="20">
        <f t="shared" si="3"/>
        <v>-4.0103032451381786</v>
      </c>
      <c r="AD12" s="17" t="str">
        <f>+IF($B$3="esp","Latam","Latam")</f>
        <v>Latam</v>
      </c>
      <c r="AF12" s="18">
        <f>+[1]RADIO!T12</f>
        <v>66.177429527705883</v>
      </c>
      <c r="AG12" s="19">
        <f>+[1]RADIO!U12</f>
        <v>68.526984595122599</v>
      </c>
      <c r="AH12" s="20">
        <f t="shared" si="4"/>
        <v>-3.4286567274170494</v>
      </c>
      <c r="AK12" s="18">
        <f>+[1]RADIO!X12</f>
        <v>22.327520079178178</v>
      </c>
      <c r="AL12" s="19">
        <f>+[1]RADIO!Y12</f>
        <v>23.8171133981797</v>
      </c>
      <c r="AM12" s="20">
        <f t="shared" si="5"/>
        <v>-6.2542983026455614</v>
      </c>
      <c r="AQ12" s="21" t="str">
        <f>+IF($B$3="esp","Circulación","Circulation")</f>
        <v>Circulation</v>
      </c>
      <c r="AR12" s="22"/>
      <c r="AS12" s="23">
        <f>+[1]NOTICIAS!T12</f>
        <v>52.392342247532099</v>
      </c>
      <c r="AT12" s="24">
        <f>+[1]NOTICIAS!U12</f>
        <v>60.448018888632106</v>
      </c>
      <c r="AU12" s="25">
        <f>IF(AT12=0,"---",IF(OR(ABS((AS12-AT12)/ABS(AT12))&gt;2,(AS12*AT12)&lt;0),"---",IF(AT12="0","---",((AS12-AT12)/ABS(AT12))*100)))</f>
        <v>-13.326618124477463</v>
      </c>
      <c r="AX12" s="23">
        <f>+[1]NOTICIAS!X12</f>
        <v>17.173803822758501</v>
      </c>
      <c r="AY12" s="24">
        <f>+[1]NOTICIAS!Y12</f>
        <v>20.236591508744809</v>
      </c>
      <c r="AZ12" s="25">
        <f>IF(AY12=0,"---",IF(OR(ABS((AX12-AY12)/ABS(AY12))&gt;2,(AX12*AY12)&lt;0),"---",IF(AY12="0","---",((AX12-AY12)/ABS(AY12))*100)))</f>
        <v>-15.134899000470458</v>
      </c>
      <c r="BD12" s="21" t="str">
        <f>+IF($B$3="esp","Otros","Others")</f>
        <v>Others</v>
      </c>
      <c r="BF12" s="23">
        <f>+'[1]MEDIA CAPITAL'!T12</f>
        <v>41.454421960000005</v>
      </c>
      <c r="BG12" s="24">
        <f>+'[1]MEDIA CAPITAL'!U12</f>
        <v>32.319096470000005</v>
      </c>
      <c r="BH12" s="25">
        <f>IF(BG12=0,"---",IF(OR(ABS((BF12-BG12)/ABS(BG12))&gt;2,(BF12*BG12)&lt;0),"---",IF(BG12="0","---",((BF12-BG12)/ABS(BG12))*100)))</f>
        <v>28.266029956870259</v>
      </c>
      <c r="BI12" s="22"/>
      <c r="BK12" s="23">
        <f>+'[1]MEDIA CAPITAL'!X12</f>
        <v>13.178336670000007</v>
      </c>
      <c r="BL12" s="24">
        <f>+'[1]MEDIA CAPITAL'!Y12</f>
        <v>10.387229610000006</v>
      </c>
      <c r="BM12" s="25">
        <f>IF(BL12=0,"---",IF(OR(ABS((BK12-BL12)/ABS(BL12))&gt;2,(BK12*BL12)&lt;0),"---",IF(BL12="0","---",((BK12-BL12)/ABS(BL12))*100)))</f>
        <v>26.870562842983116</v>
      </c>
    </row>
    <row r="13" spans="1:65" ht="15" customHeight="1">
      <c r="D13" s="26" t="str">
        <f>+IF($B$3="esp","Latam","Latam")</f>
        <v>Latam</v>
      </c>
      <c r="F13" s="18">
        <f>+[1]GRUPO!T13</f>
        <v>415.37700524249937</v>
      </c>
      <c r="G13" s="19">
        <f>+[1]GRUPO!U13</f>
        <v>450.05033448374644</v>
      </c>
      <c r="H13" s="20">
        <f t="shared" si="0"/>
        <v>-7.7043225133963986</v>
      </c>
      <c r="K13" s="18">
        <f>+[1]GRUPO!X13</f>
        <v>109.85699869818222</v>
      </c>
      <c r="L13" s="19">
        <f>+[1]GRUPO!Y13</f>
        <v>118.53489399937672</v>
      </c>
      <c r="M13" s="20">
        <f t="shared" si="1"/>
        <v>-7.320962636740644</v>
      </c>
      <c r="Q13" s="26" t="str">
        <f>+IF($B$3="esp","Latam","Latam")</f>
        <v>Latam</v>
      </c>
      <c r="S13" s="18">
        <f>+[1]SANTILLANA!T13</f>
        <v>342.32065888596657</v>
      </c>
      <c r="T13" s="19">
        <f>+[1]SANTILLANA!U13</f>
        <v>370.65804546323062</v>
      </c>
      <c r="U13" s="20">
        <f t="shared" si="2"/>
        <v>-7.6451562091008576</v>
      </c>
      <c r="X13" s="18">
        <f>+[1]SANTILLANA!X13</f>
        <v>85.694251215274505</v>
      </c>
      <c r="Y13" s="19">
        <f>+[1]SANTILLANA!Y13</f>
        <v>89.247476420444059</v>
      </c>
      <c r="Z13" s="20">
        <f t="shared" si="3"/>
        <v>-3.9813172850180565</v>
      </c>
      <c r="AD13" s="17" t="str">
        <f>+IF($B$3="esp","Música","Music")</f>
        <v>Music</v>
      </c>
      <c r="AF13" s="18">
        <f>+[1]RADIO!T13</f>
        <v>12.3321652053998</v>
      </c>
      <c r="AG13" s="19">
        <f>+[1]RADIO!U13</f>
        <v>11.9571570410289</v>
      </c>
      <c r="AH13" s="20">
        <f t="shared" si="4"/>
        <v>3.1362652768055574</v>
      </c>
      <c r="AK13" s="18">
        <f>+[1]RADIO!X13</f>
        <v>9.8532002521037505</v>
      </c>
      <c r="AL13" s="19">
        <f>+[1]RADIO!Y13</f>
        <v>7.2232817594895495</v>
      </c>
      <c r="AM13" s="20">
        <f t="shared" si="5"/>
        <v>36.408914675924962</v>
      </c>
      <c r="AQ13" s="21" t="str">
        <f>+IF($B$3="esp","Promociones y Otros","Add-ons and Others")</f>
        <v>Add-ons and Others</v>
      </c>
      <c r="AR13" s="22"/>
      <c r="AS13" s="23">
        <f>+[1]NOTICIAS!T13</f>
        <v>20.830583740906604</v>
      </c>
      <c r="AT13" s="24">
        <f>+[1]NOTICIAS!U13</f>
        <v>25.30203939624667</v>
      </c>
      <c r="AU13" s="25">
        <f>IF(AT13=0,"---",IF(OR(ABS((AS13-AT13)/ABS(AT13))&gt;2,(AS13*AT13)&lt;0),"---",IF(AT13="0","---",((AS13-AT13)/ABS(AT13))*100)))</f>
        <v>-17.672313228645777</v>
      </c>
      <c r="AX13" s="23">
        <f>+[1]NOTICIAS!X13</f>
        <v>5.6141298923692062</v>
      </c>
      <c r="AY13" s="24">
        <f>+[1]NOTICIAS!Y13</f>
        <v>7.542319915232774</v>
      </c>
      <c r="AZ13" s="25">
        <f>IF(AY13=0,"---",IF(OR(ABS((AX13-AY13)/ABS(AY13))&gt;2,(AX13*AY13)&lt;0),"---",IF(AY13="0","---",((AX13-AY13)/ABS(AY13))*100)))</f>
        <v>-25.564946124458565</v>
      </c>
      <c r="BD13" s="13" t="str">
        <f>+IF($B$3="esp","EBITDA Ajustado","Adjusted EBITDA")</f>
        <v>Adjusted EBITDA</v>
      </c>
      <c r="BF13" s="14">
        <f>+'[1]MEDIA CAPITAL'!T13</f>
        <v>25.1193108163313</v>
      </c>
      <c r="BG13" s="15">
        <f>+'[1]MEDIA CAPITAL'!U13</f>
        <v>23.7783681829284</v>
      </c>
      <c r="BH13" s="16">
        <f>IF(BG13=0,"---",IF(OR(ABS((BF13-BG13)/ABS(BG13))&gt;2,(BF13*BG13)&lt;0),"---",IF(BG13="0","---",((BF13-BG13)/ABS(BG13))*100)))</f>
        <v>5.6393383393130625</v>
      </c>
      <c r="BI13" s="13"/>
      <c r="BK13" s="14">
        <f>+'[1]MEDIA CAPITAL'!X13</f>
        <v>5.1927420046801984</v>
      </c>
      <c r="BL13" s="15">
        <f>+'[1]MEDIA CAPITAL'!Y13</f>
        <v>5.5187221523706</v>
      </c>
      <c r="BM13" s="16">
        <f>IF(BL13=0,"---",IF(OR(ABS((BK13-BL13)/ABS(BL13))&gt;2,(BK13*BL13)&lt;0),"---",IF(BL13="0","---",((BK13-BL13)/ABS(BL13))*100)))</f>
        <v>-5.9068048488430405</v>
      </c>
    </row>
    <row r="14" spans="1:65" ht="15" customHeight="1">
      <c r="D14" s="26" t="str">
        <f>+IF($B$3="esp","Portugal","Portugal")</f>
        <v>Portugal</v>
      </c>
      <c r="F14" s="18">
        <f>+[1]GRUPO!T14</f>
        <v>129.09032249999998</v>
      </c>
      <c r="G14" s="19">
        <f>+[1]GRUPO!U14</f>
        <v>118.49716169</v>
      </c>
      <c r="H14" s="20">
        <f t="shared" si="0"/>
        <v>8.939590331887203</v>
      </c>
      <c r="K14" s="18">
        <f>+[1]GRUPO!X14</f>
        <v>42.590552349999967</v>
      </c>
      <c r="L14" s="19">
        <f>+[1]GRUPO!Y14</f>
        <v>39.897658430000007</v>
      </c>
      <c r="M14" s="20">
        <f t="shared" si="1"/>
        <v>6.749503670057762</v>
      </c>
      <c r="Q14" s="26" t="str">
        <f>+IF($B$3="esp","Portugal","Portugal")</f>
        <v>Portugal</v>
      </c>
      <c r="S14" s="18">
        <f>+[1]SANTILLANA!T14</f>
        <v>3.5367570000000002</v>
      </c>
      <c r="T14" s="19">
        <f>+[1]SANTILLANA!U14</f>
        <v>3.7484920000000002</v>
      </c>
      <c r="U14" s="20">
        <f t="shared" si="2"/>
        <v>-5.6485381321342025</v>
      </c>
      <c r="X14" s="18">
        <f>+[1]SANTILLANA!X14</f>
        <v>3.5069490000000001</v>
      </c>
      <c r="Y14" s="19">
        <f>+[1]SANTILLANA!Y14</f>
        <v>3.6804140000000003</v>
      </c>
      <c r="Z14" s="20">
        <f t="shared" si="3"/>
        <v>-4.7131925919203708</v>
      </c>
      <c r="AD14" s="17" t="str">
        <f>+IF($B$3="esp","Ajustes y Otros","Adjustments &amp; others")</f>
        <v>Adjustments &amp; others</v>
      </c>
      <c r="AF14" s="18">
        <f>+[1]RADIO!T14</f>
        <v>-6.2235156419316802</v>
      </c>
      <c r="AG14" s="19">
        <f>+[1]RADIO!U14</f>
        <v>-6.6979491758024849</v>
      </c>
      <c r="AH14" s="20">
        <f t="shared" si="4"/>
        <v>7.0832656596556314</v>
      </c>
      <c r="AK14" s="18">
        <f>+[1]RADIO!X14</f>
        <v>-2.2556883473149401</v>
      </c>
      <c r="AL14" s="19">
        <f>+[1]RADIO!Y14</f>
        <v>-2.2397751993272239</v>
      </c>
      <c r="AM14" s="20">
        <f t="shared" si="5"/>
        <v>-0.710479694234318</v>
      </c>
      <c r="AQ14" s="13" t="str">
        <f>+IF($B$3="esp","EBITDA Ajustado","Adjusted EBITDA")</f>
        <v>Adjusted EBITDA</v>
      </c>
      <c r="AR14" s="13"/>
      <c r="AS14" s="14">
        <f>+[1]NOTICIAS!T14</f>
        <v>3.3028916525798699</v>
      </c>
      <c r="AT14" s="15">
        <f>+[1]NOTICIAS!U14</f>
        <v>4.5127304994734292</v>
      </c>
      <c r="AU14" s="16">
        <f>IF(AT14=0,"---",IF(OR(ABS((AS14-AT14)/ABS(AT14))&gt;2,(AS14*AT14)&lt;0),"---",IF(AT14="0","---",((AS14-AT14)/ABS(AT14))*100)))</f>
        <v>-26.809463738965356</v>
      </c>
      <c r="AX14" s="14">
        <f>+[1]NOTICIAS!X14</f>
        <v>-0.7036566008805929</v>
      </c>
      <c r="AY14" s="15">
        <f>+[1]NOTICIAS!Y14</f>
        <v>-1.4468070873487004</v>
      </c>
      <c r="AZ14" s="16">
        <f>IF(AY14=0,"---",IF(OR(ABS((AX14-AY14)/ABS(AY14))&gt;2,(AX14*AY14)&lt;0),"---",IF(AY14="0","---",((AX14-AY14)/ABS(AY14))*100)))</f>
        <v>51.364863565186425</v>
      </c>
      <c r="BD14" s="21" t="str">
        <f>+IF($B$3="esp","Margen EBITDA Ajustado","Adjusted EBITDA Margin")</f>
        <v>Adjusted EBITDA Margin</v>
      </c>
      <c r="BF14" s="27">
        <f>+'[1]MEDIA CAPITAL'!T14</f>
        <v>0.1993556213227122</v>
      </c>
      <c r="BG14" s="28">
        <f>+'[1]MEDIA CAPITAL'!U14</f>
        <v>0.20621604332671403</v>
      </c>
      <c r="BH14" s="29"/>
      <c r="BI14" s="22"/>
      <c r="BK14" s="27">
        <f>+'[1]MEDIA CAPITAL'!X14</f>
        <v>0.13271621354696911</v>
      </c>
      <c r="BL14" s="28">
        <f>+'[1]MEDIA CAPITAL'!Y14</f>
        <v>0.1521370244204108</v>
      </c>
      <c r="BM14" s="29"/>
    </row>
    <row r="15" spans="1:65" s="13" customFormat="1" ht="15" customHeight="1">
      <c r="D15" s="13" t="str">
        <f>+IF($B$3="esp","EBITDA Ajustado","Adjusted EBITDA")</f>
        <v>Adjusted EBITDA</v>
      </c>
      <c r="F15" s="14">
        <f>+[1]GRUPO!T15</f>
        <v>211.47565830088601</v>
      </c>
      <c r="G15" s="15">
        <f>+[1]GRUPO!U15</f>
        <v>211.3833517514673</v>
      </c>
      <c r="H15" s="16">
        <f t="shared" si="0"/>
        <v>4.3667842644125258E-2</v>
      </c>
      <c r="K15" s="14">
        <f>+[1]GRUPO!X15</f>
        <v>83.255221585995429</v>
      </c>
      <c r="L15" s="15">
        <f>+[1]GRUPO!Y15</f>
        <v>79.583226860163165</v>
      </c>
      <c r="M15" s="16">
        <f t="shared" si="1"/>
        <v>4.6140309594185949</v>
      </c>
      <c r="Q15" s="13" t="str">
        <f>+IF($B$3="esp","EBITDA Ajustado","Adjusted EBITDA")</f>
        <v>Adjusted EBITDA</v>
      </c>
      <c r="S15" s="14">
        <f>+[1]SANTILLANA!T15</f>
        <v>150.83718674471098</v>
      </c>
      <c r="T15" s="15">
        <f>+[1]SANTILLANA!U15</f>
        <v>165.01028584425259</v>
      </c>
      <c r="U15" s="16">
        <f t="shared" si="2"/>
        <v>-8.5892215912643817</v>
      </c>
      <c r="X15" s="14">
        <f>+[1]SANTILLANA!X15</f>
        <v>69.688502759640713</v>
      </c>
      <c r="Y15" s="15">
        <f>+[1]SANTILLANA!Y15</f>
        <v>70.806810370322879</v>
      </c>
      <c r="Z15" s="16">
        <f t="shared" si="3"/>
        <v>-1.5793786004952994</v>
      </c>
      <c r="AD15" s="13" t="str">
        <f>+IF($B$3="esp","Ingresos de Explotación con MX y CR","Operating Revenues w/MX&amp;CR")</f>
        <v>Operating Revenues w/MX&amp;CR</v>
      </c>
      <c r="AF15" s="14">
        <f>+[1]RADIO!T15</f>
        <v>221.3817788273123</v>
      </c>
      <c r="AG15" s="15">
        <f>+[1]RADIO!U15</f>
        <v>217.62852707372812</v>
      </c>
      <c r="AH15" s="16">
        <f t="shared" si="4"/>
        <v>1.724613865677938</v>
      </c>
      <c r="AK15" s="14">
        <f>+[1]RADIO!X15</f>
        <v>74.77421934078879</v>
      </c>
      <c r="AL15" s="15">
        <f>+[1]RADIO!Y15</f>
        <v>70.846315585678809</v>
      </c>
      <c r="AM15" s="16">
        <f t="shared" si="5"/>
        <v>5.5442597439802279</v>
      </c>
      <c r="AQ15" s="21" t="str">
        <f>+IF($B$3="esp","Margen EBITDA Ajustado","Adjusted EBITDA Margin")</f>
        <v>Adjusted EBITDA Margin</v>
      </c>
      <c r="AR15" s="22"/>
      <c r="AS15" s="27">
        <f>+[1]NOTICIAS!T15</f>
        <v>2.2794063306318987E-2</v>
      </c>
      <c r="AT15" s="28">
        <f>+[1]NOTICIAS!U15</f>
        <v>2.8666644205377869E-2</v>
      </c>
      <c r="AU15" s="29"/>
      <c r="AX15" s="27">
        <f>+[1]NOTICIAS!X15</f>
        <v>-1.5761487980346409E-2</v>
      </c>
      <c r="AY15" s="28">
        <f>+[1]NOTICIAS!Y15</f>
        <v>-2.9913079459944758E-2</v>
      </c>
      <c r="AZ15" s="29"/>
      <c r="BD15" s="13" t="str">
        <f>+IF($B$3="esp","EBIT Ajustado","Adjusted EBIT")</f>
        <v>Adjusted EBIT</v>
      </c>
      <c r="BF15" s="14">
        <f>+'[1]MEDIA CAPITAL'!T15</f>
        <v>20.098867016331301</v>
      </c>
      <c r="BG15" s="15">
        <f>+'[1]MEDIA CAPITAL'!U15</f>
        <v>17.8775594329284</v>
      </c>
      <c r="BH15" s="16">
        <f>IF(BG15=0,"---",IF(OR(ABS((BF15-BG15)/ABS(BG15))&gt;2,(BF15*BG15)&lt;0),"---",IF(BG15="0","---",((BF15-BG15)/ABS(BG15))*100)))</f>
        <v>12.425116480449274</v>
      </c>
      <c r="BK15" s="14">
        <f>+'[1]MEDIA CAPITAL'!X15</f>
        <v>3.3471376046801993</v>
      </c>
      <c r="BL15" s="15">
        <f>+'[1]MEDIA CAPITAL'!Y15</f>
        <v>3.5513505023706013</v>
      </c>
      <c r="BM15" s="16">
        <f>IF(BL15=0,"---",IF(OR(ABS((BK15-BL15)/ABS(BL15))&gt;2,(BK15*BL15)&lt;0),"---",IF(BL15="0","---",((BK15-BL15)/ABS(BL15))*100)))</f>
        <v>-5.7502884481293997</v>
      </c>
    </row>
    <row r="16" spans="1:65" ht="15" customHeight="1">
      <c r="D16" s="17" t="str">
        <f>+IF($B$3="esp","España","Spain")</f>
        <v>Spain</v>
      </c>
      <c r="F16" s="18">
        <f>+[1]GRUPO!T16</f>
        <v>75.013227549997509</v>
      </c>
      <c r="G16" s="19">
        <f>+[1]GRUPO!U16</f>
        <v>72.06447323313877</v>
      </c>
      <c r="H16" s="20">
        <f t="shared" si="0"/>
        <v>4.0918280319889409</v>
      </c>
      <c r="K16" s="18">
        <f>+[1]GRUPO!X16</f>
        <v>59.970746689997583</v>
      </c>
      <c r="L16" s="19">
        <f>+[1]GRUPO!Y16</f>
        <v>56.397920266976328</v>
      </c>
      <c r="M16" s="20">
        <f t="shared" si="1"/>
        <v>6.3350322247845634</v>
      </c>
      <c r="Q16" s="17" t="str">
        <f>+IF($B$3="esp","España","Spain")</f>
        <v>Spain</v>
      </c>
      <c r="S16" s="18">
        <f>+[1]SANTILLANA!T16</f>
        <v>51.074381799999685</v>
      </c>
      <c r="T16" s="19">
        <f>+[1]SANTILLANA!U16</f>
        <v>60.992472016975256</v>
      </c>
      <c r="U16" s="20">
        <f t="shared" si="2"/>
        <v>-16.261171074055163</v>
      </c>
      <c r="X16" s="18">
        <f>+[1]SANTILLANA!X16</f>
        <v>56.170502199999703</v>
      </c>
      <c r="Y16" s="19">
        <f>+[1]SANTILLANA!Y16</f>
        <v>58.627110376976191</v>
      </c>
      <c r="Z16" s="20">
        <f t="shared" si="3"/>
        <v>-4.1902255819540404</v>
      </c>
      <c r="AD16" s="13" t="str">
        <f>+IF($B$3="esp","EBITDA Ajustado","Adjusted EBITDA")</f>
        <v>Adjusted EBITDA</v>
      </c>
      <c r="AE16" s="13"/>
      <c r="AF16" s="14">
        <f>+[1]RADIO!T16</f>
        <v>38.436805081268197</v>
      </c>
      <c r="AG16" s="15">
        <f>+[1]RADIO!U16</f>
        <v>28.466654266150478</v>
      </c>
      <c r="AH16" s="16">
        <f t="shared" si="4"/>
        <v>35.023964256218072</v>
      </c>
      <c r="AI16" s="13"/>
      <c r="AK16" s="14">
        <f>+[1]RADIO!X16</f>
        <v>10.224915043479267</v>
      </c>
      <c r="AL16" s="15">
        <f>+[1]RADIO!Y16</f>
        <v>6.4529485499776769</v>
      </c>
      <c r="AM16" s="16">
        <f t="shared" si="5"/>
        <v>58.453379324009013</v>
      </c>
      <c r="AN16" s="13"/>
      <c r="AQ16" s="13" t="str">
        <f>+IF($B$3="esp","EBIT Ajustado","Adjusted EBIT")</f>
        <v>Adjusted EBIT</v>
      </c>
      <c r="AR16" s="13"/>
      <c r="AS16" s="14">
        <f>+[1]NOTICIAS!T16</f>
        <v>-0.91030899902052986</v>
      </c>
      <c r="AT16" s="15">
        <f>+[1]NOTICIAS!U16</f>
        <v>-2.0758564053690307</v>
      </c>
      <c r="AU16" s="16">
        <f>IF(AT16=0,"---",IF(OR(ABS((AS16-AT16)/ABS(AT16))&gt;2,(AS16*AT16)&lt;0),"---",IF(AT16="0","---",((AS16-AT16)/ABS(AT16))*100)))</f>
        <v>56.147785720337339</v>
      </c>
      <c r="AX16" s="14">
        <f>+[1]NOTICIAS!X16</f>
        <v>-1.8273800387461501</v>
      </c>
      <c r="AY16" s="15">
        <f>+[1]NOTICIAS!Y16</f>
        <v>-3.4278298778325831</v>
      </c>
      <c r="AZ16" s="16">
        <f>IF(AY16=0,"---",IF(OR(ABS((AX16-AY16)/ABS(AY16))&gt;2,(AX16*AY16)&lt;0),"---",IF(AY16="0","---",((AX16-AY16)/ABS(AY16))*100)))</f>
        <v>46.68988532471738</v>
      </c>
      <c r="BA16" s="13"/>
      <c r="BD16" s="30" t="str">
        <f>+IF($B$3="esp","Margen EBIT Ajustado","Adjusted EBIT Margin")</f>
        <v>Adjusted EBIT Margin</v>
      </c>
      <c r="BF16" s="31">
        <f>+'[1]MEDIA CAPITAL'!T16</f>
        <v>0.15951162638261004</v>
      </c>
      <c r="BG16" s="32">
        <f>+'[1]MEDIA CAPITAL'!U16</f>
        <v>0.15504173971212537</v>
      </c>
      <c r="BH16" s="33"/>
      <c r="BI16" s="22"/>
      <c r="BK16" s="31">
        <f>+'[1]MEDIA CAPITAL'!X16</f>
        <v>8.5546215990213795E-2</v>
      </c>
      <c r="BL16" s="32">
        <f>+'[1]MEDIA CAPITAL'!Y16</f>
        <v>9.7901630701322545E-2</v>
      </c>
      <c r="BM16" s="33"/>
    </row>
    <row r="17" spans="4:65" ht="15" customHeight="1">
      <c r="D17" s="17" t="str">
        <f>+IF($B$3="esp","Internacional","International")</f>
        <v>International</v>
      </c>
      <c r="F17" s="18">
        <f>+[1]GRUPO!T17</f>
        <v>136.4624307508885</v>
      </c>
      <c r="G17" s="19">
        <f>+[1]GRUPO!U17</f>
        <v>139.31887851832855</v>
      </c>
      <c r="H17" s="20">
        <f t="shared" si="0"/>
        <v>-2.050294832845827</v>
      </c>
      <c r="K17" s="18">
        <f>+[1]GRUPO!X17</f>
        <v>23.284474895997846</v>
      </c>
      <c r="L17" s="19">
        <f>+[1]GRUPO!Y17</f>
        <v>23.185306593186837</v>
      </c>
      <c r="M17" s="20">
        <f t="shared" si="1"/>
        <v>0.42772047206893588</v>
      </c>
      <c r="Q17" s="17" t="str">
        <f>+IF($B$3="esp","Internacional","International")</f>
        <v>International</v>
      </c>
      <c r="S17" s="18">
        <f>+[1]SANTILLANA!T17</f>
        <v>99.762804944711291</v>
      </c>
      <c r="T17" s="19">
        <f>+[1]SANTILLANA!U17</f>
        <v>104.01781382727734</v>
      </c>
      <c r="U17" s="20">
        <f t="shared" si="2"/>
        <v>-4.0906540197350543</v>
      </c>
      <c r="X17" s="18">
        <f>+[1]SANTILLANA!X17</f>
        <v>13.51800055964101</v>
      </c>
      <c r="Y17" s="19">
        <f>+[1]SANTILLANA!Y17</f>
        <v>12.179699993346688</v>
      </c>
      <c r="Z17" s="20">
        <f t="shared" si="3"/>
        <v>10.987960023854324</v>
      </c>
      <c r="AD17" s="17" t="str">
        <f>+IF($B$3="esp","España","Spain")</f>
        <v>Spain</v>
      </c>
      <c r="AF17" s="18">
        <f>+[1]RADIO!T17</f>
        <v>23.333077019999998</v>
      </c>
      <c r="AG17" s="19">
        <f>+[1]RADIO!U17</f>
        <v>14.7671469499999</v>
      </c>
      <c r="AH17" s="20">
        <f t="shared" si="4"/>
        <v>58.006669121689455</v>
      </c>
      <c r="AK17" s="18">
        <f>+[1]RADIO!X17</f>
        <v>4.5121513899999961</v>
      </c>
      <c r="AL17" s="19">
        <f>+[1]RADIO!Y17</f>
        <v>0.47404027999999698</v>
      </c>
      <c r="AM17" s="20" t="str">
        <f t="shared" si="5"/>
        <v>---</v>
      </c>
      <c r="AQ17" s="30" t="str">
        <f>+IF($B$3="esp","Margen EBIT Ajustado","Adjusted EBIT Margin")</f>
        <v>Adjusted EBIT Margin</v>
      </c>
      <c r="AR17" s="22"/>
      <c r="AS17" s="31">
        <f>+[1]NOTICIAS!T17</f>
        <v>-6.2822650981537347E-3</v>
      </c>
      <c r="AT17" s="32">
        <f>+[1]NOTICIAS!U17</f>
        <v>-1.3186658720504663E-2</v>
      </c>
      <c r="AU17" s="33"/>
      <c r="AX17" s="31">
        <f>+[1]NOTICIAS!X17</f>
        <v>-4.0932222450805945E-2</v>
      </c>
      <c r="AY17" s="32">
        <f>+[1]NOTICIAS!Y17</f>
        <v>-7.0871195204524159E-2</v>
      </c>
      <c r="AZ17" s="33"/>
    </row>
    <row r="18" spans="4:65" ht="15" customHeight="1">
      <c r="D18" s="26" t="str">
        <f>+IF($B$3="esp","Portugal","Portugal")</f>
        <v>Portugal</v>
      </c>
      <c r="F18" s="18">
        <f>+[1]GRUPO!T18</f>
        <v>110.23677867455721</v>
      </c>
      <c r="G18" s="19">
        <f>+[1]GRUPO!U18</f>
        <v>115.25406874540015</v>
      </c>
      <c r="H18" s="20">
        <f t="shared" si="0"/>
        <v>-4.3532433392232628</v>
      </c>
      <c r="K18" s="18">
        <f>+[1]GRUPO!X18</f>
        <v>15.78900858131766</v>
      </c>
      <c r="L18" s="19">
        <f>+[1]GRUPO!Y18</f>
        <v>15.769025640816238</v>
      </c>
      <c r="M18" s="20">
        <f t="shared" si="1"/>
        <v>0.12672273453407229</v>
      </c>
      <c r="Q18" s="26" t="str">
        <f>+IF($B$3="esp","Latam","Latam")</f>
        <v>Latam</v>
      </c>
      <c r="S18" s="18">
        <f>+[1]SANTILLANA!T18</f>
        <v>98.407069944711296</v>
      </c>
      <c r="T18" s="19">
        <f>+[1]SANTILLANA!U18</f>
        <v>103.46081082727734</v>
      </c>
      <c r="U18" s="20">
        <f t="shared" si="2"/>
        <v>-4.8846909686441702</v>
      </c>
      <c r="X18" s="18">
        <f>+[1]SANTILLANA!X18</f>
        <v>11.238368559641017</v>
      </c>
      <c r="Y18" s="19">
        <f>+[1]SANTILLANA!Y18</f>
        <v>10.100464993346691</v>
      </c>
      <c r="Z18" s="20">
        <f t="shared" si="3"/>
        <v>11.265853275506412</v>
      </c>
      <c r="AD18" s="17" t="str">
        <f>+IF($B$3="esp","Latam","Latam")</f>
        <v>Latam</v>
      </c>
      <c r="AF18" s="18">
        <f>+[1]RADIO!T18</f>
        <v>15.023817301338184</v>
      </c>
      <c r="AG18" s="19">
        <f>+[1]RADIO!U18</f>
        <v>15.124500148969478</v>
      </c>
      <c r="AH18" s="20">
        <f t="shared" si="4"/>
        <v>-0.66569371972371671</v>
      </c>
      <c r="AK18" s="18">
        <f>+[1]RADIO!X18</f>
        <v>5.2699383667960777</v>
      </c>
      <c r="AL18" s="19">
        <f>+[1]RADIO!Y18</f>
        <v>6.698238111133568</v>
      </c>
      <c r="AM18" s="20">
        <f t="shared" si="5"/>
        <v>-21.323514044139792</v>
      </c>
    </row>
    <row r="19" spans="4:65" ht="15" customHeight="1">
      <c r="D19" s="26" t="str">
        <f>+IF($B$3="esp","Latam","Latam")</f>
        <v>Latam</v>
      </c>
      <c r="F19" s="18">
        <f>+[1]GRUPO!T19</f>
        <v>26.225652076331301</v>
      </c>
      <c r="G19" s="19">
        <f>+[1]GRUPO!U19</f>
        <v>24.064809772928403</v>
      </c>
      <c r="H19" s="20">
        <f t="shared" si="0"/>
        <v>8.9792619338870807</v>
      </c>
      <c r="K19" s="18">
        <f>+[1]GRUPO!X19</f>
        <v>7.4954663146802005</v>
      </c>
      <c r="L19" s="19">
        <f>+[1]GRUPO!Y19</f>
        <v>7.4162809523706059</v>
      </c>
      <c r="M19" s="20">
        <f t="shared" si="1"/>
        <v>1.0677233348917707</v>
      </c>
      <c r="Q19" s="26" t="str">
        <f>+IF($B$3="esp","Portugal","Portugal")</f>
        <v>Portugal</v>
      </c>
      <c r="S19" s="18">
        <f>+[1]SANTILLANA!T19</f>
        <v>1.355735000000001</v>
      </c>
      <c r="T19" s="19">
        <f>+[1]SANTILLANA!U19</f>
        <v>0.55700300000000091</v>
      </c>
      <c r="U19" s="20">
        <f t="shared" si="2"/>
        <v>143.39815045879445</v>
      </c>
      <c r="X19" s="18">
        <f>+[1]SANTILLANA!X19</f>
        <v>2.2796320000000012</v>
      </c>
      <c r="Y19" s="19">
        <f>+[1]SANTILLANA!Y19</f>
        <v>2.0792350000000011</v>
      </c>
      <c r="Z19" s="20">
        <f t="shared" si="3"/>
        <v>9.6380159048880998</v>
      </c>
      <c r="AD19" s="17" t="str">
        <f>+IF($B$3="esp","Música","Music")</f>
        <v>Music</v>
      </c>
      <c r="AF19" s="18">
        <f>+[1]RADIO!T19</f>
        <v>7.9910759929749706E-2</v>
      </c>
      <c r="AG19" s="19">
        <f>+[1]RADIO!U19</f>
        <v>-1.4249928328186201</v>
      </c>
      <c r="AH19" s="20" t="str">
        <f t="shared" si="4"/>
        <v>---</v>
      </c>
      <c r="AK19" s="18">
        <f>+[1]RADIO!X19</f>
        <v>0.44282528668283422</v>
      </c>
      <c r="AL19" s="19">
        <f>+[1]RADIO!Y19</f>
        <v>-0.71932984115559118</v>
      </c>
      <c r="AM19" s="20" t="str">
        <f t="shared" si="5"/>
        <v>---</v>
      </c>
      <c r="BD19" s="9" t="str">
        <f>+IF($B$3="esp","Millones de €","€ Millions")</f>
        <v>€ Millions</v>
      </c>
      <c r="BF19" s="10">
        <v>2018</v>
      </c>
      <c r="BG19" s="10">
        <v>2017</v>
      </c>
      <c r="BH19" s="10" t="str">
        <f>+IF($B$3="esp","Var.%","% Chg.")</f>
        <v>% Chg.</v>
      </c>
      <c r="BK19" s="10">
        <v>2018</v>
      </c>
      <c r="BL19" s="10">
        <v>2017</v>
      </c>
      <c r="BM19" s="10" t="str">
        <f>+IF($B$3="esp","Var.%","% Chg.")</f>
        <v>% Chg.</v>
      </c>
    </row>
    <row r="20" spans="4:65" s="22" customFormat="1" ht="15" customHeight="1">
      <c r="D20" s="21" t="str">
        <f>+IF($B$3="esp","Margen EBITDA Ajustado","Adjusted EBITDA Margin")</f>
        <v>Adjusted EBITDA Margin</v>
      </c>
      <c r="F20" s="27">
        <f>+[1]GRUPO!T20</f>
        <v>0.22107785965326804</v>
      </c>
      <c r="G20" s="28">
        <f>+[1]GRUPO!U20</f>
        <v>0.2124850694551548</v>
      </c>
      <c r="H20" s="29"/>
      <c r="K20" s="27">
        <f>+[1]GRUPO!X20</f>
        <v>0.24862661031820563</v>
      </c>
      <c r="L20" s="28">
        <f>+[1]GRUPO!Y20</f>
        <v>0.23421247808346862</v>
      </c>
      <c r="M20" s="29"/>
      <c r="Q20" s="21" t="str">
        <f>+IF($B$3="esp","Margen EBITDA Ajustado","Adjusted EBITDA Margin")</f>
        <v>Adjusted EBITDA Margin</v>
      </c>
      <c r="S20" s="27">
        <f>+[1]SANTILLANA!T20</f>
        <v>0.31844214031492191</v>
      </c>
      <c r="T20" s="28">
        <f>+[1]SANTILLANA!U20</f>
        <v>0.321362599035241</v>
      </c>
      <c r="U20" s="29"/>
      <c r="X20" s="27">
        <f>+[1]SANTILLANA!X20</f>
        <v>0.38777261880164843</v>
      </c>
      <c r="Y20" s="28">
        <f>+[1]SANTILLANA!Y20</f>
        <v>0.38181235363763727</v>
      </c>
      <c r="Z20" s="29"/>
      <c r="AD20" s="17" t="str">
        <f>+IF($B$3="esp","Ajustes y Otros","Adjustments &amp; others")</f>
        <v>Adjustments &amp; others</v>
      </c>
      <c r="AE20" s="1"/>
      <c r="AF20" s="18">
        <f>+[1]RADIO!T20</f>
        <v>2.6602331448799532E-13</v>
      </c>
      <c r="AG20" s="19">
        <f>+[1]RADIO!U20</f>
        <v>-2.7955415760061442E-13</v>
      </c>
      <c r="AH20" s="20" t="str">
        <f t="shared" si="4"/>
        <v>---</v>
      </c>
      <c r="AI20" s="1"/>
      <c r="AK20" s="18">
        <f>+[1]RADIO!X20</f>
        <v>3.5944858201020224E-13</v>
      </c>
      <c r="AL20" s="19">
        <f>+[1]RADIO!Y20</f>
        <v>-2.9698465908722937E-13</v>
      </c>
      <c r="AM20" s="20" t="str">
        <f t="shared" si="5"/>
        <v>---</v>
      </c>
      <c r="AN20" s="1"/>
      <c r="BA20" s="1"/>
      <c r="BD20" s="11" t="str">
        <f>+IF($B$3="esp","Resultados Comparables - sin efecto NIIF","Comparable results - excluding IFRS effect")</f>
        <v>Comparable results - excluding IFRS effect</v>
      </c>
      <c r="BF20" s="12"/>
      <c r="BG20" s="12"/>
      <c r="BH20" s="12"/>
      <c r="BI20" s="1"/>
      <c r="BK20" s="12"/>
      <c r="BL20" s="12"/>
      <c r="BM20" s="12"/>
    </row>
    <row r="21" spans="4:65" s="13" customFormat="1" ht="15" customHeight="1">
      <c r="D21" s="13" t="str">
        <f>+IF($B$3="esp","EBIT Ajustado","Adjusted EBIT")</f>
        <v>Adjusted EBIT</v>
      </c>
      <c r="F21" s="14">
        <f>+[1]GRUPO!T21</f>
        <v>139.80100392636399</v>
      </c>
      <c r="G21" s="15">
        <f>+[1]GRUPO!U21</f>
        <v>130.21720565339629</v>
      </c>
      <c r="H21" s="16">
        <f>IF(G21=0,"---",IF(OR(ABS((F21-G21)/ABS(G21))&gt;2,(F21*G21)&lt;0),"---",IF(G21="0","---",((F21-G21)/ABS(G21))*100)))</f>
        <v>7.3598555773629712</v>
      </c>
      <c r="K21" s="14">
        <f>+[1]GRUPO!X21</f>
        <v>45.630228370858887</v>
      </c>
      <c r="L21" s="15">
        <f>+[1]GRUPO!Y21</f>
        <v>37.09853525705033</v>
      </c>
      <c r="M21" s="16">
        <f>IF(L21=0,"---",IF(OR(ABS((K21-L21)/ABS(L21))&gt;2,(K21*L21)&lt;0),"---",IF(L21="0","---",((K21-L21)/ABS(L21))*100)))</f>
        <v>22.997385354148626</v>
      </c>
      <c r="Q21" s="13" t="str">
        <f>+IF($B$3="esp","EBIT Ajustado","Adjusted EBIT")</f>
        <v>Adjusted EBIT</v>
      </c>
      <c r="S21" s="14">
        <f>+[1]SANTILLANA!T21</f>
        <v>96.654793697017055</v>
      </c>
      <c r="T21" s="15">
        <f>+[1]SANTILLANA!U21</f>
        <v>105.67942681857656</v>
      </c>
      <c r="U21" s="16">
        <f>IF(T21=0,"---",IF(OR(ABS((S21-T21)/ABS(T21))&gt;2,(S21*T21)&lt;0),"---",IF(T21="0","---",((S21-T21)/ABS(T21))*100)))</f>
        <v>-8.5396310268150817</v>
      </c>
      <c r="X21" s="14">
        <f>+[1]SANTILLANA!X21</f>
        <v>37.606733781493297</v>
      </c>
      <c r="Y21" s="15">
        <f>+[1]SANTILLANA!Y21</f>
        <v>34.889967191250037</v>
      </c>
      <c r="Z21" s="16">
        <f>IF(Y21=0,"---",IF(OR(ABS((X21-Y21)/ABS(Y21))&gt;2,(X21*Y21)&lt;0),"---",IF(Y21="0","---",((X21-Y21)/ABS(Y21))*100)))</f>
        <v>7.7866699482726691</v>
      </c>
      <c r="AD21" s="21" t="str">
        <f>+IF($B$3="esp","Margen EBITDA Ajustado","Adjusted EBITDA Margin")</f>
        <v>Adjusted EBITDA Margin</v>
      </c>
      <c r="AE21" s="22"/>
      <c r="AF21" s="27">
        <f>+[1]RADIO!T21</f>
        <v>0.18649959539600744</v>
      </c>
      <c r="AG21" s="28">
        <f>+[1]RADIO!U21</f>
        <v>0.14035355866573759</v>
      </c>
      <c r="AH21" s="29"/>
      <c r="AI21" s="22"/>
      <c r="AK21" s="27">
        <f>+[1]RADIO!X21</f>
        <v>0.14582161730963195</v>
      </c>
      <c r="AL21" s="28">
        <f>+[1]RADIO!Y21</f>
        <v>9.7693301720308767E-2</v>
      </c>
      <c r="AM21" s="29"/>
      <c r="AN21" s="22"/>
      <c r="BA21" s="22"/>
      <c r="BD21" s="13" t="str">
        <f>+IF($B$3="esp","Ingresos de Explotación Comparables","Comparable Operating Revenues")</f>
        <v>Comparable Operating Revenues</v>
      </c>
      <c r="BF21" s="14">
        <f>+'[1]MEDIA CAPITAL'!T21</f>
        <v>118.25952077000001</v>
      </c>
      <c r="BG21" s="15">
        <f>+'[1]MEDIA CAPITAL'!U21</f>
        <v>115.30804198999999</v>
      </c>
      <c r="BH21" s="16">
        <f>IF(BG21=0,"---",IF(OR(ABS((BF21-BG21)/ABS(BG21))&gt;2,(BF21*BG21)&lt;0),"---",IF(BG21="0","---",((BF21-BG21)/ABS(BG21))*100)))</f>
        <v>2.559646950085217</v>
      </c>
      <c r="BK21" s="14">
        <f>+'[1]MEDIA CAPITAL'!X21</f>
        <v>36.335658800000004</v>
      </c>
      <c r="BL21" s="15">
        <f>+'[1]MEDIA CAPITAL'!Y21</f>
        <v>36.27468180999999</v>
      </c>
      <c r="BM21" s="16">
        <f>IF(BL21=0,"---",IF(OR(ABS((BK21-BL21)/ABS(BL21))&gt;2,(BK21*BL21)&lt;0),"---",IF(BL21="0","---",((BK21-BL21)/ABS(BL21))*100)))</f>
        <v>0.16809793210427218</v>
      </c>
    </row>
    <row r="22" spans="4:65" ht="15" customHeight="1">
      <c r="D22" s="17" t="str">
        <f>+IF($B$3="esp","España","Spain")</f>
        <v>Spain</v>
      </c>
      <c r="F22" s="18">
        <f>+[1]GRUPO!T22</f>
        <v>40.610586969997634</v>
      </c>
      <c r="G22" s="19">
        <f>+[1]GRUPO!U22</f>
        <v>30.535602849763688</v>
      </c>
      <c r="H22" s="20">
        <f>IF(G22=0,"---",IF(OR(ABS((F22-G22)/ABS(G22))&gt;2,(F22*G22)&lt;0),"---",IF(G22="0","---",((F22-G22)/ABS(G22))*100)))</f>
        <v>32.994220450807035</v>
      </c>
      <c r="K22" s="18">
        <f>+[1]GRUPO!X22</f>
        <v>34.091762059997301</v>
      </c>
      <c r="L22" s="19">
        <f>+[1]GRUPO!Y22</f>
        <v>24.957210512284366</v>
      </c>
      <c r="M22" s="20">
        <f>IF(L22=0,"---",IF(OR(ABS((K22-L22)/ABS(L22))&gt;2,(K22*L22)&lt;0),"---",IF(L22="0","---",((K22-L22)/ABS(L22))*100)))</f>
        <v>36.600851458205845</v>
      </c>
      <c r="Q22" s="17" t="str">
        <f>+IF($B$3="esp","España","Spain")</f>
        <v>Spain</v>
      </c>
      <c r="S22" s="18">
        <f>+[1]SANTILLANA!T22</f>
        <v>26.512149079999645</v>
      </c>
      <c r="T22" s="19">
        <f>+[1]SANTILLANA!U22</f>
        <v>32.060832916975627</v>
      </c>
      <c r="U22" s="20">
        <f>IF(T22=0,"---",IF(OR(ABS((S22-T22)/ABS(T22))&gt;2,(S22*T22)&lt;0),"---",IF(T22="0","---",((S22-T22)/ABS(T22))*100)))</f>
        <v>-17.306736388741964</v>
      </c>
      <c r="X22" s="18">
        <f>+[1]SANTILLANA!X22</f>
        <v>33.488867589999806</v>
      </c>
      <c r="Y22" s="19">
        <f>+[1]SANTILLANA!Y22</f>
        <v>31.137609806976698</v>
      </c>
      <c r="Z22" s="20">
        <f>IF(Y22=0,"---",IF(OR(ABS((X22-Y22)/ABS(Y22))&gt;2,(X22*Y22)&lt;0),"---",IF(Y22="0","---",((X22-Y22)/ABS(Y22))*100)))</f>
        <v>7.5511826296194542</v>
      </c>
      <c r="AD22" s="34" t="str">
        <f>+IF($B$3="esp","EBITDA Ajustado con MX y CR","Adjusted EBITDA w/MX&amp;CR")</f>
        <v>Adjusted EBITDA w/MX&amp;CR</v>
      </c>
      <c r="AE22" s="13"/>
      <c r="AF22" s="35">
        <f>+[1]RADIO!T22</f>
        <v>44.289219911226887</v>
      </c>
      <c r="AG22" s="36">
        <f>+[1]RADIO!U22</f>
        <v>34.113087445114331</v>
      </c>
      <c r="AH22" s="37">
        <f t="shared" ref="AH22:AH27" si="6">IF(AG22=0,"---",IF(OR(ABS((AF22-AG22)/ABS(AG22))&gt;2,(AF22*AG22)&lt;0),"---",IF(AG22="0","---",((AF22-AG22)/ABS(AG22))*100)))</f>
        <v>29.830581833102237</v>
      </c>
      <c r="AI22" s="13"/>
      <c r="AK22" s="35">
        <f>+[1]RADIO!X22</f>
        <v>11.728513006995279</v>
      </c>
      <c r="AL22" s="36">
        <f>+[1]RADIO!Y22</f>
        <v>8.2042907657086417</v>
      </c>
      <c r="AM22" s="37">
        <f t="shared" ref="AM22:AM27" si="7">IF(AL22=0,"---",IF(OR(ABS((AK22-AL22)/ABS(AL22))&gt;2,(AK22*AL22)&lt;0),"---",IF(AL22="0","---",((AK22-AL22)/ABS(AL22))*100)))</f>
        <v>42.955842764822265</v>
      </c>
      <c r="AN22" s="13"/>
      <c r="BA22" s="13"/>
      <c r="BD22" s="21" t="str">
        <f>+IF($B$3="esp","Publicidad","Advertising")</f>
        <v>Advertising</v>
      </c>
      <c r="BF22" s="23">
        <f>+'[1]MEDIA CAPITAL'!T22</f>
        <v>84.548098809999999</v>
      </c>
      <c r="BG22" s="24">
        <f>+'[1]MEDIA CAPITAL'!U22</f>
        <v>82.988945519999987</v>
      </c>
      <c r="BH22" s="25">
        <f>IF(BG22=0,"---",IF(OR(ABS((BF22-BG22)/ABS(BG22))&gt;2,(BF22*BG22)&lt;0),"---",IF(BG22="0","---",((BF22-BG22)/ABS(BG22))*100)))</f>
        <v>1.8787481636626679</v>
      </c>
      <c r="BI22" s="22"/>
      <c r="BK22" s="23">
        <f>+'[1]MEDIA CAPITAL'!X22</f>
        <v>25.948322129999994</v>
      </c>
      <c r="BL22" s="24">
        <f>+'[1]MEDIA CAPITAL'!Y22</f>
        <v>25.887452199999984</v>
      </c>
      <c r="BM22" s="25">
        <f>IF(BL22=0,"---",IF(OR(ABS((BK22-BL22)/ABS(BL22))&gt;2,(BK22*BL22)&lt;0),"---",IF(BL22="0","---",((BK22-BL22)/ABS(BL22))*100)))</f>
        <v>0.23513294985440772</v>
      </c>
    </row>
    <row r="23" spans="4:65" ht="15" customHeight="1">
      <c r="D23" s="17" t="str">
        <f>+IF($B$3="esp","Internacional","International")</f>
        <v>International</v>
      </c>
      <c r="F23" s="18">
        <f>+[1]GRUPO!T23</f>
        <v>99.190416956366349</v>
      </c>
      <c r="G23" s="19">
        <f>+[1]GRUPO!U23</f>
        <v>99.6816028036326</v>
      </c>
      <c r="H23" s="20">
        <f>IF(G23=0,"---",IF(OR(ABS((F23-G23)/ABS(G23))&gt;2,(F23*G23)&lt;0),"---",IF(G23="0","---",((F23-G23)/ABS(G23))*100)))</f>
        <v>-0.49275476462177409</v>
      </c>
      <c r="K23" s="18">
        <f>+[1]GRUPO!X23</f>
        <v>11.53846631086158</v>
      </c>
      <c r="L23" s="19">
        <f>+[1]GRUPO!Y23</f>
        <v>12.141324744765967</v>
      </c>
      <c r="M23" s="20">
        <f>IF(L23=0,"---",IF(OR(ABS((K23-L23)/ABS(L23))&gt;2,(K23*L23)&lt;0),"---",IF(L23="0","---",((K23-L23)/ABS(L23))*100)))</f>
        <v>-4.9653431283458183</v>
      </c>
      <c r="Q23" s="17" t="str">
        <f>+IF($B$3="esp","Internacional","International")</f>
        <v>International</v>
      </c>
      <c r="S23" s="18">
        <f>+[1]SANTILLANA!T23</f>
        <v>70.14264461701741</v>
      </c>
      <c r="T23" s="19">
        <f>+[1]SANTILLANA!U23</f>
        <v>73.618593901600931</v>
      </c>
      <c r="U23" s="20">
        <f>IF(T23=0,"---",IF(OR(ABS((S23-T23)/ABS(T23))&gt;2,(S23*T23)&lt;0),"---",IF(T23="0","---",((S23-T23)/ABS(T23))*100)))</f>
        <v>-4.7215643499378661</v>
      </c>
      <c r="X23" s="18">
        <f>+[1]SANTILLANA!X23</f>
        <v>4.1178661914934906</v>
      </c>
      <c r="Y23" s="19">
        <f>+[1]SANTILLANA!Y23</f>
        <v>3.7523573842733384</v>
      </c>
      <c r="Z23" s="20">
        <f>IF(Y23=0,"---",IF(OR(ABS((X23-Y23)/ABS(Y23))&gt;2,(X23*Y23)&lt;0),"---",IF(Y23="0","---",((X23-Y23)/ABS(Y23))*100)))</f>
        <v>9.7407781239615243</v>
      </c>
      <c r="AD23" s="13" t="str">
        <f>+IF($B$3="esp","EBIT Ajustado","Adjusted EBIT")</f>
        <v>Adjusted EBIT</v>
      </c>
      <c r="AE23" s="13"/>
      <c r="AF23" s="14">
        <f>+[1]RADIO!T23</f>
        <v>31.114854892327067</v>
      </c>
      <c r="AG23" s="15">
        <f>+[1]RADIO!U23</f>
        <v>20.111538549855943</v>
      </c>
      <c r="AH23" s="16">
        <f t="shared" si="6"/>
        <v>54.711459867648657</v>
      </c>
      <c r="AI23" s="13"/>
      <c r="AK23" s="14">
        <f>+[1]RADIO!X23</f>
        <v>7.8454065036997349</v>
      </c>
      <c r="AL23" s="15">
        <f>+[1]RADIO!Y23</f>
        <v>4.2144383670478209</v>
      </c>
      <c r="AM23" s="16">
        <f t="shared" si="7"/>
        <v>86.155445172529056</v>
      </c>
      <c r="AN23" s="13"/>
      <c r="BA23" s="13"/>
      <c r="BD23" s="21" t="str">
        <f>+IF($B$3="esp","Otros","Others")</f>
        <v>Others</v>
      </c>
      <c r="BF23" s="23">
        <f>+'[1]MEDIA CAPITAL'!T23</f>
        <v>33.71142196000001</v>
      </c>
      <c r="BG23" s="24">
        <f>+'[1]MEDIA CAPITAL'!U23</f>
        <v>32.319096470000005</v>
      </c>
      <c r="BH23" s="25">
        <f>IF(BG23=0,"---",IF(OR(ABS((BF23-BG23)/ABS(BG23))&gt;2,(BF23*BG23)&lt;0),"---",IF(BG23="0","---",((BF23-BG23)/ABS(BG23))*100)))</f>
        <v>4.3080582134850882</v>
      </c>
      <c r="BI23" s="22"/>
      <c r="BK23" s="23">
        <f>+'[1]MEDIA CAPITAL'!X23</f>
        <v>10.38733667000001</v>
      </c>
      <c r="BL23" s="24">
        <f>+'[1]MEDIA CAPITAL'!Y23</f>
        <v>10.387229610000006</v>
      </c>
      <c r="BM23" s="25">
        <f>IF(BL23=0,"---",IF(OR(ABS((BK23-BL23)/ABS(BL23))&gt;2,(BK23*BL23)&lt;0),"---",IF(BL23="0","---",((BK23-BL23)/ABS(BL23))*100)))</f>
        <v>1.0306886823966297E-3</v>
      </c>
    </row>
    <row r="24" spans="4:65" ht="15" customHeight="1">
      <c r="D24" s="26" t="str">
        <f>+IF($B$3="esp","Portugal","Portugal")</f>
        <v>Portugal</v>
      </c>
      <c r="F24" s="18">
        <f>+[1]GRUPO!T24</f>
        <v>77.911658540035049</v>
      </c>
      <c r="G24" s="19">
        <f>+[1]GRUPO!U24</f>
        <v>80.874665170704205</v>
      </c>
      <c r="H24" s="20">
        <f>IF(G24=0,"---",IF(OR(ABS((F24-G24)/ABS(G24))&gt;2,(F24*G24)&lt;0),"---",IF(G24="0","---",((F24-G24)/ABS(G24))*100)))</f>
        <v>-3.6637018829259604</v>
      </c>
      <c r="K24" s="18">
        <f>+[1]GRUPO!X24</f>
        <v>5.8240255461813888</v>
      </c>
      <c r="L24" s="19">
        <f>+[1]GRUPO!Y24</f>
        <v>6.7767059123953715</v>
      </c>
      <c r="M24" s="20">
        <f>IF(L24=0,"---",IF(OR(ABS((K24-L24)/ABS(L24))&gt;2,(K24*L24)&lt;0),"---",IF(L24="0","---",((K24-L24)/ABS(L24))*100)))</f>
        <v>-14.058163044546779</v>
      </c>
      <c r="Q24" s="26" t="str">
        <f>+IF($B$3="esp","Latam","Latam")</f>
        <v>Latam</v>
      </c>
      <c r="S24" s="18">
        <f>+[1]SANTILLANA!T24</f>
        <v>69.127077617017406</v>
      </c>
      <c r="T24" s="19">
        <f>+[1]SANTILLANA!U24</f>
        <v>73.50463790160093</v>
      </c>
      <c r="U24" s="20">
        <f>IF(T24=0,"---",IF(OR(ABS((S24-T24)/ABS(T24))&gt;2,(S24*T24)&lt;0),"---",IF(T24="0","---",((S24-T24)/ABS(T24))*100)))</f>
        <v>-5.955488537258927</v>
      </c>
      <c r="X24" s="18">
        <f>+[1]SANTILLANA!X24</f>
        <v>2.1765001914934885</v>
      </c>
      <c r="Y24" s="19">
        <f>+[1]SANTILLANA!Y24</f>
        <v>2.1114363842733326</v>
      </c>
      <c r="Z24" s="20">
        <f>IF(Y24=0,"---",IF(OR(ABS((X24-Y24)/ABS(Y24))&gt;2,(X24*Y24)&lt;0),"---",IF(Y24="0","---",((X24-Y24)/ABS(Y24))*100)))</f>
        <v>3.0814950289183418</v>
      </c>
      <c r="AD24" s="17" t="str">
        <f>+IF($B$3="esp","España","Spain")</f>
        <v>Spain</v>
      </c>
      <c r="AF24" s="18">
        <f>+[1]RADIO!T24</f>
        <v>19.031660870000103</v>
      </c>
      <c r="AG24" s="19">
        <f>+[1]RADIO!U24</f>
        <v>10.497377259999901</v>
      </c>
      <c r="AH24" s="20">
        <f t="shared" si="6"/>
        <v>81.299198824833724</v>
      </c>
      <c r="AK24" s="18">
        <f>+[1]RADIO!X24</f>
        <v>2.9642289800001045</v>
      </c>
      <c r="AL24" s="19">
        <f>+[1]RADIO!Y24</f>
        <v>-1.0039081599999982</v>
      </c>
      <c r="AM24" s="20" t="str">
        <f t="shared" si="7"/>
        <v>---</v>
      </c>
      <c r="BD24" s="13" t="str">
        <f>+IF($B$3="esp","Gastos de Explotación Comparables","Comparable Operating Expenses")</f>
        <v>Comparable Operating Expenses</v>
      </c>
      <c r="BF24" s="14">
        <f>+'[1]MEDIA CAPITAL'!T24</f>
        <v>93.140209953668716</v>
      </c>
      <c r="BG24" s="15">
        <f>+'[1]MEDIA CAPITAL'!U24</f>
        <v>91.529673807071589</v>
      </c>
      <c r="BH24" s="16">
        <f>IF(BG24=0,"---",IF(OR(ABS((BF24-BG24)/ABS(BG24))&gt;2,(BF24*BG24)&lt;0),"---",IF(BG24="0","---",((BF24-BG24)/ABS(BG24))*100)))</f>
        <v>1.7595781560326034</v>
      </c>
      <c r="BI24" s="13"/>
      <c r="BK24" s="14">
        <f>+'[1]MEDIA CAPITAL'!X24</f>
        <v>31.142916795319813</v>
      </c>
      <c r="BL24" s="15">
        <f>+'[1]MEDIA CAPITAL'!Y24</f>
        <v>30.75595965762939</v>
      </c>
      <c r="BM24" s="16">
        <f>IF(BL24=0,"---",IF(OR(ABS((BK24-BL24)/ABS(BL24))&gt;2,(BK24*BL24)&lt;0),"---",IF(BL24="0","---",((BK24-BL24)/ABS(BL24))*100)))</f>
        <v>1.2581533530345683</v>
      </c>
    </row>
    <row r="25" spans="4:65" ht="15" customHeight="1">
      <c r="D25" s="26" t="str">
        <f>+IF($B$3="esp","Latam","Latam")</f>
        <v>Latam</v>
      </c>
      <c r="F25" s="18">
        <f>+[1]GRUPO!T25</f>
        <v>21.278758416331303</v>
      </c>
      <c r="G25" s="19">
        <f>+[1]GRUPO!U25</f>
        <v>18.806937632928403</v>
      </c>
      <c r="H25" s="20">
        <f>IF(G25=0,"---",IF(OR(ABS((F25-G25)/ABS(G25))&gt;2,(F25*G25)&lt;0),"---",IF(G25="0","---",((F25-G25)/ABS(G25))*100)))</f>
        <v>13.143132771786711</v>
      </c>
      <c r="K25" s="18">
        <f>+[1]GRUPO!X25</f>
        <v>5.7144407646802033</v>
      </c>
      <c r="L25" s="19">
        <f>+[1]GRUPO!Y25</f>
        <v>5.3646188323706028</v>
      </c>
      <c r="M25" s="20">
        <f>IF(L25=0,"---",IF(OR(ABS((K25-L25)/ABS(L25))&gt;2,(K25*L25)&lt;0),"---",IF(L25="0","---",((K25-L25)/ABS(L25))*100)))</f>
        <v>6.5209093738168855</v>
      </c>
      <c r="Q25" s="26" t="str">
        <f>+IF($B$3="esp","Portugal","Portugal")</f>
        <v>Portugal</v>
      </c>
      <c r="S25" s="18">
        <f>+[1]SANTILLANA!T25</f>
        <v>1.0155670000000001</v>
      </c>
      <c r="T25" s="19">
        <f>+[1]SANTILLANA!U25</f>
        <v>0.11395600000000121</v>
      </c>
      <c r="U25" s="20" t="str">
        <f>IF(T25=0,"---",IF(OR(ABS((S25-T25)/ABS(T25))&gt;2,(S25*T25)&lt;0),"---",IF(T25="0","---",((S25-T25)/ABS(T25))*100)))</f>
        <v>---</v>
      </c>
      <c r="X25" s="18">
        <f>+[1]SANTILLANA!X25</f>
        <v>1.9413659999999999</v>
      </c>
      <c r="Y25" s="19">
        <f>+[1]SANTILLANA!Y25</f>
        <v>1.6409210000000012</v>
      </c>
      <c r="Z25" s="20">
        <f>IF(Y25=0,"---",IF(OR(ABS((X25-Y25)/ABS(Y25))&gt;2,(X25*Y25)&lt;0),"---",IF(Y25="0","---",((X25-Y25)/ABS(Y25))*100)))</f>
        <v>18.309534706423925</v>
      </c>
      <c r="AD25" s="17" t="str">
        <f>+IF($B$3="esp","Latam","Latam")</f>
        <v>Latam</v>
      </c>
      <c r="AF25" s="18">
        <f>+[1]RADIO!T25</f>
        <v>12.398043822521553</v>
      </c>
      <c r="AG25" s="19">
        <f>+[1]RADIO!U25</f>
        <v>11.472086537232745</v>
      </c>
      <c r="AH25" s="20">
        <f t="shared" si="6"/>
        <v>8.0713938330538788</v>
      </c>
      <c r="AK25" s="18">
        <f>+[1]RADIO!X25</f>
        <v>4.4493855383390155</v>
      </c>
      <c r="AL25" s="19">
        <f>+[1]RADIO!Y25</f>
        <v>5.9848043275204112</v>
      </c>
      <c r="AM25" s="20">
        <f t="shared" si="7"/>
        <v>-25.655288045441267</v>
      </c>
      <c r="BD25" s="13" t="str">
        <f>+IF($B$3="esp","EBITDA Ajustado Comparable","Comparable Adjusted EBITDA")</f>
        <v>Comparable Adjusted EBITDA</v>
      </c>
      <c r="BF25" s="14">
        <f>+'[1]MEDIA CAPITAL'!T25</f>
        <v>25.1193108163313</v>
      </c>
      <c r="BG25" s="15">
        <f>+'[1]MEDIA CAPITAL'!U25</f>
        <v>23.7783681829284</v>
      </c>
      <c r="BH25" s="16">
        <f>IF(BG25=0,"---",IF(OR(ABS((BF25-BG25)/ABS(BG25))&gt;2,(BF25*BG25)&lt;0),"---",IF(BG25="0","---",((BF25-BG25)/ABS(BG25))*100)))</f>
        <v>5.6393383393130625</v>
      </c>
      <c r="BI25" s="13"/>
      <c r="BK25" s="14">
        <f>+'[1]MEDIA CAPITAL'!X25</f>
        <v>5.1927420046801984</v>
      </c>
      <c r="BL25" s="15">
        <f>+'[1]MEDIA CAPITAL'!Y25</f>
        <v>5.5187221523706</v>
      </c>
      <c r="BM25" s="16">
        <f>IF(BL25=0,"---",IF(OR(ABS((BK25-BL25)/ABS(BL25))&gt;2,(BK25*BL25)&lt;0),"---",IF(BL25="0","---",((BK25-BL25)/ABS(BL25))*100)))</f>
        <v>-5.9068048488430405</v>
      </c>
    </row>
    <row r="26" spans="4:65" s="22" customFormat="1" ht="15" customHeight="1">
      <c r="D26" s="30" t="str">
        <f>+IF($B$3="esp","Margen EBIT Ajustado","Adjusted EBIT Margin")</f>
        <v>Adjusted EBIT Margin</v>
      </c>
      <c r="F26" s="31">
        <f>+[1]GRUPO!T26</f>
        <v>0.14614876706729316</v>
      </c>
      <c r="G26" s="32">
        <f>+[1]GRUPO!U26</f>
        <v>0.13089589013637176</v>
      </c>
      <c r="H26" s="33"/>
      <c r="K26" s="31">
        <f>+[1]GRUPO!X26</f>
        <v>0.13626639617040687</v>
      </c>
      <c r="L26" s="32">
        <f>+[1]GRUPO!Y26</f>
        <v>0.10918054241615698</v>
      </c>
      <c r="M26" s="33"/>
      <c r="Q26" s="30" t="str">
        <f>+IF($B$3="esp","Margen EBIT Ajustado","Adjusted EBIT Margin")</f>
        <v>Adjusted EBIT Margin</v>
      </c>
      <c r="S26" s="31">
        <f>+[1]SANTILLANA!T26</f>
        <v>0.20405418611173204</v>
      </c>
      <c r="T26" s="32">
        <f>+[1]SANTILLANA!U26</f>
        <v>0.20581392907244156</v>
      </c>
      <c r="U26" s="33"/>
      <c r="X26" s="31">
        <f>+[1]SANTILLANA!X26</f>
        <v>0.20925778378857021</v>
      </c>
      <c r="Y26" s="32">
        <f>+[1]SANTILLANA!Y26</f>
        <v>0.18813755939519769</v>
      </c>
      <c r="Z26" s="33"/>
      <c r="AD26" s="17" t="str">
        <f>+IF($B$3="esp","Música","Music")</f>
        <v>Music</v>
      </c>
      <c r="AE26" s="1"/>
      <c r="AF26" s="18">
        <f>+[1]RADIO!T26</f>
        <v>0.1129801998053635</v>
      </c>
      <c r="AG26" s="19">
        <f>+[1]RADIO!U26</f>
        <v>-1.8579252473768402</v>
      </c>
      <c r="AH26" s="20" t="str">
        <f t="shared" si="6"/>
        <v>---</v>
      </c>
      <c r="AI26" s="1"/>
      <c r="AK26" s="18">
        <f>+[1]RADIO!X26</f>
        <v>0.43079198536063401</v>
      </c>
      <c r="AL26" s="19">
        <f>+[1]RADIO!Y26</f>
        <v>-0.76645780047268008</v>
      </c>
      <c r="AM26" s="20" t="str">
        <f t="shared" si="7"/>
        <v>---</v>
      </c>
      <c r="AN26" s="1"/>
      <c r="BA26" s="1"/>
      <c r="BD26" s="21" t="str">
        <f>+IF($B$3="esp","Margen EBITDA Ajustado","Adjusted EBITDA Margin")</f>
        <v>Adjusted EBITDA Margin</v>
      </c>
      <c r="BF26" s="27">
        <f>+'[1]MEDIA CAPITAL'!T26</f>
        <v>0.21240835962108473</v>
      </c>
      <c r="BG26" s="28">
        <f>+'[1]MEDIA CAPITAL'!U26</f>
        <v>0.20621604332671403</v>
      </c>
      <c r="BH26" s="29"/>
      <c r="BK26" s="27">
        <f>+'[1]MEDIA CAPITAL'!X26</f>
        <v>0.14291035792861964</v>
      </c>
      <c r="BL26" s="28">
        <f>+'[1]MEDIA CAPITAL'!Y26</f>
        <v>0.1521370244204108</v>
      </c>
      <c r="BM26" s="29"/>
    </row>
    <row r="27" spans="4:65">
      <c r="AD27" s="17" t="str">
        <f>+IF($B$3="esp","Ajustes y Otros","Adjustments &amp; others")</f>
        <v>Adjustments &amp; others</v>
      </c>
      <c r="AF27" s="18">
        <f>+[1]RADIO!T27</f>
        <v>-0.42782999999995203</v>
      </c>
      <c r="AG27" s="19">
        <f>+[1]RADIO!U27</f>
        <v>1.3811174426336947E-13</v>
      </c>
      <c r="AH27" s="20" t="str">
        <f t="shared" si="6"/>
        <v>---</v>
      </c>
      <c r="AK27" s="18">
        <f>+[1]RADIO!X27</f>
        <v>9.9999999998090505E-4</v>
      </c>
      <c r="AL27" s="19">
        <f>+[1]RADIO!Y27</f>
        <v>8.7929663550312398E-14</v>
      </c>
      <c r="AM27" s="20" t="str">
        <f t="shared" si="7"/>
        <v>---</v>
      </c>
      <c r="BD27" s="13" t="str">
        <f>+IF($B$3="esp","EBIT Ajustado Comparable","Comparable Adjusted EBIT")</f>
        <v>Comparable Adjusted EBIT</v>
      </c>
      <c r="BF27" s="14">
        <f>+'[1]MEDIA CAPITAL'!T27</f>
        <v>20.098867016331301</v>
      </c>
      <c r="BG27" s="15">
        <f>+'[1]MEDIA CAPITAL'!U27</f>
        <v>17.8775594329284</v>
      </c>
      <c r="BH27" s="16">
        <f>IF(BG27=0,"---",IF(OR(ABS((BF27-BG27)/ABS(BG27))&gt;2,(BF27*BG27)&lt;0),"---",IF(BG27="0","---",((BF27-BG27)/ABS(BG27))*100)))</f>
        <v>12.425116480449274</v>
      </c>
      <c r="BI27" s="13"/>
      <c r="BK27" s="14">
        <f>+'[1]MEDIA CAPITAL'!X27</f>
        <v>3.3471376046801993</v>
      </c>
      <c r="BL27" s="15">
        <f>+'[1]MEDIA CAPITAL'!Y27</f>
        <v>3.5513505023706013</v>
      </c>
      <c r="BM27" s="16">
        <f>IF(BL27=0,"---",IF(OR(ABS((BK27-BL27)/ABS(BL27))&gt;2,(BK27*BL27)&lt;0),"---",IF(BL27="0","---",((BK27-BL27)/ABS(BL27))*100)))</f>
        <v>-5.7502884481293997</v>
      </c>
    </row>
    <row r="28" spans="4:65">
      <c r="D28" s="9"/>
      <c r="F28" s="10">
        <v>2018</v>
      </c>
      <c r="G28" s="10">
        <v>2017</v>
      </c>
      <c r="H28" s="10" t="str">
        <f>+IF($B$3="esp","Var.%","% Chg.")</f>
        <v>% Chg.</v>
      </c>
      <c r="K28" s="10">
        <v>2018</v>
      </c>
      <c r="L28" s="10">
        <v>2017</v>
      </c>
      <c r="M28" s="10" t="str">
        <f>+IF($B$3="esp","Var.%","% Chg.")</f>
        <v>% Chg.</v>
      </c>
      <c r="Q28" s="9"/>
      <c r="S28" s="10">
        <v>2018</v>
      </c>
      <c r="T28" s="10">
        <v>2017</v>
      </c>
      <c r="U28" s="10" t="str">
        <f>+IF($B$3="esp","Var.%","% Chg.")</f>
        <v>% Chg.</v>
      </c>
      <c r="X28" s="10">
        <v>2018</v>
      </c>
      <c r="Y28" s="10">
        <v>2017</v>
      </c>
      <c r="Z28" s="10" t="str">
        <f>+IF($B$3="esp","Var.%","% Chg.")</f>
        <v>% Chg.</v>
      </c>
      <c r="AD28" s="38" t="str">
        <f>+IF($B$3="esp","Margen EBIT Ajustado","Adjusted EBIT Margin")</f>
        <v>Adjusted EBIT Margin</v>
      </c>
      <c r="AE28" s="22"/>
      <c r="AF28" s="39">
        <f>+[1]RADIO!T28</f>
        <v>0.15097268974242792</v>
      </c>
      <c r="AG28" s="40">
        <f>+[1]RADIO!U28</f>
        <v>9.9159036370211423E-2</v>
      </c>
      <c r="AH28" s="41"/>
      <c r="AI28" s="22"/>
      <c r="AK28" s="39">
        <f>+[1]RADIO!X28</f>
        <v>0.11188649098366663</v>
      </c>
      <c r="AL28" s="40">
        <f>+[1]RADIO!Y28</f>
        <v>6.3803762851181028E-2</v>
      </c>
      <c r="AM28" s="41"/>
      <c r="AN28" s="22"/>
      <c r="BA28" s="22"/>
      <c r="BD28" s="30" t="str">
        <f>+IF($B$3="esp","Margen EBIT Ajustado","Adjusted EBIT Margin")</f>
        <v>Adjusted EBIT Margin</v>
      </c>
      <c r="BF28" s="31">
        <f>+'[1]MEDIA CAPITAL'!T28</f>
        <v>0.16995559330416268</v>
      </c>
      <c r="BG28" s="32">
        <f>+'[1]MEDIA CAPITAL'!U28</f>
        <v>0.15504173971212537</v>
      </c>
      <c r="BH28" s="33"/>
      <c r="BI28" s="22"/>
      <c r="BK28" s="31">
        <f>+'[1]MEDIA CAPITAL'!X28</f>
        <v>9.2117157503697131E-2</v>
      </c>
      <c r="BL28" s="32">
        <f>+'[1]MEDIA CAPITAL'!Y28</f>
        <v>9.7901630701322545E-2</v>
      </c>
      <c r="BM28" s="33"/>
    </row>
    <row r="29" spans="4:65" ht="15.75" customHeight="1">
      <c r="D29" s="11" t="str">
        <f>+IF($B$3="esp","Resultados de Explotación Ajustados a tipo constante","Operating Adjusted Results at constant currency")</f>
        <v>Operating Adjusted Results at constant currency</v>
      </c>
      <c r="F29" s="12"/>
      <c r="G29" s="12"/>
      <c r="H29" s="12"/>
      <c r="K29" s="12"/>
      <c r="L29" s="12"/>
      <c r="M29" s="12"/>
      <c r="Q29" s="11" t="str">
        <f>+IF($B$3="esp","Resultados de Explotación Ajustados a tipo constante","Operating Adjusted Results at constant currency")</f>
        <v>Operating Adjusted Results at constant currency</v>
      </c>
      <c r="S29" s="12"/>
      <c r="T29" s="12"/>
      <c r="U29" s="12"/>
      <c r="X29" s="12"/>
      <c r="Y29" s="12"/>
      <c r="Z29" s="12"/>
      <c r="AD29" s="34" t="str">
        <f>+IF($B$3="esp","EBIT Ajustado con MX y CR","Adjusted EBIT w/MX&amp;CR")</f>
        <v>Adjusted EBIT w/MX&amp;CR</v>
      </c>
      <c r="AE29" s="13"/>
      <c r="AF29" s="35">
        <f>+[1]RADIO!T29</f>
        <v>36.252254799090601</v>
      </c>
      <c r="AG29" s="36">
        <f>+[1]RADIO!U29</f>
        <v>25.059714929916563</v>
      </c>
      <c r="AH29" s="37">
        <f>IF(AG29=0,"---",IF(OR(ABS((AF29-AG29)/ABS(AG29))&gt;2,(AF29*AG29)&lt;0),"---",IF(AG29="0","---",((AF29-AG29)/ABS(AG29))*100)))</f>
        <v>44.663476422121065</v>
      </c>
      <c r="AI29" s="13"/>
      <c r="AK29" s="35">
        <f>+[1]RADIO!X29</f>
        <v>9.1120119616657398</v>
      </c>
      <c r="AL29" s="36">
        <f>+[1]RADIO!Y29</f>
        <v>5.6999480814970376</v>
      </c>
      <c r="AM29" s="37">
        <f>IF(AL29=0,"---",IF(OR(ABS((AK29-AL29)/ABS(AL29))&gt;2,(AK29*AL29)&lt;0),"---",IF(AL29="0","---",((AK29-AL29)/ABS(AL29))*100)))</f>
        <v>59.861315074865665</v>
      </c>
      <c r="AN29" s="13"/>
      <c r="BA29" s="13"/>
    </row>
    <row r="30" spans="4:65" s="13" customFormat="1" ht="15" customHeight="1">
      <c r="D30" s="13" t="str">
        <f>+IF($B$3="esp","Ingresos de Explotación Ajustados a tipo constante","Operating Adjusted Revenues on constant currency")</f>
        <v>Operating Adjusted Revenues on constant currency</v>
      </c>
      <c r="F30" s="14">
        <f>+[1]GRUPO!T30</f>
        <v>1019.9665064602455</v>
      </c>
      <c r="G30" s="15">
        <f>+[1]GRUPO!U30</f>
        <v>994.81508180074729</v>
      </c>
      <c r="H30" s="16">
        <f t="shared" ref="H30:H39" si="8">IF(G30=0,"---",IF(OR(ABS((F30-G30)/ABS(G30))&gt;2,(F30*G30)&lt;0),"---",IF(G30="0","---",((F30-G30)/ABS(G30))*100)))</f>
        <v>2.528251241825842</v>
      </c>
      <c r="K30" s="14">
        <f>+[1]GRUPO!X30</f>
        <v>343.18173360436776</v>
      </c>
      <c r="L30" s="15">
        <f>+[1]GRUPO!Y30</f>
        <v>339.79072127746031</v>
      </c>
      <c r="M30" s="16">
        <f t="shared" ref="M30:M39" si="9">IF(L30=0,"---",IF(OR(ABS((K30-L30)/ABS(L30))&gt;2,(K30*L30)&lt;0),"---",IF(L30="0","---",((K30-L30)/ABS(L30))*100)))</f>
        <v>0.99797084339406805</v>
      </c>
      <c r="Q30" s="13" t="str">
        <f>+IF($B$3="esp","Ingresos de Explotación Ajustados a tipo constante","Operating Adjusted Revenues on constant currency")</f>
        <v>Operating Adjusted Revenues on constant currency</v>
      </c>
      <c r="S30" s="14">
        <f>+[1]SANTILLANA!T30</f>
        <v>531.29683151967117</v>
      </c>
      <c r="T30" s="15">
        <f>+[1]SANTILLANA!U30</f>
        <v>513.47072229197829</v>
      </c>
      <c r="U30" s="16">
        <f t="shared" ref="U30:U39" si="10">IF(T30=0,"---",IF(OR(ABS((S30-T30)/ABS(T30))&gt;2,(S30*T30)&lt;0),"---",IF(T30="0","---",((S30-T30)/ABS(T30))*100)))</f>
        <v>3.471689514861239</v>
      </c>
      <c r="X30" s="14">
        <f>+[1]SANTILLANA!X30</f>
        <v>187.05484482923515</v>
      </c>
      <c r="Y30" s="15">
        <f>+[1]SANTILLANA!Y30</f>
        <v>185.4492388622993</v>
      </c>
      <c r="Z30" s="16">
        <f t="shared" ref="Z30:Z39" si="11">IF(Y30=0,"---",IF(OR(ABS((X30-Y30)/ABS(Y30))&gt;2,(X30*Y30)&lt;0),"---",IF(Y30="0","---",((X30-Y30)/ABS(Y30))*100)))</f>
        <v>0.86579269712077767</v>
      </c>
      <c r="AD30" s="1"/>
      <c r="AE30" s="1"/>
      <c r="AF30" s="1"/>
      <c r="AG30" s="1"/>
      <c r="AH30" s="1"/>
      <c r="AI30" s="1"/>
      <c r="AK30" s="1"/>
      <c r="AL30" s="1"/>
      <c r="AM30" s="1"/>
      <c r="AN30" s="1"/>
      <c r="BA30" s="1"/>
      <c r="BD30" s="1"/>
      <c r="BF30" s="1"/>
      <c r="BG30" s="1"/>
      <c r="BH30" s="1"/>
      <c r="BI30" s="1"/>
      <c r="BK30" s="1"/>
      <c r="BL30" s="1"/>
      <c r="BM30" s="1"/>
    </row>
    <row r="31" spans="4:65" ht="15" customHeight="1">
      <c r="D31" s="17" t="str">
        <f>+IF($B$3="esp","España","Spain")</f>
        <v>Spain</v>
      </c>
      <c r="F31" s="18">
        <f>+[1]GRUPO!T31</f>
        <v>412.09909927356722</v>
      </c>
      <c r="G31" s="19">
        <f>+[1]GRUPO!U31</f>
        <v>426.26758562700087</v>
      </c>
      <c r="H31" s="20">
        <f t="shared" si="8"/>
        <v>-3.3238479375796532</v>
      </c>
      <c r="K31" s="18">
        <f>+[1]GRUPO!X31</f>
        <v>182.41291090897087</v>
      </c>
      <c r="L31" s="19">
        <f>+[1]GRUPO!Y31</f>
        <v>181.35816884808355</v>
      </c>
      <c r="M31" s="20">
        <f t="shared" si="9"/>
        <v>0.58157957129068505</v>
      </c>
      <c r="Q31" s="17" t="str">
        <f>+IF($B$3="esp","España","Spain")</f>
        <v>Spain</v>
      </c>
      <c r="S31" s="18">
        <f>+[1]SANTILLANA!T31</f>
        <v>127.81477648009786</v>
      </c>
      <c r="T31" s="19">
        <f>+[1]SANTILLANA!U31</f>
        <v>139.06418482874767</v>
      </c>
      <c r="U31" s="20">
        <f t="shared" si="10"/>
        <v>-8.0893641756164847</v>
      </c>
      <c r="X31" s="18">
        <f>+[1]SANTILLANA!X31</f>
        <v>90.5136620021824</v>
      </c>
      <c r="Y31" s="19">
        <f>+[1]SANTILLANA!Y31</f>
        <v>92.521348441855253</v>
      </c>
      <c r="Z31" s="20">
        <f t="shared" si="11"/>
        <v>-2.1699710104577394</v>
      </c>
      <c r="AD31" s="9"/>
      <c r="AF31" s="10">
        <v>2018</v>
      </c>
      <c r="AG31" s="10">
        <v>2017</v>
      </c>
      <c r="AH31" s="10" t="str">
        <f>+IF($B$3="esp","Var.%","% Chg.")</f>
        <v>% Chg.</v>
      </c>
      <c r="AK31" s="10">
        <v>2018</v>
      </c>
      <c r="AL31" s="10">
        <v>2017</v>
      </c>
      <c r="AM31" s="10" t="str">
        <f>+IF($B$3="esp","Var.%","% Chg.")</f>
        <v>% Chg.</v>
      </c>
    </row>
    <row r="32" spans="4:65" ht="15" customHeight="1">
      <c r="D32" s="17" t="str">
        <f>+IF($B$3="esp","Internacional","International")</f>
        <v>International</v>
      </c>
      <c r="F32" s="18">
        <f>+[1]GRUPO!T32</f>
        <v>607.86740718667829</v>
      </c>
      <c r="G32" s="19">
        <f>+[1]GRUPO!U32</f>
        <v>568.54749617374637</v>
      </c>
      <c r="H32" s="20">
        <f t="shared" si="8"/>
        <v>6.9158533416381243</v>
      </c>
      <c r="K32" s="18">
        <f>+[1]GRUPO!X32</f>
        <v>160.76882269539692</v>
      </c>
      <c r="L32" s="19">
        <f>+[1]GRUPO!Y32</f>
        <v>158.4325524293767</v>
      </c>
      <c r="M32" s="20">
        <f t="shared" si="9"/>
        <v>1.4746150523969141</v>
      </c>
      <c r="Q32" s="17" t="str">
        <f>+IF($B$3="esp","Internacional","International")</f>
        <v>International</v>
      </c>
      <c r="S32" s="18">
        <f>+[1]SANTILLANA!T32</f>
        <v>403.48205503957331</v>
      </c>
      <c r="T32" s="19">
        <f>+[1]SANTILLANA!U32</f>
        <v>374.40653746323062</v>
      </c>
      <c r="U32" s="20">
        <f t="shared" si="10"/>
        <v>7.7657611892522347</v>
      </c>
      <c r="X32" s="18">
        <f>+[1]SANTILLANA!X32</f>
        <v>96.541182827052751</v>
      </c>
      <c r="Y32" s="19">
        <f>+[1]SANTILLANA!Y32</f>
        <v>92.927890420444044</v>
      </c>
      <c r="Z32" s="20">
        <f t="shared" si="11"/>
        <v>3.8882755115398444</v>
      </c>
      <c r="AD32" s="11" t="str">
        <f>+IF($B$3="esp","Resultados de Explotación Ajustados a tipo constante","Operating Adjusted Results at constant currency")</f>
        <v>Operating Adjusted Results at constant currency</v>
      </c>
      <c r="AF32" s="12"/>
      <c r="AG32" s="12"/>
      <c r="AH32" s="12"/>
      <c r="AK32" s="12"/>
      <c r="AL32" s="12"/>
      <c r="AM32" s="12"/>
    </row>
    <row r="33" spans="4:65" ht="15" customHeight="1">
      <c r="D33" s="26" t="str">
        <f>+IF($B$3="esp","Portugal","Portugal")</f>
        <v>Portugal</v>
      </c>
      <c r="F33" s="18">
        <f>+[1]GRUPO!T33</f>
        <v>478.77708468667839</v>
      </c>
      <c r="G33" s="19">
        <f>+[1]GRUPO!U33</f>
        <v>450.05033448374644</v>
      </c>
      <c r="H33" s="20">
        <f t="shared" si="8"/>
        <v>6.3830082997015118</v>
      </c>
      <c r="K33" s="18">
        <f>+[1]GRUPO!X33</f>
        <v>118.17827034539704</v>
      </c>
      <c r="L33" s="19">
        <f>+[1]GRUPO!Y33</f>
        <v>118.53489399937672</v>
      </c>
      <c r="M33" s="20">
        <f t="shared" si="9"/>
        <v>-0.30085963883475281</v>
      </c>
      <c r="Q33" s="26" t="str">
        <f>+IF($B$3="esp","Latam","Latam")</f>
        <v>Latam</v>
      </c>
      <c r="S33" s="18">
        <f>+[1]SANTILLANA!T33</f>
        <v>399.94529803957329</v>
      </c>
      <c r="T33" s="19">
        <f>+[1]SANTILLANA!U33</f>
        <v>370.65804546323062</v>
      </c>
      <c r="U33" s="20">
        <f t="shared" si="10"/>
        <v>7.9014209821726284</v>
      </c>
      <c r="X33" s="18">
        <f>+[1]SANTILLANA!X33</f>
        <v>93.034233827052731</v>
      </c>
      <c r="Y33" s="19">
        <f>+[1]SANTILLANA!Y33</f>
        <v>89.247476420444059</v>
      </c>
      <c r="Z33" s="20">
        <f t="shared" si="11"/>
        <v>4.2429854136931464</v>
      </c>
      <c r="AD33" s="13" t="str">
        <f>+IF($B$3="esp","Ingresos de Explotación Ajustados a tipo constante","Operating Adjusted Revenues on constant currency")</f>
        <v>Operating Adjusted Revenues on constant currency</v>
      </c>
      <c r="AE33" s="13"/>
      <c r="AF33" s="14">
        <f>+[1]RADIO!T33</f>
        <v>211.06427909727819</v>
      </c>
      <c r="AG33" s="15">
        <f>+[1]RADIO!U33</f>
        <v>202.82103665034901</v>
      </c>
      <c r="AH33" s="16">
        <f t="shared" ref="AH33:AH43" si="12">IF(AG33=0,"---",IF(OR(ABS((AF33-AG33)/ABS(AG33))&gt;2,(AF33*AG33)&lt;0),"---",IF(AG33="0","---",((AF33-AG33)/ABS(AG33))*100)))</f>
        <v>4.0642936172050126</v>
      </c>
      <c r="AI33" s="13"/>
      <c r="AK33" s="14">
        <f>+[1]RADIO!X33</f>
        <v>70.938755842953185</v>
      </c>
      <c r="AL33" s="15">
        <f>+[1]RADIO!Y33</f>
        <v>66.053131958342021</v>
      </c>
      <c r="AM33" s="16">
        <f t="shared" ref="AM33:AM43" si="13">IF(AL33=0,"---",IF(OR(ABS((AK33-AL33)/ABS(AL33))&gt;2,(AK33*AL33)&lt;0),"---",IF(AL33="0","---",((AK33-AL33)/ABS(AL33))*100)))</f>
        <v>7.3965060244113756</v>
      </c>
      <c r="AN33" s="13"/>
      <c r="BA33" s="13"/>
    </row>
    <row r="34" spans="4:65" ht="15" customHeight="1">
      <c r="D34" s="26" t="str">
        <f>+IF($B$3="esp","Latam","Latam")</f>
        <v>Latam</v>
      </c>
      <c r="F34" s="18">
        <f>+[1]GRUPO!T34</f>
        <v>129.09032249999998</v>
      </c>
      <c r="G34" s="19">
        <f>+[1]GRUPO!U34</f>
        <v>118.49716169</v>
      </c>
      <c r="H34" s="20">
        <f t="shared" si="8"/>
        <v>8.939590331887203</v>
      </c>
      <c r="K34" s="18">
        <f>+[1]GRUPO!X34</f>
        <v>42.590552349999967</v>
      </c>
      <c r="L34" s="19">
        <f>+[1]GRUPO!Y34</f>
        <v>39.897658430000007</v>
      </c>
      <c r="M34" s="20">
        <f t="shared" si="9"/>
        <v>6.749503670057762</v>
      </c>
      <c r="Q34" s="26" t="str">
        <f>+IF($B$3="esp","Portugal","Portugal")</f>
        <v>Portugal</v>
      </c>
      <c r="S34" s="18">
        <f>+[1]SANTILLANA!T34</f>
        <v>3.5367570000000002</v>
      </c>
      <c r="T34" s="19">
        <f>+[1]SANTILLANA!U34</f>
        <v>3.7484920000000002</v>
      </c>
      <c r="U34" s="20">
        <f t="shared" si="10"/>
        <v>-5.6485381321342025</v>
      </c>
      <c r="X34" s="18">
        <f>+[1]SANTILLANA!X34</f>
        <v>3.5069490000000001</v>
      </c>
      <c r="Y34" s="19">
        <f>+[1]SANTILLANA!Y34</f>
        <v>3.6804140000000003</v>
      </c>
      <c r="Z34" s="20">
        <f t="shared" si="11"/>
        <v>-4.7131925919203708</v>
      </c>
      <c r="AD34" s="17" t="str">
        <f>+IF($B$3="esp","España","Spain")</f>
        <v>Spain</v>
      </c>
      <c r="AF34" s="18">
        <f>+[1]RADIO!T34</f>
        <v>133.80983763</v>
      </c>
      <c r="AG34" s="19">
        <f>+[1]RADIO!U34</f>
        <v>129.03484419</v>
      </c>
      <c r="AH34" s="20">
        <f t="shared" si="12"/>
        <v>3.7005457479136146</v>
      </c>
      <c r="AK34" s="18">
        <f>+[1]RADIO!X34</f>
        <v>40.194304450000004</v>
      </c>
      <c r="AL34" s="19">
        <f>+[1]RADIO!Y34</f>
        <v>37.252511999999996</v>
      </c>
      <c r="AM34" s="20">
        <f t="shared" si="13"/>
        <v>7.8968968589286233</v>
      </c>
    </row>
    <row r="35" spans="4:65" s="13" customFormat="1" ht="15" customHeight="1">
      <c r="D35" s="13" t="str">
        <f>+IF($B$3="esp","EBITDA Ajustado a tipo constante","Adjusted EBITDA on constant currency")</f>
        <v>Adjusted EBITDA on constant currency</v>
      </c>
      <c r="F35" s="14">
        <f>+[1]GRUPO!T35</f>
        <v>227.20196866787441</v>
      </c>
      <c r="G35" s="15">
        <f>+[1]GRUPO!U35</f>
        <v>211.3833517514673</v>
      </c>
      <c r="H35" s="16">
        <f t="shared" si="8"/>
        <v>7.4833787927659285</v>
      </c>
      <c r="K35" s="14">
        <f>+[1]GRUPO!X35</f>
        <v>80.346376534730638</v>
      </c>
      <c r="L35" s="15">
        <f>+[1]GRUPO!Y35</f>
        <v>79.583226860163165</v>
      </c>
      <c r="M35" s="16">
        <f t="shared" si="9"/>
        <v>0.95893281119200369</v>
      </c>
      <c r="Q35" s="13" t="str">
        <f>+IF($B$3="esp","EBITDA Ajustado a tipo constante","Adjusted EBITDA on constant currency")</f>
        <v>Adjusted EBITDA on constant currency</v>
      </c>
      <c r="S35" s="14">
        <f>+[1]SANTILLANA!T35</f>
        <v>167.27828375882748</v>
      </c>
      <c r="T35" s="15">
        <f>+[1]SANTILLANA!U35</f>
        <v>165.01028584425259</v>
      </c>
      <c r="U35" s="16">
        <f t="shared" si="10"/>
        <v>1.3744585090383852</v>
      </c>
      <c r="X35" s="14">
        <f>+[1]SANTILLANA!X35</f>
        <v>67.304362096898814</v>
      </c>
      <c r="Y35" s="15">
        <f>+[1]SANTILLANA!Y35</f>
        <v>70.806810370322879</v>
      </c>
      <c r="Z35" s="16">
        <f t="shared" si="11"/>
        <v>-4.9464850275080874</v>
      </c>
      <c r="AD35" s="17" t="str">
        <f>+IF($B$3="esp","Latam","Latam")</f>
        <v>Latam</v>
      </c>
      <c r="AE35" s="1"/>
      <c r="AF35" s="18">
        <f>+[1]RADIO!T35</f>
        <v>70.747793690862608</v>
      </c>
      <c r="AG35" s="19">
        <f>+[1]RADIO!U35</f>
        <v>68.526984595122599</v>
      </c>
      <c r="AH35" s="20">
        <f t="shared" si="12"/>
        <v>3.2407804149871708</v>
      </c>
      <c r="AI35" s="1"/>
      <c r="AK35" s="18">
        <f>+[1]RADIO!X35</f>
        <v>22.727505470038409</v>
      </c>
      <c r="AL35" s="19">
        <f>+[1]RADIO!Y35</f>
        <v>23.8171133981797</v>
      </c>
      <c r="AM35" s="20">
        <f t="shared" si="13"/>
        <v>-4.5748949922057625</v>
      </c>
      <c r="AN35" s="1"/>
      <c r="BA35" s="1"/>
    </row>
    <row r="36" spans="4:65" ht="15" customHeight="1">
      <c r="D36" s="17" t="str">
        <f>+IF($B$3="esp","España","Spain")</f>
        <v>Spain</v>
      </c>
      <c r="F36" s="18">
        <f>+[1]GRUPO!T36</f>
        <v>75.013227549997509</v>
      </c>
      <c r="G36" s="19">
        <f>+[1]GRUPO!U36</f>
        <v>72.06447323313877</v>
      </c>
      <c r="H36" s="20">
        <f t="shared" si="8"/>
        <v>4.0918280319889409</v>
      </c>
      <c r="K36" s="18">
        <f>+[1]GRUPO!X36</f>
        <v>59.970746689997583</v>
      </c>
      <c r="L36" s="19">
        <f>+[1]GRUPO!Y36</f>
        <v>56.397920266976328</v>
      </c>
      <c r="M36" s="20">
        <f t="shared" si="9"/>
        <v>6.3350322247845634</v>
      </c>
      <c r="Q36" s="17" t="str">
        <f>+IF($B$3="esp","España","Spain")</f>
        <v>Spain</v>
      </c>
      <c r="S36" s="18">
        <f>+[1]SANTILLANA!T36</f>
        <v>51.074381799999685</v>
      </c>
      <c r="T36" s="19">
        <f>+[1]SANTILLANA!U36</f>
        <v>60.992472016975256</v>
      </c>
      <c r="U36" s="20">
        <f t="shared" si="10"/>
        <v>-16.261171074055163</v>
      </c>
      <c r="X36" s="18">
        <f>+[1]SANTILLANA!X36</f>
        <v>56.170502199999703</v>
      </c>
      <c r="Y36" s="19">
        <f>+[1]SANTILLANA!Y36</f>
        <v>58.627110376976191</v>
      </c>
      <c r="Z36" s="20">
        <f t="shared" si="11"/>
        <v>-4.1902255819540404</v>
      </c>
      <c r="AD36" s="17" t="str">
        <f>+IF($B$3="esp","Música","Music")</f>
        <v>Music</v>
      </c>
      <c r="AF36" s="18">
        <f>+[1]RADIO!T36</f>
        <v>12.383893559445335</v>
      </c>
      <c r="AG36" s="19">
        <f>+[1]RADIO!U36</f>
        <v>11.9571570410289</v>
      </c>
      <c r="AH36" s="20">
        <f t="shared" si="12"/>
        <v>3.5688794330639229</v>
      </c>
      <c r="AK36" s="18">
        <f>+[1]RADIO!X36</f>
        <v>9.8518098813980455</v>
      </c>
      <c r="AL36" s="19">
        <f>+[1]RADIO!Y36</f>
        <v>7.2232817594895495</v>
      </c>
      <c r="AM36" s="20">
        <f t="shared" si="13"/>
        <v>36.389666213079401</v>
      </c>
    </row>
    <row r="37" spans="4:65" ht="15" customHeight="1">
      <c r="D37" s="17" t="str">
        <f>+IF($B$3="esp","Internacional","International")</f>
        <v>International</v>
      </c>
      <c r="F37" s="18">
        <f>+[1]GRUPO!T37</f>
        <v>152.1887411178769</v>
      </c>
      <c r="G37" s="19">
        <f>+[1]GRUPO!U37</f>
        <v>139.31887851832855</v>
      </c>
      <c r="H37" s="20">
        <f t="shared" si="8"/>
        <v>9.2377018365498973</v>
      </c>
      <c r="K37" s="18">
        <f>+[1]GRUPO!X37</f>
        <v>20.375629844733055</v>
      </c>
      <c r="L37" s="19">
        <f>+[1]GRUPO!Y37</f>
        <v>23.185306593186837</v>
      </c>
      <c r="M37" s="20">
        <f t="shared" si="9"/>
        <v>-12.118350633669969</v>
      </c>
      <c r="Q37" s="17" t="str">
        <f>+IF($B$3="esp","Internacional","International")</f>
        <v>International</v>
      </c>
      <c r="S37" s="18">
        <f>+[1]SANTILLANA!T37</f>
        <v>116.2039019588278</v>
      </c>
      <c r="T37" s="19">
        <f>+[1]SANTILLANA!U37</f>
        <v>104.01781382727734</v>
      </c>
      <c r="U37" s="20">
        <f t="shared" si="10"/>
        <v>11.7153857432397</v>
      </c>
      <c r="X37" s="18">
        <f>+[1]SANTILLANA!X37</f>
        <v>11.133859896899111</v>
      </c>
      <c r="Y37" s="19">
        <f>+[1]SANTILLANA!Y37</f>
        <v>12.179699993346688</v>
      </c>
      <c r="Z37" s="20">
        <f t="shared" si="11"/>
        <v>-8.5867475965654343</v>
      </c>
      <c r="AD37" s="17" t="str">
        <f>+IF($B$3="esp","Ajustes y Otros","Adjustments &amp; others")</f>
        <v>Adjustments &amp; others</v>
      </c>
      <c r="AF37" s="18">
        <f>+[1]RADIO!T37</f>
        <v>-5.8772457830297586</v>
      </c>
      <c r="AG37" s="19">
        <f>+[1]RADIO!U37</f>
        <v>-6.6979491758024849</v>
      </c>
      <c r="AH37" s="20">
        <f t="shared" si="12"/>
        <v>12.253054946096951</v>
      </c>
      <c r="AK37" s="18">
        <f>+[1]RADIO!X37</f>
        <v>-1.8348639584832735</v>
      </c>
      <c r="AL37" s="19">
        <f>+[1]RADIO!Y37</f>
        <v>-2.2397751993272239</v>
      </c>
      <c r="AM37" s="20">
        <f t="shared" si="13"/>
        <v>18.078208963362762</v>
      </c>
    </row>
    <row r="38" spans="4:65" ht="15" customHeight="1">
      <c r="D38" s="26" t="str">
        <f>+IF($B$3="esp","Portugal","Portugal")</f>
        <v>Portugal</v>
      </c>
      <c r="F38" s="18">
        <f>+[1]GRUPO!T38</f>
        <v>125.96308904154559</v>
      </c>
      <c r="G38" s="19">
        <f>+[1]GRUPO!U38</f>
        <v>115.25406874540015</v>
      </c>
      <c r="H38" s="20">
        <f t="shared" si="8"/>
        <v>9.2916635505528244</v>
      </c>
      <c r="K38" s="18">
        <f>+[1]GRUPO!X38</f>
        <v>12.88016353005284</v>
      </c>
      <c r="L38" s="19">
        <f>+[1]GRUPO!Y38</f>
        <v>15.769025640816238</v>
      </c>
      <c r="M38" s="20">
        <f t="shared" si="9"/>
        <v>-18.319851692586024</v>
      </c>
      <c r="Q38" s="26" t="str">
        <f>+IF($B$3="esp","Latam","Latam")</f>
        <v>Latam</v>
      </c>
      <c r="S38" s="18">
        <f>+[1]SANTILLANA!T38</f>
        <v>114.8481669588278</v>
      </c>
      <c r="T38" s="19">
        <f>+[1]SANTILLANA!U38</f>
        <v>103.46081082727734</v>
      </c>
      <c r="U38" s="20">
        <f t="shared" si="10"/>
        <v>11.006443928378914</v>
      </c>
      <c r="X38" s="18">
        <f>+[1]SANTILLANA!X38</f>
        <v>8.8542278968991184</v>
      </c>
      <c r="Y38" s="19">
        <f>+[1]SANTILLANA!Y38</f>
        <v>10.100464993346691</v>
      </c>
      <c r="Z38" s="20">
        <f t="shared" si="11"/>
        <v>-12.338413105421237</v>
      </c>
      <c r="AD38" s="13" t="str">
        <f>+IF($B$3="esp","Ingresos de Explotación a TC CTE con MX y CR","Operating Revenues on ctt ccy w/MX&amp;CR")</f>
        <v>Operating Revenues on ctt ccy w/MX&amp;CR</v>
      </c>
      <c r="AE38" s="13"/>
      <c r="AF38" s="14">
        <f>+[1]RADIO!T38</f>
        <v>227.70302067864526</v>
      </c>
      <c r="AG38" s="15">
        <f>+[1]RADIO!U38</f>
        <v>217.62852707372812</v>
      </c>
      <c r="AH38" s="16">
        <f t="shared" si="12"/>
        <v>4.6292155446625358</v>
      </c>
      <c r="AI38" s="13"/>
      <c r="AK38" s="14">
        <f>+[1]RADIO!X38</f>
        <v>75.819849963158276</v>
      </c>
      <c r="AL38" s="15">
        <f>+[1]RADIO!Y38</f>
        <v>70.846315585678809</v>
      </c>
      <c r="AM38" s="16">
        <f t="shared" si="13"/>
        <v>7.0201736482183978</v>
      </c>
      <c r="AN38" s="13"/>
      <c r="BA38" s="13"/>
    </row>
    <row r="39" spans="4:65" ht="15" customHeight="1">
      <c r="D39" s="26" t="str">
        <f>+IF($B$3="esp","Latam","Latam")</f>
        <v>Latam</v>
      </c>
      <c r="F39" s="18">
        <f>+[1]GRUPO!T39</f>
        <v>26.225652076331301</v>
      </c>
      <c r="G39" s="19">
        <f>+[1]GRUPO!U39</f>
        <v>24.064809772928403</v>
      </c>
      <c r="H39" s="20">
        <f t="shared" si="8"/>
        <v>8.9792619338870807</v>
      </c>
      <c r="K39" s="18">
        <f>+[1]GRUPO!X39</f>
        <v>7.4954663146802005</v>
      </c>
      <c r="L39" s="19">
        <f>+[1]GRUPO!Y39</f>
        <v>7.4162809523706059</v>
      </c>
      <c r="M39" s="20">
        <f t="shared" si="9"/>
        <v>1.0677233348917707</v>
      </c>
      <c r="Q39" s="26" t="str">
        <f>+IF($B$3="esp","Portugal","Portugal")</f>
        <v>Portugal</v>
      </c>
      <c r="S39" s="18">
        <f>+[1]SANTILLANA!T39</f>
        <v>1.355735000000001</v>
      </c>
      <c r="T39" s="19">
        <f>+[1]SANTILLANA!U39</f>
        <v>0.55700300000000091</v>
      </c>
      <c r="U39" s="20">
        <f t="shared" si="10"/>
        <v>143.39815045879445</v>
      </c>
      <c r="X39" s="18">
        <f>+[1]SANTILLANA!X39</f>
        <v>2.2796320000000012</v>
      </c>
      <c r="Y39" s="19">
        <f>+[1]SANTILLANA!Y39</f>
        <v>2.0792350000000011</v>
      </c>
      <c r="Z39" s="20">
        <f t="shared" si="11"/>
        <v>9.6380159048880998</v>
      </c>
      <c r="AD39" s="13" t="str">
        <f>+IF($B$3="esp","EBITDA Ajustado a tipo constante","Adjusted EBITDA on constant currency")</f>
        <v>Adjusted EBITDA on constant currency</v>
      </c>
      <c r="AE39" s="13"/>
      <c r="AF39" s="14">
        <f>+[1]RADIO!T39</f>
        <v>38.29692541037128</v>
      </c>
      <c r="AG39" s="15">
        <f>+[1]RADIO!U39</f>
        <v>28.466654266150478</v>
      </c>
      <c r="AH39" s="16">
        <f t="shared" si="12"/>
        <v>34.53258346524381</v>
      </c>
      <c r="AI39" s="13"/>
      <c r="AK39" s="14">
        <f>+[1]RADIO!X39</f>
        <v>9.9782296662994661</v>
      </c>
      <c r="AL39" s="15">
        <f>+[1]RADIO!Y39</f>
        <v>6.4529485499776769</v>
      </c>
      <c r="AM39" s="16">
        <f t="shared" si="13"/>
        <v>54.63054740044354</v>
      </c>
      <c r="AN39" s="13"/>
      <c r="BA39" s="13"/>
    </row>
    <row r="40" spans="4:65" s="22" customFormat="1" ht="15" customHeight="1">
      <c r="D40" s="21" t="str">
        <f>+IF($B$3="esp","Margen EBITDA Ajustado","Adjusted EBITDA Margin")</f>
        <v>Adjusted EBITDA Margin</v>
      </c>
      <c r="F40" s="27">
        <f>+[1]GRUPO!T40</f>
        <v>0.22275434264637778</v>
      </c>
      <c r="G40" s="28">
        <f>+[1]GRUPO!U40</f>
        <v>0.2124850694551548</v>
      </c>
      <c r="H40" s="29"/>
      <c r="K40" s="27">
        <f>+[1]GRUPO!X40</f>
        <v>0.23412194958883456</v>
      </c>
      <c r="L40" s="28">
        <f>+[1]GRUPO!Y40</f>
        <v>0.23421247808346862</v>
      </c>
      <c r="M40" s="29"/>
      <c r="Q40" s="21" t="str">
        <f>+IF($B$3="esp","Margen EBITDA Ajustado","Adjusted EBITDA Margin")</f>
        <v>Adjusted EBITDA Margin</v>
      </c>
      <c r="S40" s="27">
        <f>+[1]SANTILLANA!T40</f>
        <v>0.3148490144019126</v>
      </c>
      <c r="T40" s="28">
        <f>+[1]SANTILLANA!U40</f>
        <v>0.321362599035241</v>
      </c>
      <c r="U40" s="29"/>
      <c r="X40" s="27">
        <f>+[1]SANTILLANA!X40</f>
        <v>0.35981084669761887</v>
      </c>
      <c r="Y40" s="28">
        <f>+[1]SANTILLANA!Y40</f>
        <v>0.38181235363763727</v>
      </c>
      <c r="Z40" s="29"/>
      <c r="AD40" s="17" t="str">
        <f>+IF($B$3="esp","España","Spain")</f>
        <v>Spain</v>
      </c>
      <c r="AE40" s="1"/>
      <c r="AF40" s="18">
        <f>+[1]RADIO!T40</f>
        <v>23.333077019999998</v>
      </c>
      <c r="AG40" s="19">
        <f>+[1]RADIO!U40</f>
        <v>14.7671469499999</v>
      </c>
      <c r="AH40" s="20">
        <f t="shared" si="12"/>
        <v>58.006669121689455</v>
      </c>
      <c r="AI40" s="1"/>
      <c r="AK40" s="18">
        <f>+[1]RADIO!X40</f>
        <v>4.5121513899999961</v>
      </c>
      <c r="AL40" s="19">
        <f>+[1]RADIO!Y40</f>
        <v>0.47404027999999698</v>
      </c>
      <c r="AM40" s="20" t="str">
        <f t="shared" si="13"/>
        <v>---</v>
      </c>
      <c r="AN40" s="1"/>
      <c r="BA40" s="1"/>
    </row>
    <row r="41" spans="4:65" s="13" customFormat="1" ht="15" customHeight="1">
      <c r="D41" s="13" t="str">
        <f>+IF($B$3="esp","EBIT Ajustado a tipo constante","Adjusted EBIT on constant currency")</f>
        <v>Adjusted EBIT on constant currency</v>
      </c>
      <c r="F41" s="14">
        <f>+[1]GRUPO!T41</f>
        <v>149.66361052643154</v>
      </c>
      <c r="G41" s="15">
        <f>+[1]GRUPO!U41</f>
        <v>130.21720565339629</v>
      </c>
      <c r="H41" s="16">
        <f>IF(G41=0,"---",IF(OR(ABS((F41-G41)/ABS(G41))&gt;2,(F41*G41)&lt;0),"---",IF(G41="0","---",((F41-G41)/ABS(G41))*100)))</f>
        <v>14.933821360593797</v>
      </c>
      <c r="K41" s="14">
        <f>+[1]GRUPO!X41</f>
        <v>40.612387240122857</v>
      </c>
      <c r="L41" s="15">
        <f>+[1]GRUPO!Y41</f>
        <v>37.09853525705033</v>
      </c>
      <c r="M41" s="16">
        <f>IF(L41=0,"---",IF(OR(ABS((K41-L41)/ABS(L41))&gt;2,(K41*L41)&lt;0),"---",IF(L41="0","---",((K41-L41)/ABS(L41))*100)))</f>
        <v>9.4716730963245865</v>
      </c>
      <c r="Q41" s="13" t="str">
        <f>+IF($B$3="esp","EBIT Ajustado a tipo constante","Adjusted EBIT on constant currency")</f>
        <v>Adjusted EBIT on constant currency</v>
      </c>
      <c r="S41" s="14">
        <f>+[1]SANTILLANA!T41</f>
        <v>108.6633891858247</v>
      </c>
      <c r="T41" s="15">
        <f>+[1]SANTILLANA!U41</f>
        <v>105.67942681857656</v>
      </c>
      <c r="U41" s="16">
        <f>IF(T41=0,"---",IF(OR(ABS((S41-T41)/ABS(T41))&gt;2,(S41*T41)&lt;0),"---",IF(T41="0","---",((S41-T41)/ABS(T41))*100)))</f>
        <v>2.8235981752350043</v>
      </c>
      <c r="X41" s="14">
        <f>+[1]SANTILLANA!X41</f>
        <v>34.361091526401538</v>
      </c>
      <c r="Y41" s="15">
        <f>+[1]SANTILLANA!Y41</f>
        <v>34.889967191250037</v>
      </c>
      <c r="Z41" s="16">
        <f>IF(Y41=0,"---",IF(OR(ABS((X41-Y41)/ABS(Y41))&gt;2,(X41*Y41)&lt;0),"---",IF(Y41="0","---",((X41-Y41)/ABS(Y41))*100)))</f>
        <v>-1.5158388139187888</v>
      </c>
      <c r="AD41" s="17" t="str">
        <f>+IF($B$3="esp","Latam","Latam")</f>
        <v>Latam</v>
      </c>
      <c r="AE41" s="1"/>
      <c r="AF41" s="18">
        <f>+[1]RADIO!T41</f>
        <v>15.022845385766916</v>
      </c>
      <c r="AG41" s="19">
        <f>+[1]RADIO!U41</f>
        <v>15.124500148969478</v>
      </c>
      <c r="AH41" s="20">
        <f t="shared" si="12"/>
        <v>-0.67211982016799898</v>
      </c>
      <c r="AI41" s="1"/>
      <c r="AK41" s="18">
        <f>+[1]RADIO!X41</f>
        <v>5.1360540183223655</v>
      </c>
      <c r="AL41" s="19">
        <f>+[1]RADIO!Y41</f>
        <v>6.698238111133568</v>
      </c>
      <c r="AM41" s="20">
        <f t="shared" si="13"/>
        <v>-23.322313523232278</v>
      </c>
      <c r="AN41" s="1"/>
      <c r="BA41" s="1"/>
    </row>
    <row r="42" spans="4:65" ht="15" customHeight="1">
      <c r="D42" s="17" t="str">
        <f>+IF($B$3="esp","España","Spain")</f>
        <v>Spain</v>
      </c>
      <c r="F42" s="18">
        <f>+[1]GRUPO!T42</f>
        <v>40.610586969997634</v>
      </c>
      <c r="G42" s="19">
        <f>+[1]GRUPO!U42</f>
        <v>30.535602849763688</v>
      </c>
      <c r="H42" s="20">
        <f>IF(G42=0,"---",IF(OR(ABS((F42-G42)/ABS(G42))&gt;2,(F42*G42)&lt;0),"---",IF(G42="0","---",((F42-G42)/ABS(G42))*100)))</f>
        <v>32.994220450807035</v>
      </c>
      <c r="K42" s="18">
        <f>+[1]GRUPO!X42</f>
        <v>34.091762059997301</v>
      </c>
      <c r="L42" s="19">
        <f>+[1]GRUPO!Y42</f>
        <v>24.957210512284366</v>
      </c>
      <c r="M42" s="20">
        <f>IF(L42=0,"---",IF(OR(ABS((K42-L42)/ABS(L42))&gt;2,(K42*L42)&lt;0),"---",IF(L42="0","---",((K42-L42)/ABS(L42))*100)))</f>
        <v>36.600851458205845</v>
      </c>
      <c r="Q42" s="17" t="str">
        <f>+IF($B$3="esp","España","Spain")</f>
        <v>Spain</v>
      </c>
      <c r="S42" s="18">
        <f>+[1]SANTILLANA!T42</f>
        <v>26.512149079999645</v>
      </c>
      <c r="T42" s="19">
        <f>+[1]SANTILLANA!U42</f>
        <v>32.060832916975627</v>
      </c>
      <c r="U42" s="20">
        <f>IF(T42=0,"---",IF(OR(ABS((S42-T42)/ABS(T42))&gt;2,(S42*T42)&lt;0),"---",IF(T42="0","---",((S42-T42)/ABS(T42))*100)))</f>
        <v>-17.306736388741964</v>
      </c>
      <c r="X42" s="18">
        <f>+[1]SANTILLANA!X42</f>
        <v>33.488867589999813</v>
      </c>
      <c r="Y42" s="19">
        <f>+[1]SANTILLANA!Y42</f>
        <v>31.137609806976698</v>
      </c>
      <c r="Z42" s="20">
        <f>IF(Y42=0,"---",IF(OR(ABS((X42-Y42)/ABS(Y42))&gt;2,(X42*Y42)&lt;0),"---",IF(Y42="0","---",((X42-Y42)/ABS(Y42))*100)))</f>
        <v>7.5511826296194764</v>
      </c>
      <c r="AD42" s="17" t="str">
        <f>+IF($B$3="esp","Música","Music")</f>
        <v>Music</v>
      </c>
      <c r="AF42" s="18">
        <f>+[1]RADIO!T42</f>
        <v>5.3034536386003653E-2</v>
      </c>
      <c r="AG42" s="19">
        <f>+[1]RADIO!U42</f>
        <v>-1.4249928328186201</v>
      </c>
      <c r="AH42" s="20" t="str">
        <f t="shared" si="12"/>
        <v>---</v>
      </c>
      <c r="AK42" s="18">
        <f>+[1]RADIO!X42</f>
        <v>0.44205578975864523</v>
      </c>
      <c r="AL42" s="19">
        <f>+[1]RADIO!Y42</f>
        <v>-0.71932984115559118</v>
      </c>
      <c r="AM42" s="20" t="str">
        <f t="shared" si="13"/>
        <v>---</v>
      </c>
    </row>
    <row r="43" spans="4:65" ht="15" customHeight="1">
      <c r="D43" s="17" t="str">
        <f>+IF($B$3="esp","Internacional","International")</f>
        <v>International</v>
      </c>
      <c r="F43" s="18">
        <f>+[1]GRUPO!T43</f>
        <v>109.05302355643391</v>
      </c>
      <c r="G43" s="19">
        <f>+[1]GRUPO!U43</f>
        <v>99.6816028036326</v>
      </c>
      <c r="H43" s="20">
        <f>IF(G43=0,"---",IF(OR(ABS((F43-G43)/ABS(G43))&gt;2,(F43*G43)&lt;0),"---",IF(G43="0","---",((F43-G43)/ABS(G43))*100)))</f>
        <v>9.4013544016366879</v>
      </c>
      <c r="K43" s="18">
        <f>+[1]GRUPO!X43</f>
        <v>6.5206251801255632</v>
      </c>
      <c r="L43" s="19">
        <f>+[1]GRUPO!Y43</f>
        <v>12.141324744765967</v>
      </c>
      <c r="M43" s="20">
        <f>IF(L43=0,"---",IF(OR(ABS((K43-L43)/ABS(L43))&gt;2,(K43*L43)&lt;0),"---",IF(L43="0","---",((K43-L43)/ABS(L43))*100)))</f>
        <v>-46.293956242818105</v>
      </c>
      <c r="Q43" s="17" t="str">
        <f>+IF($B$3="esp","Internacional","International")</f>
        <v>International</v>
      </c>
      <c r="S43" s="18">
        <f>+[1]SANTILLANA!T43</f>
        <v>82.151240105825053</v>
      </c>
      <c r="T43" s="19">
        <f>+[1]SANTILLANA!U43</f>
        <v>73.618593901600931</v>
      </c>
      <c r="U43" s="20">
        <f>IF(T43=0,"---",IF(OR(ABS((S43-T43)/ABS(T43))&gt;2,(S43*T43)&lt;0),"---",IF(T43="0","---",((S43-T43)/ABS(T43))*100)))</f>
        <v>11.590341178790931</v>
      </c>
      <c r="X43" s="18">
        <f>+[1]SANTILLANA!X43</f>
        <v>0.87222393640172413</v>
      </c>
      <c r="Y43" s="19">
        <f>+[1]SANTILLANA!Y43</f>
        <v>3.7523573842733384</v>
      </c>
      <c r="Z43" s="20">
        <f>IF(Y43=0,"---",IF(OR(ABS((X43-Y43)/ABS(Y43))&gt;2,(X43*Y43)&lt;0),"---",IF(Y43="0","---",((X43-Y43)/ABS(Y43))*100)))</f>
        <v>-76.755307475313032</v>
      </c>
      <c r="AD43" s="17" t="str">
        <f>+IF($B$3="esp","Ajustes y Otros","Adjustments &amp; others")</f>
        <v>Adjustments &amp; others</v>
      </c>
      <c r="AF43" s="18">
        <f>+[1]RADIO!T43</f>
        <v>-0.11203153178163673</v>
      </c>
      <c r="AG43" s="19">
        <f>+[1]RADIO!U43</f>
        <v>-2.7955415760061442E-13</v>
      </c>
      <c r="AH43" s="20" t="str">
        <f t="shared" si="12"/>
        <v>---</v>
      </c>
      <c r="AK43" s="18">
        <f>+[1]RADIO!X43</f>
        <v>-0.11203153178154081</v>
      </c>
      <c r="AL43" s="19">
        <f>+[1]RADIO!Y43</f>
        <v>-2.9698465908722937E-13</v>
      </c>
      <c r="AM43" s="20" t="str">
        <f t="shared" si="13"/>
        <v>---</v>
      </c>
    </row>
    <row r="44" spans="4:65" ht="15" customHeight="1">
      <c r="D44" s="26" t="str">
        <f>+IF($B$3="esp","Portugal","Portugal")</f>
        <v>Portugal</v>
      </c>
      <c r="F44" s="18">
        <f>+[1]GRUPO!T44</f>
        <v>87.774265140102614</v>
      </c>
      <c r="G44" s="19">
        <f>+[1]GRUPO!U44</f>
        <v>80.874665170704205</v>
      </c>
      <c r="H44" s="20">
        <f>IF(G44=0,"---",IF(OR(ABS((F44-G44)/ABS(G44))&gt;2,(F44*G44)&lt;0),"---",IF(G44="0","---",((F44-G44)/ABS(G44))*100)))</f>
        <v>8.5312253903435007</v>
      </c>
      <c r="K44" s="18">
        <f>+[1]GRUPO!X44</f>
        <v>0.80618441544535813</v>
      </c>
      <c r="L44" s="19">
        <f>+[1]GRUPO!Y44</f>
        <v>6.7767059123953715</v>
      </c>
      <c r="M44" s="20">
        <f>IF(L44=0,"---",IF(OR(ABS((K44-L44)/ABS(L44))&gt;2,(K44*L44)&lt;0),"---",IF(L44="0","---",((K44-L44)/ABS(L44))*100)))</f>
        <v>-88.103594491672496</v>
      </c>
      <c r="Q44" s="26" t="str">
        <f>+IF($B$3="esp","Latam","Latam")</f>
        <v>Latam</v>
      </c>
      <c r="S44" s="18">
        <f>+[1]SANTILLANA!T44</f>
        <v>81.135673105825049</v>
      </c>
      <c r="T44" s="19">
        <f>+[1]SANTILLANA!U44</f>
        <v>73.50463790160093</v>
      </c>
      <c r="U44" s="20">
        <f>IF(T44=0,"---",IF(OR(ABS((S44-T44)/ABS(T44))&gt;2,(S44*T44)&lt;0),"---",IF(T44="0","---",((S44-T44)/ABS(T44))*100)))</f>
        <v>10.381705729153609</v>
      </c>
      <c r="X44" s="18">
        <f>+[1]SANTILLANA!X44</f>
        <v>-1.069142063598278</v>
      </c>
      <c r="Y44" s="19">
        <f>+[1]SANTILLANA!Y44</f>
        <v>2.1114363842733326</v>
      </c>
      <c r="Z44" s="20" t="str">
        <f>IF(Y44=0,"---",IF(OR(ABS((X44-Y44)/ABS(Y44))&gt;2,(X44*Y44)&lt;0),"---",IF(Y44="0","---",((X44-Y44)/ABS(Y44))*100)))</f>
        <v>---</v>
      </c>
      <c r="AD44" s="21" t="str">
        <f>+IF($B$3="esp","Margen EBITDA Ajustado","Adjusted EBITDA Margin")</f>
        <v>Adjusted EBITDA Margin</v>
      </c>
      <c r="AE44" s="22"/>
      <c r="AF44" s="27">
        <f>+[1]RADIO!T44</f>
        <v>0.18144674017871337</v>
      </c>
      <c r="AG44" s="28">
        <f>+[1]RADIO!U44</f>
        <v>0.14035355866573759</v>
      </c>
      <c r="AH44" s="29"/>
      <c r="AI44" s="22"/>
      <c r="AK44" s="27">
        <f>+[1]RADIO!X44</f>
        <v>0.14065977825139245</v>
      </c>
      <c r="AL44" s="28">
        <f>+[1]RADIO!Y44</f>
        <v>9.7693301720308767E-2</v>
      </c>
      <c r="AM44" s="29"/>
      <c r="AN44" s="22"/>
      <c r="BA44" s="22"/>
    </row>
    <row r="45" spans="4:65" ht="15" customHeight="1">
      <c r="D45" s="26" t="str">
        <f>+IF($B$3="esp","Latam","Latam")</f>
        <v>Latam</v>
      </c>
      <c r="F45" s="18">
        <f>+[1]GRUPO!T45</f>
        <v>21.278758416331303</v>
      </c>
      <c r="G45" s="19">
        <f>+[1]GRUPO!U45</f>
        <v>18.806937632928403</v>
      </c>
      <c r="H45" s="20">
        <f>IF(G45=0,"---",IF(OR(ABS((F45-G45)/ABS(G45))&gt;2,(F45*G45)&lt;0),"---",IF(G45="0","---",((F45-G45)/ABS(G45))*100)))</f>
        <v>13.143132771786711</v>
      </c>
      <c r="K45" s="18">
        <f>+[1]GRUPO!X45</f>
        <v>5.7144407646802033</v>
      </c>
      <c r="L45" s="19">
        <f>+[1]GRUPO!Y45</f>
        <v>5.3646188323706028</v>
      </c>
      <c r="M45" s="20">
        <f>IF(L45=0,"---",IF(OR(ABS((K45-L45)/ABS(L45))&gt;2,(K45*L45)&lt;0),"---",IF(L45="0","---",((K45-L45)/ABS(L45))*100)))</f>
        <v>6.5209093738168855</v>
      </c>
      <c r="Q45" s="26" t="str">
        <f>+IF($B$3="esp","Portugal","Portugal")</f>
        <v>Portugal</v>
      </c>
      <c r="S45" s="18">
        <f>+[1]SANTILLANA!T45</f>
        <v>1.0155670000000001</v>
      </c>
      <c r="T45" s="19">
        <f>+[1]SANTILLANA!U45</f>
        <v>0.11395600000000121</v>
      </c>
      <c r="U45" s="20" t="str">
        <f>IF(T45=0,"---",IF(OR(ABS((S45-T45)/ABS(T45))&gt;2,(S45*T45)&lt;0),"---",IF(T45="0","---",((S45-T45)/ABS(T45))*100)))</f>
        <v>---</v>
      </c>
      <c r="X45" s="18">
        <f>+[1]SANTILLANA!X45</f>
        <v>1.9413659999999999</v>
      </c>
      <c r="Y45" s="19">
        <f>+[1]SANTILLANA!Y45</f>
        <v>1.6409210000000012</v>
      </c>
      <c r="Z45" s="20">
        <f>IF(Y45=0,"---",IF(OR(ABS((X45-Y45)/ABS(Y45))&gt;2,(X45*Y45)&lt;0),"---",IF(Y45="0","---",((X45-Y45)/ABS(Y45))*100)))</f>
        <v>18.309534706423925</v>
      </c>
      <c r="AD45" s="13" t="str">
        <f>+IF($B$3="esp","EBITDA Ajustado a TC CTE con MX y CR","Adjusted EBITDA on ctt ccy w/MX&amp;CR")</f>
        <v>Adjusted EBITDA on ctt ccy w/MX&amp;CR</v>
      </c>
      <c r="AE45" s="13"/>
      <c r="AF45" s="14">
        <f>+[1]RADIO!T45</f>
        <v>44.698680699435762</v>
      </c>
      <c r="AG45" s="15">
        <f>+[1]RADIO!U45</f>
        <v>34.113087445114331</v>
      </c>
      <c r="AH45" s="16">
        <f t="shared" ref="AH45:AH50" si="14">IF(AG45=0,"---",IF(OR(ABS((AF45-AG45)/ABS(AG45))&gt;2,(AF45*AG45)&lt;0),"---",IF(AG45="0","---",((AF45-AG45)/ABS(AG45))*100)))</f>
        <v>31.030885935941566</v>
      </c>
      <c r="AI45" s="13"/>
      <c r="AK45" s="14">
        <f>+[1]RADIO!X45</f>
        <v>11.555490377611285</v>
      </c>
      <c r="AL45" s="15">
        <f>+[1]RADIO!Y45</f>
        <v>8.2042907657086417</v>
      </c>
      <c r="AM45" s="16">
        <f t="shared" ref="AM45:AM50" si="15">IF(AL45=0,"---",IF(OR(ABS((AK45-AL45)/ABS(AL45))&gt;2,(AK45*AL45)&lt;0),"---",IF(AL45="0","---",((AK45-AL45)/ABS(AL45))*100)))</f>
        <v>40.846914225780559</v>
      </c>
      <c r="AN45" s="13"/>
      <c r="BA45" s="13"/>
    </row>
    <row r="46" spans="4:65" s="22" customFormat="1" ht="15" customHeight="1">
      <c r="D46" s="30" t="str">
        <f>+IF($B$3="esp","Margen EBIT Ajustado","Adjusted EBIT Margin")</f>
        <v>Adjusted EBIT Margin</v>
      </c>
      <c r="F46" s="31">
        <f>+[1]GRUPO!T46</f>
        <v>0.14673384819844071</v>
      </c>
      <c r="G46" s="32">
        <f>+[1]GRUPO!U46</f>
        <v>0.13089589013637176</v>
      </c>
      <c r="H46" s="33"/>
      <c r="K46" s="31">
        <f>+[1]GRUPO!X46</f>
        <v>0.11834076019600238</v>
      </c>
      <c r="L46" s="32">
        <f>+[1]GRUPO!Y46</f>
        <v>0.10918054241615698</v>
      </c>
      <c r="M46" s="33"/>
      <c r="Q46" s="30" t="str">
        <f>+IF($B$3="esp","Margen EBIT Ajustado","Adjusted EBIT Margin")</f>
        <v>Adjusted EBIT Margin</v>
      </c>
      <c r="S46" s="31">
        <f>+[1]SANTILLANA!T46</f>
        <v>0.20452482066383537</v>
      </c>
      <c r="T46" s="32">
        <f>+[1]SANTILLANA!U46</f>
        <v>0.20581392907244156</v>
      </c>
      <c r="U46" s="33"/>
      <c r="X46" s="31">
        <f>+[1]SANTILLANA!X46</f>
        <v>0.18369527695350651</v>
      </c>
      <c r="Y46" s="32">
        <f>+[1]SANTILLANA!Y46</f>
        <v>0.18813755939519769</v>
      </c>
      <c r="Z46" s="33"/>
      <c r="AD46" s="13" t="str">
        <f>+IF($B$3="esp","EBIT Ajustado a tipo constante","Adjusted EBIT on constant currency")</f>
        <v>Adjusted EBIT on constant currency</v>
      </c>
      <c r="AE46" s="13"/>
      <c r="AF46" s="14">
        <f>+[1]RADIO!T46</f>
        <v>29.573415577128856</v>
      </c>
      <c r="AG46" s="15">
        <f>+[1]RADIO!U46</f>
        <v>20.111538549855943</v>
      </c>
      <c r="AH46" s="16">
        <f t="shared" si="14"/>
        <v>47.047007387411874</v>
      </c>
      <c r="AI46" s="13"/>
      <c r="AK46" s="14">
        <f>+[1]RADIO!X46</f>
        <v>6.3651209436634382</v>
      </c>
      <c r="AL46" s="15">
        <f>+[1]RADIO!Y46</f>
        <v>4.2144383670478209</v>
      </c>
      <c r="AM46" s="16">
        <f t="shared" si="15"/>
        <v>51.031297394963502</v>
      </c>
      <c r="AN46" s="13"/>
      <c r="BA46" s="13"/>
    </row>
    <row r="47" spans="4:65">
      <c r="AD47" s="17" t="str">
        <f>+IF($B$3="esp","España","Spain")</f>
        <v>Spain</v>
      </c>
      <c r="AF47" s="18">
        <f>+[1]RADIO!T47</f>
        <v>19.031660870000103</v>
      </c>
      <c r="AG47" s="19">
        <f>+[1]RADIO!U47</f>
        <v>10.497377259999901</v>
      </c>
      <c r="AH47" s="20">
        <f t="shared" si="14"/>
        <v>81.299198824833724</v>
      </c>
      <c r="AK47" s="18">
        <f>+[1]RADIO!X47</f>
        <v>2.9642289800001045</v>
      </c>
      <c r="AL47" s="19">
        <f>+[1]RADIO!Y47</f>
        <v>-1.0039081599999982</v>
      </c>
      <c r="AM47" s="20" t="str">
        <f t="shared" si="15"/>
        <v>---</v>
      </c>
    </row>
    <row r="48" spans="4:65">
      <c r="D48" s="9" t="s">
        <v>5</v>
      </c>
      <c r="F48" s="10">
        <v>2018</v>
      </c>
      <c r="G48" s="10">
        <v>2017</v>
      </c>
      <c r="H48" s="10" t="str">
        <f>+IF($B$3="esp","Var.%","% Chg.")</f>
        <v>% Chg.</v>
      </c>
      <c r="K48" s="10">
        <v>2018</v>
      </c>
      <c r="L48" s="10">
        <v>2017</v>
      </c>
      <c r="M48" s="10" t="str">
        <f>+IF($B$3="esp","Var.%","% Chg.")</f>
        <v>% Chg.</v>
      </c>
      <c r="Q48" s="9"/>
      <c r="S48" s="10">
        <v>2018</v>
      </c>
      <c r="T48" s="10">
        <v>2017</v>
      </c>
      <c r="U48" s="10" t="str">
        <f>+IF($B$3="esp","Var.%","% Chg.")</f>
        <v>% Chg.</v>
      </c>
      <c r="X48" s="10">
        <v>2018</v>
      </c>
      <c r="Y48" s="10">
        <v>2017</v>
      </c>
      <c r="Z48" s="10" t="str">
        <f>+IF($B$3="esp","Var.%","% Chg.")</f>
        <v>% Chg.</v>
      </c>
      <c r="AD48" s="17" t="str">
        <f>+IF($B$3="esp","Latam","Latam")</f>
        <v>Latam</v>
      </c>
      <c r="AF48" s="18">
        <f>+[1]RADIO!T48</f>
        <v>11.751471192009481</v>
      </c>
      <c r="AG48" s="19">
        <f>+[1]RADIO!U48</f>
        <v>11.472086537232745</v>
      </c>
      <c r="AH48" s="20">
        <f t="shared" si="14"/>
        <v>2.4353429855152435</v>
      </c>
      <c r="AK48" s="18">
        <f>+[1]RADIO!X48</f>
        <v>3.8314913541965305</v>
      </c>
      <c r="AL48" s="19">
        <f>+[1]RADIO!Y48</f>
        <v>5.9848043275204112</v>
      </c>
      <c r="AM48" s="20">
        <f t="shared" si="15"/>
        <v>-35.979672107609716</v>
      </c>
      <c r="AQ48" s="9"/>
      <c r="AS48" s="10">
        <v>2018</v>
      </c>
      <c r="AT48" s="10">
        <v>2017</v>
      </c>
      <c r="AU48" s="10" t="str">
        <f>+IF($B$3="esp","Var.%","% Chg.")</f>
        <v>% Chg.</v>
      </c>
      <c r="AX48" s="10">
        <v>2018</v>
      </c>
      <c r="AY48" s="10">
        <v>2017</v>
      </c>
      <c r="AZ48" s="10" t="str">
        <f>+IF($B$3="esp","Var.%","% Chg.")</f>
        <v>% Chg.</v>
      </c>
      <c r="BD48" s="9"/>
      <c r="BF48" s="10">
        <v>2018</v>
      </c>
      <c r="BG48" s="10">
        <v>2017</v>
      </c>
      <c r="BH48" s="10" t="str">
        <f>+IF($B$3="esp","Var.%","% Chg.")</f>
        <v>% Chg.</v>
      </c>
      <c r="BK48" s="10">
        <v>2018</v>
      </c>
      <c r="BL48" s="10">
        <v>2017</v>
      </c>
      <c r="BM48" s="10" t="str">
        <f>+IF($B$3="esp","Var.%","% Chg.")</f>
        <v>% Chg.</v>
      </c>
    </row>
    <row r="49" spans="4:65" ht="15.75" customHeight="1">
      <c r="D49" s="11" t="str">
        <f>+IF($B$3="esp","Resultados Reportados","Reported Results")</f>
        <v>Reported Results</v>
      </c>
      <c r="F49" s="12"/>
      <c r="G49" s="12"/>
      <c r="H49" s="12"/>
      <c r="K49" s="12"/>
      <c r="L49" s="12"/>
      <c r="M49" s="12"/>
      <c r="Q49" s="11" t="str">
        <f>+IF($B$3="esp","Resultados Reportados","Reported Results")</f>
        <v>Reported Results</v>
      </c>
      <c r="S49" s="12"/>
      <c r="T49" s="12"/>
      <c r="U49" s="12"/>
      <c r="X49" s="12"/>
      <c r="Y49" s="12"/>
      <c r="Z49" s="12"/>
      <c r="AD49" s="17" t="str">
        <f>+IF($B$3="esp","Música","Music")</f>
        <v>Music</v>
      </c>
      <c r="AF49" s="18">
        <f>+[1]RADIO!T49</f>
        <v>7.9593574917558446E-2</v>
      </c>
      <c r="AG49" s="19">
        <f>+[1]RADIO!U49</f>
        <v>-1.8579252473768402</v>
      </c>
      <c r="AH49" s="20" t="str">
        <f t="shared" si="14"/>
        <v>---</v>
      </c>
      <c r="AK49" s="18">
        <f>+[1]RADIO!X49</f>
        <v>0.42988066926508206</v>
      </c>
      <c r="AL49" s="19">
        <f>+[1]RADIO!Y49</f>
        <v>-0.76645780047268008</v>
      </c>
      <c r="AM49" s="20" t="str">
        <f t="shared" si="15"/>
        <v>---</v>
      </c>
      <c r="AQ49" s="11" t="str">
        <f>+IF($B$3="esp","Resultados Reportados","Reported Results")</f>
        <v>Reported Results</v>
      </c>
      <c r="AS49" s="12"/>
      <c r="AT49" s="12"/>
      <c r="AU49" s="12"/>
      <c r="AX49" s="12"/>
      <c r="AY49" s="12"/>
      <c r="AZ49" s="12"/>
      <c r="BD49" s="11" t="str">
        <f>+IF($B$3="esp","Resultados Reportados","Reported Results")</f>
        <v>Reported Results</v>
      </c>
      <c r="BF49" s="12"/>
      <c r="BG49" s="12"/>
      <c r="BH49" s="12"/>
      <c r="BK49" s="12"/>
      <c r="BL49" s="12"/>
      <c r="BM49" s="12"/>
    </row>
    <row r="50" spans="4:65" s="13" customFormat="1" ht="15" customHeight="1">
      <c r="D50" s="13" t="str">
        <f>+IF($B$3="esp","Ingresos de Explotación","Operating Revenues")</f>
        <v>Operating Revenues</v>
      </c>
      <c r="F50" s="14">
        <f>+[1]GRUPO!T64</f>
        <v>949.17368560346597</v>
      </c>
      <c r="G50" s="15">
        <f>+[1]GRUPO!U64</f>
        <v>1008.5875179033301</v>
      </c>
      <c r="H50" s="16">
        <f t="shared" ref="H50:H64" si="16">IF(G50=0,"---",IF(OR(ABS((F50-G50)/ABS(G50))&gt;2,(F50*G50)&lt;0),"---",IF(G50="0","---",((F50-G50)/ABS(G50))*100)))</f>
        <v>-5.8907959146048778</v>
      </c>
      <c r="K50" s="14">
        <f>+[1]GRUPO!X64</f>
        <v>320.08986168877993</v>
      </c>
      <c r="L50" s="15">
        <f>+[1]GRUPO!Y64</f>
        <v>353.56315738004309</v>
      </c>
      <c r="M50" s="16">
        <f t="shared" ref="M50:M64" si="17">IF(L50=0,"---",IF(OR(ABS((K50-L50)/ABS(L50))&gt;2,(K50*L50)&lt;0),"---",IF(L50="0","---",((K50-L50)/ABS(L50))*100)))</f>
        <v>-9.4674162147734471</v>
      </c>
      <c r="Q50" s="13" t="str">
        <f>+IF($B$3="esp","Ingresos de Explotación","Operating Revenues")</f>
        <v>Operating Revenues</v>
      </c>
      <c r="S50" s="14">
        <f>+[1]SANTILLANA!T64</f>
        <v>467.59816027889303</v>
      </c>
      <c r="T50" s="15">
        <f>+[1]SANTILLANA!U64</f>
        <v>522.60915839456095</v>
      </c>
      <c r="U50" s="16">
        <f t="shared" ref="U50:U64" si="18">IF(T50=0,"---",IF(OR(ABS((S50-T50)/ABS(T50))&gt;2,(S50*T50)&lt;0),"---",IF(T50="0","---",((S50-T50)/ABS(T50))*100)))</f>
        <v>-10.526221600222236</v>
      </c>
      <c r="X50" s="14">
        <f>+[1]SANTILLANA!X64</f>
        <v>166.26297127451301</v>
      </c>
      <c r="Y50" s="15">
        <f>+[1]SANTILLANA!Y64</f>
        <v>194.58767496488196</v>
      </c>
      <c r="Z50" s="16">
        <f t="shared" ref="Z50:Z64" si="19">IF(Y50=0,"---",IF(OR(ABS((X50-Y50)/ABS(Y50))&gt;2,(X50*Y50)&lt;0),"---",IF(Y50="0","---",((X50-Y50)/ABS(Y50))*100)))</f>
        <v>-14.556268116919957</v>
      </c>
      <c r="AD50" s="17" t="str">
        <f>+IF($B$3="esp","Ajustes y Otros","Adjustments &amp; others")</f>
        <v>Adjustments &amp; others</v>
      </c>
      <c r="AE50" s="1"/>
      <c r="AF50" s="18">
        <f>+[1]RADIO!T50</f>
        <v>-1.2893100597982863</v>
      </c>
      <c r="AG50" s="19">
        <f>+[1]RADIO!U50</f>
        <v>1.3811174426336947E-13</v>
      </c>
      <c r="AH50" s="20" t="str">
        <f t="shared" si="14"/>
        <v>---</v>
      </c>
      <c r="AI50" s="1"/>
      <c r="AK50" s="18">
        <f>+[1]RADIO!X50</f>
        <v>-0.86048005979827891</v>
      </c>
      <c r="AL50" s="19">
        <f>+[1]RADIO!Y50</f>
        <v>8.7929663550312398E-14</v>
      </c>
      <c r="AM50" s="20" t="str">
        <f t="shared" si="15"/>
        <v>---</v>
      </c>
      <c r="AN50" s="1"/>
      <c r="AQ50" s="13" t="str">
        <f>+IF($B$3="esp","Ingresos de Explotación","Operating Revenues")</f>
        <v>Operating Revenues</v>
      </c>
      <c r="AS50" s="14">
        <f>+[1]NOTICIAS!T22</f>
        <v>144.90139858759801</v>
      </c>
      <c r="AT50" s="15">
        <f>+[1]NOTICIAS!U22</f>
        <v>157.42095472154497</v>
      </c>
      <c r="AU50" s="16">
        <f t="shared" ref="AU50:AU55" si="20">IF(AT50=0,"---",IF(OR(ABS((AS50-AT50)/ABS(AT50))&gt;2,(AS50*AT50)&lt;0),"---",IF(AT50="0","---",((AS50-AT50)/ABS(AT50))*100)))</f>
        <v>-7.9529158974370713</v>
      </c>
      <c r="AX50" s="14">
        <f>+[1]NOTICIAS!X22</f>
        <v>44.644046409705012</v>
      </c>
      <c r="AY50" s="15">
        <f>+[1]NOTICIAS!Y22</f>
        <v>48.367039217277977</v>
      </c>
      <c r="AZ50" s="16">
        <f t="shared" ref="AZ50:AZ55" si="21">IF(AY50=0,"---",IF(OR(ABS((AX50-AY50)/ABS(AY50))&gt;2,(AX50*AY50)&lt;0),"---",IF(AY50="0","---",((AX50-AY50)/ABS(AY50))*100)))</f>
        <v>-7.6973758737810298</v>
      </c>
      <c r="BA50" s="1"/>
      <c r="BD50" s="13" t="str">
        <f>+IF($B$3="esp","Ingresos de Explotación","Operating Revenues")</f>
        <v>Operating Revenues</v>
      </c>
      <c r="BE50" s="1"/>
      <c r="BF50" s="14">
        <f>+'[1]MEDIA CAPITAL'!T33</f>
        <v>126.00252077</v>
      </c>
      <c r="BG50" s="15">
        <f>+'[1]MEDIA CAPITAL'!U33</f>
        <v>115.30804198999999</v>
      </c>
      <c r="BH50" s="16">
        <f>IF(BG50=0,"---",IF(OR(ABS((BF50-BG50)/ABS(BG50))&gt;2,(BF50*BG50)&lt;0),"---",IF(BG50="0","---",((BF50-BG50)/ABS(BG50))*100)))</f>
        <v>9.2747033038055431</v>
      </c>
      <c r="BJ50" s="1"/>
      <c r="BK50" s="14">
        <f>+'[1]MEDIA CAPITAL'!X33</f>
        <v>39.126658800000001</v>
      </c>
      <c r="BL50" s="15">
        <f>+'[1]MEDIA CAPITAL'!Y33</f>
        <v>36.27468180999999</v>
      </c>
      <c r="BM50" s="16">
        <f>IF(BL50=0,"---",IF(OR(ABS((BK50-BL50)/ABS(BL50))&gt;2,(BK50*BL50)&lt;0),"---",IF(BL50="0","---",((BK50-BL50)/ABS(BL50))*100)))</f>
        <v>7.8621695565467231</v>
      </c>
    </row>
    <row r="51" spans="4:65" ht="15" customHeight="1">
      <c r="D51" s="17" t="str">
        <f>+IF($B$3="esp","España","Spain")</f>
        <v>Spain</v>
      </c>
      <c r="F51" s="18">
        <f>+[1]GRUPO!T65</f>
        <v>412.09909927356722</v>
      </c>
      <c r="G51" s="19">
        <f>+[1]GRUPO!U65</f>
        <v>430.90158562700088</v>
      </c>
      <c r="H51" s="20">
        <f t="shared" si="16"/>
        <v>-4.3635222010321311</v>
      </c>
      <c r="K51" s="18">
        <f>+[1]GRUPO!X65</f>
        <v>182.41291090897087</v>
      </c>
      <c r="L51" s="19">
        <f>+[1]GRUPO!Y65</f>
        <v>185.99216884808357</v>
      </c>
      <c r="M51" s="20">
        <f t="shared" si="17"/>
        <v>-1.9244132488374786</v>
      </c>
      <c r="Q51" s="17" t="str">
        <f>+IF($B$3="esp","España","Spain")</f>
        <v>Spain</v>
      </c>
      <c r="S51" s="18">
        <f>+[1]SANTILLANA!T65</f>
        <v>127.81477648009792</v>
      </c>
      <c r="T51" s="19">
        <f>+[1]SANTILLANA!U65</f>
        <v>139.06418482874761</v>
      </c>
      <c r="U51" s="20">
        <f t="shared" si="18"/>
        <v>-8.0893641756164065</v>
      </c>
      <c r="X51" s="18">
        <f>+[1]SANTILLANA!X65</f>
        <v>90.513662002182457</v>
      </c>
      <c r="Y51" s="19">
        <f>+[1]SANTILLANA!Y65</f>
        <v>92.521348441855196</v>
      </c>
      <c r="Z51" s="20">
        <f t="shared" si="19"/>
        <v>-2.1699710104576178</v>
      </c>
      <c r="AD51" s="38" t="str">
        <f>+IF($B$3="esp","Margen EBIT Ajustado","Adjusted EBIT Margin")</f>
        <v>Adjusted EBIT Margin</v>
      </c>
      <c r="AE51" s="22"/>
      <c r="AF51" s="39">
        <f>+[1]RADIO!T51</f>
        <v>0.14011568278447845</v>
      </c>
      <c r="AG51" s="40">
        <f>+[1]RADIO!U51</f>
        <v>9.9159036370211423E-2</v>
      </c>
      <c r="AH51" s="41"/>
      <c r="AI51" s="22"/>
      <c r="AK51" s="39">
        <f>+[1]RADIO!X51</f>
        <v>8.972698869648596E-2</v>
      </c>
      <c r="AL51" s="40">
        <f>+[1]RADIO!Y51</f>
        <v>6.3803762851181028E-2</v>
      </c>
      <c r="AM51" s="41"/>
      <c r="AN51" s="22"/>
      <c r="AQ51" s="21" t="str">
        <f>+IF($B$3="esp","Publicidad","Advertising")</f>
        <v>Advertising</v>
      </c>
      <c r="AR51" s="22"/>
      <c r="AS51" s="23">
        <f>+[1]NOTICIAS!T23</f>
        <v>71.678472599159306</v>
      </c>
      <c r="AT51" s="24">
        <f>+[1]NOTICIAS!U23</f>
        <v>71.670896436666197</v>
      </c>
      <c r="AU51" s="25">
        <f t="shared" si="20"/>
        <v>1.0570765638188807E-2</v>
      </c>
      <c r="AX51" s="23">
        <f>+[1]NOTICIAS!X23</f>
        <v>21.856112694577305</v>
      </c>
      <c r="AY51" s="24">
        <f>+[1]NOTICIAS!Y23</f>
        <v>20.588127793300394</v>
      </c>
      <c r="AZ51" s="25">
        <f t="shared" si="21"/>
        <v>6.1588159642642566</v>
      </c>
      <c r="BA51" s="22"/>
      <c r="BD51" s="21" t="str">
        <f>+IF($B$3="esp","Publicidad","Advertising")</f>
        <v>Advertising</v>
      </c>
      <c r="BF51" s="23">
        <f>+'[1]MEDIA CAPITAL'!T34</f>
        <v>84.548098809999999</v>
      </c>
      <c r="BG51" s="24">
        <f>+'[1]MEDIA CAPITAL'!U34</f>
        <v>82.988945519999987</v>
      </c>
      <c r="BH51" s="25">
        <f>IF(BG51=0,"---",IF(OR(ABS((BF51-BG51)/ABS(BG51))&gt;2,(BF51*BG51)&lt;0),"---",IF(BG51="0","---",((BF51-BG51)/ABS(BG51))*100)))</f>
        <v>1.8787481636626679</v>
      </c>
      <c r="BI51" s="22"/>
      <c r="BK51" s="23">
        <f>+'[1]MEDIA CAPITAL'!X34</f>
        <v>25.948322129999994</v>
      </c>
      <c r="BL51" s="24">
        <f>+'[1]MEDIA CAPITAL'!Y34</f>
        <v>25.887452199999984</v>
      </c>
      <c r="BM51" s="25">
        <f>IF(BL51=0,"---",IF(OR(ABS((BK51-BL51)/ABS(BL51))&gt;2,(BK51*BL51)&lt;0),"---",IF(BL51="0","---",((BK51-BL51)/ABS(BL51))*100)))</f>
        <v>0.23513294985440772</v>
      </c>
    </row>
    <row r="52" spans="4:65" ht="15" customHeight="1">
      <c r="D52" s="17" t="str">
        <f>+IF($B$3="esp","Internacional","International")</f>
        <v>International</v>
      </c>
      <c r="F52" s="18">
        <f>+[1]GRUPO!T66</f>
        <v>537.07458632989881</v>
      </c>
      <c r="G52" s="19">
        <f>+[1]GRUPO!U66</f>
        <v>577.68593227632914</v>
      </c>
      <c r="H52" s="20">
        <f t="shared" si="16"/>
        <v>-7.0300043115822985</v>
      </c>
      <c r="K52" s="18">
        <f>+[1]GRUPO!X66</f>
        <v>137.67695077980915</v>
      </c>
      <c r="L52" s="19">
        <f>+[1]GRUPO!Y66</f>
        <v>167.57098853195947</v>
      </c>
      <c r="M52" s="20">
        <f t="shared" si="17"/>
        <v>-17.839626067759859</v>
      </c>
      <c r="Q52" s="17" t="str">
        <f>+IF($B$3="esp","Internacional","International")</f>
        <v>International</v>
      </c>
      <c r="S52" s="18">
        <f>+[1]SANTILLANA!T66</f>
        <v>339.78338379879511</v>
      </c>
      <c r="T52" s="19">
        <f>+[1]SANTILLANA!U66</f>
        <v>383.54497356581334</v>
      </c>
      <c r="U52" s="20">
        <f t="shared" si="18"/>
        <v>-11.409767506576141</v>
      </c>
      <c r="X52" s="18">
        <f>+[1]SANTILLANA!X66</f>
        <v>75.749309272330549</v>
      </c>
      <c r="Y52" s="19">
        <f>+[1]SANTILLANA!Y66</f>
        <v>102.06632652302676</v>
      </c>
      <c r="Z52" s="20">
        <f t="shared" si="19"/>
        <v>-25.784230849886558</v>
      </c>
      <c r="AD52" s="34" t="str">
        <f>+IF($B$3="esp","EBITDA Ajustado a TC CTE con MX y CR","Adjusted EBITDA on ctt ccy w/MX&amp;CR")</f>
        <v>Adjusted EBITDA on ctt ccy w/MX&amp;CR</v>
      </c>
      <c r="AE52" s="13"/>
      <c r="AF52" s="35">
        <f>+[1]RADIO!T52</f>
        <v>35.199745484767291</v>
      </c>
      <c r="AG52" s="36">
        <f>+[1]RADIO!U52</f>
        <v>25.059714929916563</v>
      </c>
      <c r="AH52" s="37">
        <f>IF(AG52=0,"---",IF(OR(ABS((AF52-AG52)/ABS(AG52))&gt;2,(AF52*AG52)&lt;0),"---",IF(AG52="0","---",((AF52-AG52)/ABS(AG52))*100)))</f>
        <v>40.463471285323557</v>
      </c>
      <c r="AI52" s="13"/>
      <c r="AK52" s="35">
        <f>+[1]RADIO!X52</f>
        <v>7.6937126342423738</v>
      </c>
      <c r="AL52" s="36">
        <f>+[1]RADIO!Y52</f>
        <v>5.6999480814970376</v>
      </c>
      <c r="AM52" s="37">
        <f>IF(AL52=0,"---",IF(OR(ABS((AK52-AL52)/ABS(AL52))&gt;2,(AK52*AL52)&lt;0),"---",IF(AL52="0","---",((AK52-AL52)/ABS(AL52))*100)))</f>
        <v>34.978644090064989</v>
      </c>
      <c r="AN52" s="13"/>
      <c r="AQ52" s="21" t="str">
        <f>+IF($B$3="esp","Circulación","Circulation")</f>
        <v>Circulation</v>
      </c>
      <c r="AR52" s="22"/>
      <c r="AS52" s="23">
        <f>+[1]NOTICIAS!T24</f>
        <v>52.392342247532099</v>
      </c>
      <c r="AT52" s="24">
        <f>+[1]NOTICIAS!U24</f>
        <v>60.448018888632106</v>
      </c>
      <c r="AU52" s="25">
        <f t="shared" si="20"/>
        <v>-13.326618124477463</v>
      </c>
      <c r="AX52" s="23">
        <f>+[1]NOTICIAS!X24</f>
        <v>17.173803822758501</v>
      </c>
      <c r="AY52" s="24">
        <f>+[1]NOTICIAS!Y24</f>
        <v>20.236591508744809</v>
      </c>
      <c r="AZ52" s="25">
        <f t="shared" si="21"/>
        <v>-15.134899000470458</v>
      </c>
      <c r="BA52" s="13"/>
      <c r="BD52" s="21" t="str">
        <f>+IF($B$3="esp","Otros","Others")</f>
        <v>Others</v>
      </c>
      <c r="BE52" s="13"/>
      <c r="BF52" s="23">
        <f>+'[1]MEDIA CAPITAL'!T35</f>
        <v>41.454421960000005</v>
      </c>
      <c r="BG52" s="24">
        <f>+'[1]MEDIA CAPITAL'!U35</f>
        <v>32.319096470000005</v>
      </c>
      <c r="BH52" s="25">
        <f>IF(BG52=0,"---",IF(OR(ABS((BF52-BG52)/ABS(BG52))&gt;2,(BF52*BG52)&lt;0),"---",IF(BG52="0","---",((BF52-BG52)/ABS(BG52))*100)))</f>
        <v>28.266029956870259</v>
      </c>
      <c r="BI52" s="22"/>
      <c r="BJ52" s="13"/>
      <c r="BK52" s="23">
        <f>+'[1]MEDIA CAPITAL'!X35</f>
        <v>13.178336670000007</v>
      </c>
      <c r="BL52" s="24">
        <f>+'[1]MEDIA CAPITAL'!Y35</f>
        <v>10.387229610000006</v>
      </c>
      <c r="BM52" s="25">
        <f>IF(BL52=0,"---",IF(OR(ABS((BK52-BL52)/ABS(BL52))&gt;2,(BK52*BL52)&lt;0),"---",IF(BL52="0","---",((BK52-BL52)/ABS(BL52))*100)))</f>
        <v>26.870562842983116</v>
      </c>
    </row>
    <row r="53" spans="4:65" ht="15" customHeight="1">
      <c r="D53" s="26" t="str">
        <f>+IF($B$3="esp","Portugal","Portugal")</f>
        <v>Portugal</v>
      </c>
      <c r="F53" s="18">
        <f>+[1]GRUPO!T67</f>
        <v>407.98426382989885</v>
      </c>
      <c r="G53" s="19">
        <f>+[1]GRUPO!U67</f>
        <v>459.18877058632916</v>
      </c>
      <c r="H53" s="20">
        <f t="shared" si="16"/>
        <v>-11.151079912308891</v>
      </c>
      <c r="K53" s="18">
        <f>+[1]GRUPO!X67</f>
        <v>95.086398429809208</v>
      </c>
      <c r="L53" s="19">
        <f>+[1]GRUPO!Y67</f>
        <v>127.67333010195944</v>
      </c>
      <c r="M53" s="20">
        <f t="shared" si="17"/>
        <v>-25.523679570452519</v>
      </c>
      <c r="Q53" s="26" t="str">
        <f>+IF($B$3="esp","Latam","Latam")</f>
        <v>Latam</v>
      </c>
      <c r="S53" s="18">
        <f>+[1]SANTILLANA!T67</f>
        <v>336.24662679879509</v>
      </c>
      <c r="T53" s="19">
        <f>+[1]SANTILLANA!U67</f>
        <v>379.79648156581334</v>
      </c>
      <c r="U53" s="20">
        <f t="shared" si="18"/>
        <v>-11.46662933460369</v>
      </c>
      <c r="X53" s="18">
        <f>+[1]SANTILLANA!X67</f>
        <v>72.242360272330529</v>
      </c>
      <c r="Y53" s="19">
        <f>+[1]SANTILLANA!Y67</f>
        <v>98.385912523026775</v>
      </c>
      <c r="Z53" s="20">
        <f t="shared" si="19"/>
        <v>-26.572454917849615</v>
      </c>
      <c r="AQ53" s="21" t="str">
        <f>+IF($B$3="esp","Promociones y Otros","Add-ons and Others")</f>
        <v>Add-ons and Others</v>
      </c>
      <c r="AR53" s="22"/>
      <c r="AS53" s="23">
        <f>+[1]NOTICIAS!T25</f>
        <v>20.830583740906604</v>
      </c>
      <c r="AT53" s="24">
        <f>+[1]NOTICIAS!U25</f>
        <v>25.30203939624667</v>
      </c>
      <c r="AU53" s="25">
        <f t="shared" si="20"/>
        <v>-17.672313228645777</v>
      </c>
      <c r="AX53" s="23">
        <f>+[1]NOTICIAS!X25</f>
        <v>5.6141298923692062</v>
      </c>
      <c r="AY53" s="24">
        <f>+[1]NOTICIAS!Y25</f>
        <v>7.542319915232774</v>
      </c>
      <c r="AZ53" s="25">
        <f t="shared" si="21"/>
        <v>-25.564946124458565</v>
      </c>
      <c r="BD53" s="13" t="str">
        <f>+IF($B$3="esp","Gastos de Explotación","Operating Expenses")</f>
        <v>Operating Expenses</v>
      </c>
      <c r="BF53" s="14">
        <f>+'[1]MEDIA CAPITAL'!T36</f>
        <v>101.44123389366871</v>
      </c>
      <c r="BG53" s="15">
        <f>+'[1]MEDIA CAPITAL'!U36</f>
        <v>92.446845897071597</v>
      </c>
      <c r="BH53" s="16">
        <f>IF(BG53=0,"---",IF(OR(ABS((BF53-BG53)/ABS(BG53))&gt;2,(BF53*BG53)&lt;0),"---",IF(BG53="0","---",((BF53-BG53)/ABS(BG53))*100)))</f>
        <v>9.729253507049096</v>
      </c>
      <c r="BI53" s="13"/>
      <c r="BK53" s="14">
        <f>+'[1]MEDIA CAPITAL'!X36</f>
        <v>34.138929825319806</v>
      </c>
      <c r="BL53" s="15">
        <f>+'[1]MEDIA CAPITAL'!Y36</f>
        <v>30.840065057629396</v>
      </c>
      <c r="BM53" s="16">
        <f>IF(BL53=0,"---",IF(OR(ABS((BK53-BL53)/ABS(BL53))&gt;2,(BK53*BL53)&lt;0),"---",IF(BL53="0","---",((BK53-BL53)/ABS(BL53))*100)))</f>
        <v>10.696685501557717</v>
      </c>
    </row>
    <row r="54" spans="4:65" ht="15" customHeight="1">
      <c r="D54" s="26" t="str">
        <f>+IF($B$3="esp","Latam","Latam")</f>
        <v>Latam</v>
      </c>
      <c r="F54" s="18">
        <f>+[1]GRUPO!T68</f>
        <v>129.09032249999998</v>
      </c>
      <c r="G54" s="19">
        <f>+[1]GRUPO!U68</f>
        <v>118.49716169</v>
      </c>
      <c r="H54" s="20">
        <f t="shared" si="16"/>
        <v>8.939590331887203</v>
      </c>
      <c r="K54" s="18">
        <f>+[1]GRUPO!X68</f>
        <v>42.590552349999967</v>
      </c>
      <c r="L54" s="19">
        <f>+[1]GRUPO!Y68</f>
        <v>39.897658430000007</v>
      </c>
      <c r="M54" s="20">
        <f t="shared" si="17"/>
        <v>6.749503670057762</v>
      </c>
      <c r="Q54" s="26" t="str">
        <f>+IF($B$3="esp","Portugal","Portugal")</f>
        <v>Portugal</v>
      </c>
      <c r="S54" s="18">
        <f>+[1]SANTILLANA!T68</f>
        <v>3.5367570000000002</v>
      </c>
      <c r="T54" s="19">
        <f>+[1]SANTILLANA!U68</f>
        <v>3.7484920000000002</v>
      </c>
      <c r="U54" s="20">
        <f t="shared" si="18"/>
        <v>-5.6485381321342025</v>
      </c>
      <c r="X54" s="18">
        <f>+[1]SANTILLANA!X68</f>
        <v>3.5069490000000001</v>
      </c>
      <c r="Y54" s="19">
        <f>+[1]SANTILLANA!Y68</f>
        <v>3.6804140000000003</v>
      </c>
      <c r="Z54" s="20">
        <f t="shared" si="19"/>
        <v>-4.7131925919203708</v>
      </c>
      <c r="AD54" s="9"/>
      <c r="AF54" s="10">
        <v>2018</v>
      </c>
      <c r="AG54" s="10">
        <v>2017</v>
      </c>
      <c r="AH54" s="10" t="str">
        <f>+IF($B$3="esp","Var.%","% Chg.")</f>
        <v>% Chg.</v>
      </c>
      <c r="AK54" s="10">
        <v>2018</v>
      </c>
      <c r="AL54" s="10">
        <v>2017</v>
      </c>
      <c r="AM54" s="10" t="str">
        <f>+IF($B$3="esp","Var.%","% Chg.")</f>
        <v>% Chg.</v>
      </c>
      <c r="AQ54" s="13" t="str">
        <f>+IF($B$3="esp","Gastos de Explotación","Operating Expenses")</f>
        <v>Operating Expenses</v>
      </c>
      <c r="AR54" s="13"/>
      <c r="AS54" s="14">
        <f>+[1]NOTICIAS!T26</f>
        <v>146.73477304481239</v>
      </c>
      <c r="AT54" s="15">
        <f>+[1]NOTICIAS!U26</f>
        <v>155.47576795079669</v>
      </c>
      <c r="AU54" s="16">
        <f t="shared" si="20"/>
        <v>-5.6220946975805033</v>
      </c>
      <c r="AX54" s="14">
        <f>+[1]NOTICIAS!X26</f>
        <v>45.726688538934795</v>
      </c>
      <c r="AY54" s="15">
        <f>+[1]NOTICIAS!Y26</f>
        <v>50.07876668335183</v>
      </c>
      <c r="AZ54" s="16">
        <f t="shared" si="21"/>
        <v>-8.6904659053111999</v>
      </c>
      <c r="BD54" s="13" t="str">
        <f>+IF($B$3="esp","EBITDA","EBITDA")</f>
        <v>EBITDA</v>
      </c>
      <c r="BF54" s="14">
        <f>+'[1]MEDIA CAPITAL'!T37</f>
        <v>24.561286876331302</v>
      </c>
      <c r="BG54" s="15">
        <f>+'[1]MEDIA CAPITAL'!U37</f>
        <v>22.861196092928399</v>
      </c>
      <c r="BH54" s="16">
        <f>IF(BG54=0,"---",IF(OR(ABS((BF54-BG54)/ABS(BG54))&gt;2,(BF54*BG54)&lt;0),"---",IF(BG54="0","---",((BF54-BG54)/ABS(BG54))*100)))</f>
        <v>7.4365784558787285</v>
      </c>
      <c r="BI54" s="13"/>
      <c r="BK54" s="14">
        <f>+'[1]MEDIA CAPITAL'!X37</f>
        <v>4.987728974680202</v>
      </c>
      <c r="BL54" s="15">
        <f>+'[1]MEDIA CAPITAL'!Y37</f>
        <v>5.4346167523705979</v>
      </c>
      <c r="BM54" s="16">
        <f>IF(BL54=0,"---",IF(OR(ABS((BK54-BL54)/ABS(BL54))&gt;2,(BK54*BL54)&lt;0),"---",IF(BL54="0","---",((BK54-BL54)/ABS(BL54))*100)))</f>
        <v>-8.2229860550049274</v>
      </c>
    </row>
    <row r="55" spans="4:65" s="13" customFormat="1" ht="15" customHeight="1">
      <c r="D55" s="13" t="str">
        <f>+IF($B$3="esp","Gastos de Explotación","Operating Expenses")</f>
        <v>Operating Expenses</v>
      </c>
      <c r="F55" s="14">
        <f>+[1]GRUPO!T69</f>
        <v>759.31631294003796</v>
      </c>
      <c r="G55" s="15">
        <f>+[1]GRUPO!U69</f>
        <v>807.20417660473413</v>
      </c>
      <c r="H55" s="16">
        <f t="shared" si="16"/>
        <v>-5.9325589550493056</v>
      </c>
      <c r="K55" s="14">
        <f>+[1]GRUPO!X69</f>
        <v>244.79014187038797</v>
      </c>
      <c r="L55" s="15">
        <f>+[1]GRUPO!Y69</f>
        <v>270.72916257538418</v>
      </c>
      <c r="M55" s="16">
        <f t="shared" si="17"/>
        <v>-9.5811697780336189</v>
      </c>
      <c r="Q55" s="13" t="str">
        <f>+IF($B$3="esp","Gastos de Explotación","Operating Expenses")</f>
        <v>Operating Expenses</v>
      </c>
      <c r="S55" s="14">
        <f>+[1]SANTILLANA!T69</f>
        <v>319.02181914705903</v>
      </c>
      <c r="T55" s="15">
        <f>+[1]SANTILLANA!U69</f>
        <v>358.715743031648</v>
      </c>
      <c r="U55" s="16">
        <f t="shared" si="18"/>
        <v>-11.065565048559058</v>
      </c>
      <c r="X55" s="14">
        <f>+[1]SANTILLANA!X69</f>
        <v>103.54243598132192</v>
      </c>
      <c r="Y55" s="15">
        <f>+[1]SANTILLANA!Y69</f>
        <v>122.59121792483822</v>
      </c>
      <c r="Z55" s="16">
        <f t="shared" si="19"/>
        <v>-15.538455581047645</v>
      </c>
      <c r="AD55" s="11" t="str">
        <f>+IF($B$3="esp","Resultados Reportados","Reported Results")</f>
        <v>Reported Results</v>
      </c>
      <c r="AE55" s="1"/>
      <c r="AF55" s="12"/>
      <c r="AG55" s="12"/>
      <c r="AH55" s="12"/>
      <c r="AI55" s="1"/>
      <c r="AK55" s="12"/>
      <c r="AL55" s="12"/>
      <c r="AM55" s="12"/>
      <c r="AN55" s="1"/>
      <c r="AQ55" s="13" t="str">
        <f>+IF($B$3="esp","EBITDA","EBITDA")</f>
        <v>EBITDA</v>
      </c>
      <c r="AS55" s="14">
        <f>+[1]NOTICIAS!T27</f>
        <v>-1.83337445721437</v>
      </c>
      <c r="AT55" s="15">
        <f>+[1]NOTICIAS!U27</f>
        <v>1.94518677074827</v>
      </c>
      <c r="AU55" s="16" t="str">
        <f t="shared" si="20"/>
        <v>---</v>
      </c>
      <c r="AX55" s="14">
        <f>+[1]NOTICIAS!X27</f>
        <v>-1.0826421292297721</v>
      </c>
      <c r="AY55" s="15">
        <f>+[1]NOTICIAS!Y27</f>
        <v>-1.7117274660738599</v>
      </c>
      <c r="AZ55" s="16">
        <f t="shared" si="21"/>
        <v>36.751489317806112</v>
      </c>
      <c r="BA55" s="1"/>
      <c r="BD55" s="21" t="str">
        <f>+IF($B$3="esp","Margen EBITDA ","EBITDA Margin")</f>
        <v>EBITDA Margin</v>
      </c>
      <c r="BE55" s="1"/>
      <c r="BF55" s="27">
        <f>+'[1]MEDIA CAPITAL'!T38</f>
        <v>0.19492694849466147</v>
      </c>
      <c r="BG55" s="28">
        <f>+'[1]MEDIA CAPITAL'!U38</f>
        <v>0.19826193991665403</v>
      </c>
      <c r="BH55" s="29"/>
      <c r="BI55" s="22"/>
      <c r="BJ55" s="1"/>
      <c r="BK55" s="27">
        <f>+'[1]MEDIA CAPITAL'!X38</f>
        <v>0.12747648604946052</v>
      </c>
      <c r="BL55" s="28">
        <f>+'[1]MEDIA CAPITAL'!Y38</f>
        <v>0.14981845411728503</v>
      </c>
      <c r="BM55" s="29"/>
    </row>
    <row r="56" spans="4:65" ht="15" customHeight="1">
      <c r="D56" s="17" t="str">
        <f>+IF($B$3="esp","España","Spain")</f>
        <v>Spain</v>
      </c>
      <c r="F56" s="18">
        <f>+[1]GRUPO!T70</f>
        <v>355.46651968356969</v>
      </c>
      <c r="G56" s="19">
        <f>+[1]GRUPO!U70</f>
        <v>365.9315257900252</v>
      </c>
      <c r="H56" s="20">
        <f t="shared" si="16"/>
        <v>-2.8598263251197529</v>
      </c>
      <c r="K56" s="18">
        <f>+[1]GRUPO!X70</f>
        <v>123.31938461897326</v>
      </c>
      <c r="L56" s="19">
        <f>+[1]GRUPO!Y70</f>
        <v>126.95366941110714</v>
      </c>
      <c r="M56" s="20">
        <f t="shared" si="17"/>
        <v>-2.8626858987156778</v>
      </c>
      <c r="Q56" s="17" t="str">
        <f>+IF($B$3="esp","España","Spain")</f>
        <v>Spain</v>
      </c>
      <c r="S56" s="18">
        <f>+[1]SANTILLANA!T70</f>
        <v>76.99928258009821</v>
      </c>
      <c r="T56" s="19">
        <f>+[1]SANTILLANA!U70</f>
        <v>78.838081001772366</v>
      </c>
      <c r="U56" s="20">
        <f t="shared" si="18"/>
        <v>-2.3323733889880165</v>
      </c>
      <c r="X56" s="18">
        <f>+[1]SANTILLANA!X70</f>
        <v>34.343280942182744</v>
      </c>
      <c r="Y56" s="19">
        <f>+[1]SANTILLANA!Y70</f>
        <v>33.896955174879011</v>
      </c>
      <c r="Z56" s="20">
        <f t="shared" si="19"/>
        <v>1.316713448158036</v>
      </c>
      <c r="AD56" s="13" t="str">
        <f>+IF($B$3="esp","Ingresos de Explotación","Operating Revenues")</f>
        <v>Operating Revenues</v>
      </c>
      <c r="AE56" s="13"/>
      <c r="AF56" s="14">
        <f>+[1]RADIO!T56</f>
        <v>204.77720739574499</v>
      </c>
      <c r="AG56" s="15">
        <f>+[1]RADIO!U56</f>
        <v>202.82103665034901</v>
      </c>
      <c r="AH56" s="16">
        <f t="shared" ref="AH56:AH71" si="22">IF(AG56=0,"---",IF(OR(ABS((AF56-AG56)/ABS(AG56))&gt;2,(AF56*AG56)&lt;0),"---",IF(AG56="0","---",((AF56-AG56)/ABS(AG56))*100)))</f>
        <v>0.96448118878728428</v>
      </c>
      <c r="AI56" s="13"/>
      <c r="AK56" s="14">
        <f>+[1]RADIO!X56</f>
        <v>68.800627108537981</v>
      </c>
      <c r="AL56" s="15">
        <f>+[1]RADIO!Y56</f>
        <v>66.053131958342021</v>
      </c>
      <c r="AM56" s="16">
        <f t="shared" ref="AM56:AM71" si="23">IF(AL56=0,"---",IF(OR(ABS((AK56-AL56)/ABS(AL56))&gt;2,(AK56*AL56)&lt;0),"---",IF(AL56="0","---",((AK56-AL56)/ABS(AL56))*100)))</f>
        <v>4.1595229003353431</v>
      </c>
      <c r="AN56" s="13"/>
      <c r="AQ56" s="21" t="str">
        <f>+IF($B$3="esp","Margen EBITDA ","EBITDA Margin")</f>
        <v>EBITDA Margin</v>
      </c>
      <c r="AR56" s="22"/>
      <c r="AS56" s="27">
        <f>+[1]NOTICIAS!T28</f>
        <v>-1.2652565641773502E-2</v>
      </c>
      <c r="AT56" s="28">
        <f>+[1]NOTICIAS!U28</f>
        <v>1.2356593657998235E-2</v>
      </c>
      <c r="AU56" s="29"/>
      <c r="AX56" s="27">
        <f>+[1]NOTICIAS!X28</f>
        <v>-2.4250537670671812E-2</v>
      </c>
      <c r="AY56" s="28">
        <f>+[1]NOTICIAS!Y28</f>
        <v>-3.539037108275972E-2</v>
      </c>
      <c r="AZ56" s="29"/>
      <c r="BA56" s="13"/>
      <c r="BD56" s="13" t="str">
        <f>+IF($B$3="esp","EBIT","EBIT")</f>
        <v>EBIT</v>
      </c>
      <c r="BF56" s="14">
        <f>+'[1]MEDIA CAPITAL'!T39</f>
        <v>19.540843076331299</v>
      </c>
      <c r="BG56" s="15">
        <f>+'[1]MEDIA CAPITAL'!U39</f>
        <v>16.960387342928399</v>
      </c>
      <c r="BH56" s="16">
        <f>IF(BG56=0,"---",IF(OR(ABS((BF56-BG56)/ABS(BG56))&gt;2,(BF56*BG56)&lt;0),"---",IF(BG56="0","---",((BF56-BG56)/ABS(BG56))*100)))</f>
        <v>15.21460377777761</v>
      </c>
      <c r="BI56" s="13"/>
      <c r="BK56" s="14">
        <f>+'[1]MEDIA CAPITAL'!X39</f>
        <v>3.1421245746801993</v>
      </c>
      <c r="BL56" s="15">
        <f>+'[1]MEDIA CAPITAL'!Y39</f>
        <v>3.4672451023705992</v>
      </c>
      <c r="BM56" s="16">
        <f>IF(BL56=0,"---",IF(OR(ABS((BK56-BL56)/ABS(BL56))&gt;2,(BK56*BL56)&lt;0),"---",IF(BL56="0","---",((BK56-BL56)/ABS(BL56))*100)))</f>
        <v>-9.3769121619960156</v>
      </c>
    </row>
    <row r="57" spans="4:65" ht="15" customHeight="1">
      <c r="D57" s="17" t="str">
        <f>+IF($B$3="esp","Internacional","International")</f>
        <v>International</v>
      </c>
      <c r="F57" s="18">
        <f>+[1]GRUPO!T71</f>
        <v>403.84979325646833</v>
      </c>
      <c r="G57" s="19">
        <f>+[1]GRUPO!U71</f>
        <v>441.27265081470881</v>
      </c>
      <c r="H57" s="20">
        <f t="shared" si="16"/>
        <v>-8.4806655225851308</v>
      </c>
      <c r="K57" s="18">
        <f>+[1]GRUPO!X71</f>
        <v>121.47075725141474</v>
      </c>
      <c r="L57" s="19">
        <f>+[1]GRUPO!Y71</f>
        <v>143.7754931642769</v>
      </c>
      <c r="M57" s="20">
        <f t="shared" si="17"/>
        <v>-15.513586788658703</v>
      </c>
      <c r="Q57" s="17" t="str">
        <f>+IF($B$3="esp","Internacional","International")</f>
        <v>International</v>
      </c>
      <c r="S57" s="18">
        <f>+[1]SANTILLANA!T71</f>
        <v>242.02253656696081</v>
      </c>
      <c r="T57" s="19">
        <f>+[1]SANTILLANA!U71</f>
        <v>279.87766202987564</v>
      </c>
      <c r="U57" s="20">
        <f t="shared" si="18"/>
        <v>-13.525597287172552</v>
      </c>
      <c r="X57" s="18">
        <f>+[1]SANTILLANA!X71</f>
        <v>69.199155039139157</v>
      </c>
      <c r="Y57" s="19">
        <f>+[1]SANTILLANA!Y71</f>
        <v>88.694262749959194</v>
      </c>
      <c r="Z57" s="20">
        <f t="shared" si="19"/>
        <v>-21.980122621661913</v>
      </c>
      <c r="AD57" s="17" t="str">
        <f>+IF($B$3="esp","Publicidad","Advertising")</f>
        <v>Advertising</v>
      </c>
      <c r="AF57" s="18">
        <f>+[1]RADIO!T57</f>
        <v>183.82172244491599</v>
      </c>
      <c r="AG57" s="19">
        <f>+[1]RADIO!U57</f>
        <v>179.777553225285</v>
      </c>
      <c r="AH57" s="20">
        <f t="shared" si="22"/>
        <v>2.2495406946400642</v>
      </c>
      <c r="AK57" s="18">
        <f>+[1]RADIO!X57</f>
        <v>55.988067600998988</v>
      </c>
      <c r="AL57" s="19">
        <f>+[1]RADIO!Y57</f>
        <v>56.030047914777001</v>
      </c>
      <c r="AM57" s="20">
        <f t="shared" si="23"/>
        <v>-7.4924643723070117E-2</v>
      </c>
      <c r="AQ57" s="13" t="str">
        <f>+IF($B$3="esp","EBIT","EBIT")</f>
        <v>EBIT</v>
      </c>
      <c r="AR57" s="13"/>
      <c r="AS57" s="14">
        <f>+[1]NOTICIAS!T29</f>
        <v>-6.0465751088147703</v>
      </c>
      <c r="AT57" s="15">
        <f>+[1]NOTICIAS!U29</f>
        <v>-4.6434001340941906</v>
      </c>
      <c r="AU57" s="16">
        <f>IF(AT57=0,"---",IF(OR(ABS((AS57-AT57)/ABS(AT57))&gt;2,(AS57*AT57)&lt;0),"---",IF(AT57="0","---",((AS57-AT57)/ABS(AT57))*100)))</f>
        <v>-30.2186960890525</v>
      </c>
      <c r="AX57" s="14">
        <f>+[1]NOTICIAS!X29</f>
        <v>-2.2063655670953302</v>
      </c>
      <c r="AY57" s="15">
        <f>+[1]NOTICIAS!Y29</f>
        <v>-3.6927502565577432</v>
      </c>
      <c r="AZ57" s="16">
        <f>IF(AY57=0,"---",IF(OR(ABS((AX57-AY57)/ABS(AY57))&gt;2,(AX57*AY57)&lt;0),"---",IF(AY57="0","---",((AX57-AY57)/ABS(AY57))*100)))</f>
        <v>40.251427423851041</v>
      </c>
      <c r="BD57" s="21" t="str">
        <f>+IF($B$3="esp","Margen EBIT ","EBIT Margin")</f>
        <v>EBIT Margin</v>
      </c>
      <c r="BE57" s="22"/>
      <c r="BF57" s="27">
        <f>+'[1]MEDIA CAPITAL'!T40</f>
        <v>0.15508295355455926</v>
      </c>
      <c r="BG57" s="28">
        <f>+'[1]MEDIA CAPITAL'!U40</f>
        <v>0.14708763630206537</v>
      </c>
      <c r="BH57" s="29"/>
      <c r="BI57" s="22"/>
      <c r="BJ57" s="22"/>
      <c r="BK57" s="27">
        <f>+'[1]MEDIA CAPITAL'!X40</f>
        <v>8.0306488492705108E-2</v>
      </c>
      <c r="BL57" s="28">
        <f>+'[1]MEDIA CAPITAL'!Y40</f>
        <v>9.5583060398196779E-2</v>
      </c>
      <c r="BM57" s="29"/>
    </row>
    <row r="58" spans="4:65" ht="15" customHeight="1">
      <c r="D58" s="26" t="str">
        <f>+IF($B$3="esp","Portugal","Portugal")</f>
        <v>Portugal</v>
      </c>
      <c r="F58" s="18">
        <f>+[1]GRUPO!T72</f>
        <v>299.53287689279966</v>
      </c>
      <c r="G58" s="19">
        <f>+[1]GRUPO!U72</f>
        <v>345.84197377763724</v>
      </c>
      <c r="H58" s="20">
        <f t="shared" si="16"/>
        <v>-13.390247684224846</v>
      </c>
      <c r="K58" s="18">
        <f>+[1]GRUPO!X72</f>
        <v>86.120984186095001</v>
      </c>
      <c r="L58" s="19">
        <f>+[1]GRUPO!Y72</f>
        <v>111.06293528664747</v>
      </c>
      <c r="M58" s="20">
        <f t="shared" si="17"/>
        <v>-22.457493164734604</v>
      </c>
      <c r="Q58" s="26" t="str">
        <f>+IF($B$3="esp","Latam","Latam")</f>
        <v>Latam</v>
      </c>
      <c r="S58" s="18">
        <f>+[1]SANTILLANA!T72</f>
        <v>238.94729256696081</v>
      </c>
      <c r="T58" s="19">
        <f>+[1]SANTILLANA!U72</f>
        <v>276.53864802987562</v>
      </c>
      <c r="U58" s="20">
        <f t="shared" si="18"/>
        <v>-13.593526883393766</v>
      </c>
      <c r="X58" s="18">
        <f>+[1]SANTILLANA!X72</f>
        <v>67.922164039139147</v>
      </c>
      <c r="Y58" s="19">
        <f>+[1]SANTILLANA!Y72</f>
        <v>86.946008749959219</v>
      </c>
      <c r="Z58" s="20">
        <f t="shared" si="19"/>
        <v>-21.880066703842797</v>
      </c>
      <c r="AD58" s="42" t="str">
        <f>+IF($B$3="esp","España","Spain")</f>
        <v>Spain</v>
      </c>
      <c r="AE58" s="22"/>
      <c r="AF58" s="23">
        <f>+[1]RADIO!T58</f>
        <v>121.96309372</v>
      </c>
      <c r="AG58" s="24">
        <f>+[1]RADIO!U58</f>
        <v>116.7790857</v>
      </c>
      <c r="AH58" s="25">
        <f t="shared" si="22"/>
        <v>4.4391579099338738</v>
      </c>
      <c r="AK58" s="23">
        <f>+[1]RADIO!X58</f>
        <v>35.913670530000005</v>
      </c>
      <c r="AL58" s="24">
        <f>+[1]RADIO!Y58</f>
        <v>33.62819103999999</v>
      </c>
      <c r="AM58" s="25">
        <f t="shared" si="23"/>
        <v>6.796320049691305</v>
      </c>
      <c r="AQ58" s="21" t="str">
        <f>+IF($B$3="esp","Margen EBIT ","EBIT Margin")</f>
        <v>EBIT Margin</v>
      </c>
      <c r="AR58" s="22"/>
      <c r="AS58" s="27">
        <f>+[1]NOTICIAS!T30</f>
        <v>-4.1728894046246232E-2</v>
      </c>
      <c r="AT58" s="28">
        <f>+[1]NOTICIAS!U30</f>
        <v>-2.9496709267884301E-2</v>
      </c>
      <c r="AU58" s="29"/>
      <c r="AX58" s="27">
        <f>+[1]NOTICIAS!X30</f>
        <v>-4.9421272141131366E-2</v>
      </c>
      <c r="AY58" s="28">
        <f>+[1]NOTICIAS!Y30</f>
        <v>-7.6348486827339135E-2</v>
      </c>
      <c r="AZ58" s="29"/>
      <c r="BD58" s="43"/>
      <c r="BE58" s="13"/>
      <c r="BF58" s="43"/>
      <c r="BG58" s="43"/>
      <c r="BH58" s="43"/>
      <c r="BJ58" s="13"/>
      <c r="BK58" s="43"/>
      <c r="BL58" s="43"/>
      <c r="BM58" s="43"/>
    </row>
    <row r="59" spans="4:65" ht="15" customHeight="1">
      <c r="D59" s="26" t="str">
        <f>+IF($B$3="esp","Latam","Latam")</f>
        <v>Latam</v>
      </c>
      <c r="F59" s="18">
        <f>+[1]GRUPO!T73</f>
        <v>104.31691636366868</v>
      </c>
      <c r="G59" s="19">
        <f>+[1]GRUPO!U73</f>
        <v>95.430677037071604</v>
      </c>
      <c r="H59" s="20">
        <f t="shared" si="16"/>
        <v>9.3117219771427102</v>
      </c>
      <c r="K59" s="18">
        <f>+[1]GRUPO!X73</f>
        <v>35.349773065319766</v>
      </c>
      <c r="L59" s="19">
        <f>+[1]GRUPO!Y73</f>
        <v>32.712557877629408</v>
      </c>
      <c r="M59" s="20">
        <f t="shared" si="17"/>
        <v>8.0617822597536062</v>
      </c>
      <c r="Q59" s="26" t="str">
        <f>+IF($B$3="esp","Portugal","Portugal")</f>
        <v>Portugal</v>
      </c>
      <c r="S59" s="18">
        <f>+[1]SANTILLANA!T73</f>
        <v>3.0752439999999992</v>
      </c>
      <c r="T59" s="19">
        <f>+[1]SANTILLANA!U73</f>
        <v>3.3390139999999993</v>
      </c>
      <c r="U59" s="20">
        <f t="shared" si="18"/>
        <v>-7.8996374378783702</v>
      </c>
      <c r="X59" s="18">
        <f>+[1]SANTILLANA!X73</f>
        <v>1.2769909999999991</v>
      </c>
      <c r="Y59" s="19">
        <f>+[1]SANTILLANA!Y73</f>
        <v>1.7482539999999991</v>
      </c>
      <c r="Z59" s="20">
        <f t="shared" si="19"/>
        <v>-26.956208880402976</v>
      </c>
      <c r="AD59" s="42" t="str">
        <f>+IF($B$3="esp","Latam","Latam")</f>
        <v>Latam</v>
      </c>
      <c r="AE59" s="22"/>
      <c r="AF59" s="23">
        <f>+[1]RADIO!T59</f>
        <v>62.006190773596401</v>
      </c>
      <c r="AG59" s="24">
        <f>+[1]RADIO!U59</f>
        <v>63.0967127500125</v>
      </c>
      <c r="AH59" s="25">
        <f t="shared" si="22"/>
        <v>-1.7283340587594762</v>
      </c>
      <c r="AK59" s="23">
        <f>+[1]RADIO!X59</f>
        <v>20.1041003072298</v>
      </c>
      <c r="AL59" s="24">
        <f>+[1]RADIO!Y59</f>
        <v>22.477745675144696</v>
      </c>
      <c r="AM59" s="25">
        <f t="shared" si="23"/>
        <v>-10.559979644843173</v>
      </c>
    </row>
    <row r="60" spans="4:65" s="13" customFormat="1" ht="15" customHeight="1">
      <c r="D60" s="13" t="str">
        <f>+IF($B$3="esp","EBITDA","EBITDA")</f>
        <v>EBITDA</v>
      </c>
      <c r="F60" s="14">
        <f>+[1]GRUPO!T74</f>
        <v>189.85737266342798</v>
      </c>
      <c r="G60" s="15">
        <f>+[1]GRUPO!U74</f>
        <v>201.38334129859601</v>
      </c>
      <c r="H60" s="16">
        <f t="shared" si="16"/>
        <v>-5.7233972586035264</v>
      </c>
      <c r="K60" s="14">
        <f>+[1]GRUPO!X74</f>
        <v>75.299719818391978</v>
      </c>
      <c r="L60" s="15">
        <f>+[1]GRUPO!Y74</f>
        <v>82.833994804659</v>
      </c>
      <c r="M60" s="16">
        <f t="shared" si="17"/>
        <v>-9.0956315749765775</v>
      </c>
      <c r="Q60" s="13" t="str">
        <f>+IF($B$3="esp","EBITDA","EBITDA")</f>
        <v>EBITDA</v>
      </c>
      <c r="S60" s="14">
        <f>+[1]SANTILLANA!T74</f>
        <v>148.576341131834</v>
      </c>
      <c r="T60" s="15">
        <f>+[1]SANTILLANA!U74</f>
        <v>163.89341536291298</v>
      </c>
      <c r="U60" s="16">
        <f t="shared" si="18"/>
        <v>-9.3457532733465971</v>
      </c>
      <c r="X60" s="14">
        <f>+[1]SANTILLANA!X74</f>
        <v>62.720535293191091</v>
      </c>
      <c r="Y60" s="15">
        <f>+[1]SANTILLANA!Y74</f>
        <v>71.996457040043765</v>
      </c>
      <c r="Z60" s="16">
        <f t="shared" si="19"/>
        <v>-12.883858634451265</v>
      </c>
      <c r="AD60" s="42" t="str">
        <f>+IF($B$3="esp","Otros","Others")</f>
        <v>Others</v>
      </c>
      <c r="AE60" s="22"/>
      <c r="AF60" s="23">
        <f>+[1]RADIO!T60</f>
        <v>-0.14756204868041323</v>
      </c>
      <c r="AG60" s="24">
        <f>+[1]RADIO!U60</f>
        <v>-9.8245224727492086E-2</v>
      </c>
      <c r="AH60" s="25">
        <f t="shared" si="22"/>
        <v>-50.19768043659505</v>
      </c>
      <c r="AI60" s="1"/>
      <c r="AK60" s="23">
        <f>+[1]RADIO!X60</f>
        <v>-2.9703236230815833E-2</v>
      </c>
      <c r="AL60" s="24">
        <f>+[1]RADIO!Y60</f>
        <v>-7.588880036768586E-2</v>
      </c>
      <c r="AM60" s="25">
        <f t="shared" si="23"/>
        <v>60.859525928856641</v>
      </c>
      <c r="AN60" s="1"/>
      <c r="AQ60" s="1"/>
      <c r="AR60" s="1"/>
      <c r="AS60" s="1"/>
      <c r="AT60" s="1"/>
      <c r="AU60" s="1"/>
      <c r="AX60" s="1"/>
      <c r="AY60" s="1"/>
      <c r="AZ60" s="1"/>
      <c r="BA60" s="1"/>
    </row>
    <row r="61" spans="4:65" ht="15" customHeight="1">
      <c r="D61" s="17" t="str">
        <f>+IF($B$3="esp","España","Spain")</f>
        <v>Spain</v>
      </c>
      <c r="F61" s="18">
        <f>+[1]GRUPO!T75</f>
        <v>56.632579589997505</v>
      </c>
      <c r="G61" s="19">
        <f>+[1]GRUPO!U75</f>
        <v>64.970059836975679</v>
      </c>
      <c r="H61" s="20">
        <f t="shared" si="16"/>
        <v>-12.832803706659291</v>
      </c>
      <c r="K61" s="18">
        <f>+[1]GRUPO!X75</f>
        <v>59.093526289997577</v>
      </c>
      <c r="L61" s="19">
        <f>+[1]GRUPO!Y75</f>
        <v>59.038499436976423</v>
      </c>
      <c r="M61" s="20">
        <f t="shared" si="17"/>
        <v>9.3205033234110404E-2</v>
      </c>
      <c r="Q61" s="17" t="str">
        <f>+IF($B$3="esp","España","Spain")</f>
        <v>Spain</v>
      </c>
      <c r="S61" s="18">
        <f>+[1]SANTILLANA!T75</f>
        <v>50.815493899999709</v>
      </c>
      <c r="T61" s="19">
        <f>+[1]SANTILLANA!U75</f>
        <v>60.226103826975248</v>
      </c>
      <c r="U61" s="20">
        <f t="shared" si="18"/>
        <v>-15.625466913834346</v>
      </c>
      <c r="X61" s="18">
        <f>+[1]SANTILLANA!X75</f>
        <v>56.170381059999713</v>
      </c>
      <c r="Y61" s="19">
        <f>+[1]SANTILLANA!Y75</f>
        <v>58.624393266976185</v>
      </c>
      <c r="Z61" s="20">
        <f t="shared" si="19"/>
        <v>-4.1859916499278231</v>
      </c>
      <c r="AD61" s="17" t="str">
        <f>+IF($B$3="esp","Otros","Others")</f>
        <v>Others</v>
      </c>
      <c r="AF61" s="18">
        <f>+[1]RADIO!T61</f>
        <v>20.955484950829003</v>
      </c>
      <c r="AG61" s="19">
        <f>+[1]RADIO!U61</f>
        <v>23.043483425064011</v>
      </c>
      <c r="AH61" s="20">
        <f t="shared" si="22"/>
        <v>-9.0611234235702689</v>
      </c>
      <c r="AI61" s="13"/>
      <c r="AK61" s="18">
        <f>+[1]RADIO!X61</f>
        <v>12.812559507538992</v>
      </c>
      <c r="AL61" s="19">
        <f>+[1]RADIO!Y61</f>
        <v>10.023084043565021</v>
      </c>
      <c r="AM61" s="20">
        <f t="shared" si="23"/>
        <v>27.830510567901097</v>
      </c>
      <c r="AN61" s="13"/>
      <c r="BA61" s="13"/>
    </row>
    <row r="62" spans="4:65" ht="15" customHeight="1">
      <c r="D62" s="17" t="str">
        <f>+IF($B$3="esp","Internacional","International")</f>
        <v>International</v>
      </c>
      <c r="F62" s="18">
        <f>+[1]GRUPO!T76</f>
        <v>133.22479307343048</v>
      </c>
      <c r="G62" s="19">
        <f>+[1]GRUPO!U76</f>
        <v>136.41328146162033</v>
      </c>
      <c r="H62" s="20">
        <f t="shared" si="16"/>
        <v>-2.3373738642061253</v>
      </c>
      <c r="K62" s="18">
        <f>+[1]GRUPO!X76</f>
        <v>16.206193528394394</v>
      </c>
      <c r="L62" s="19">
        <f>+[1]GRUPO!Y76</f>
        <v>23.795495367682591</v>
      </c>
      <c r="M62" s="20">
        <f t="shared" si="17"/>
        <v>-31.89385941338908</v>
      </c>
      <c r="Q62" s="17" t="str">
        <f>+IF($B$3="esp","Internacional","International")</f>
        <v>International</v>
      </c>
      <c r="S62" s="18">
        <f>+[1]SANTILLANA!T76</f>
        <v>97.76084723183429</v>
      </c>
      <c r="T62" s="19">
        <f>+[1]SANTILLANA!U76</f>
        <v>103.66731153593773</v>
      </c>
      <c r="U62" s="20">
        <f t="shared" si="18"/>
        <v>-5.6975185490904519</v>
      </c>
      <c r="X62" s="18">
        <f>+[1]SANTILLANA!X76</f>
        <v>6.5501542331913782</v>
      </c>
      <c r="Y62" s="19">
        <f>+[1]SANTILLANA!Y76</f>
        <v>13.37206377306758</v>
      </c>
      <c r="Z62" s="20">
        <f t="shared" si="19"/>
        <v>-51.016130760728807</v>
      </c>
      <c r="AD62" s="13" t="str">
        <f>+IF($B$3="esp","Gastos de Explotación","Operating Expenses")</f>
        <v>Operating Expenses</v>
      </c>
      <c r="AE62" s="13"/>
      <c r="AF62" s="14">
        <f>+[1]RADIO!T62</f>
        <v>172.7989853030453</v>
      </c>
      <c r="AG62" s="15">
        <f>+[1]RADIO!U62</f>
        <v>178.70413837697751</v>
      </c>
      <c r="AH62" s="16">
        <f t="shared" si="22"/>
        <v>-3.3044299519663354</v>
      </c>
      <c r="AK62" s="14">
        <f>+[1]RADIO!X62</f>
        <v>58.516951041645086</v>
      </c>
      <c r="AL62" s="15">
        <f>+[1]RADIO!Y62</f>
        <v>60.26348724483671</v>
      </c>
      <c r="AM62" s="16">
        <f t="shared" si="23"/>
        <v>-2.8981665068532272</v>
      </c>
    </row>
    <row r="63" spans="4:65" ht="15" customHeight="1">
      <c r="D63" s="26" t="str">
        <f>+IF($B$3="esp","Portugal","Portugal")</f>
        <v>Portugal</v>
      </c>
      <c r="F63" s="18">
        <f>+[1]GRUPO!T77</f>
        <v>108.45138693709919</v>
      </c>
      <c r="G63" s="19">
        <f>+[1]GRUPO!U77</f>
        <v>113.34679680869193</v>
      </c>
      <c r="H63" s="20">
        <f t="shared" si="16"/>
        <v>-4.3189662252699366</v>
      </c>
      <c r="K63" s="18">
        <f>+[1]GRUPO!X77</f>
        <v>8.965414243714207</v>
      </c>
      <c r="L63" s="19">
        <f>+[1]GRUPO!Y77</f>
        <v>16.610394815311992</v>
      </c>
      <c r="M63" s="20">
        <f t="shared" si="17"/>
        <v>-46.025279089395262</v>
      </c>
      <c r="Q63" s="26" t="str">
        <f>+IF($B$3="esp","Latam","Latam")</f>
        <v>Latam</v>
      </c>
      <c r="S63" s="18">
        <f>+[1]SANTILLANA!T77</f>
        <v>97.299334231834294</v>
      </c>
      <c r="T63" s="19">
        <f>+[1]SANTILLANA!U77</f>
        <v>103.25783353593772</v>
      </c>
      <c r="U63" s="20">
        <f t="shared" si="18"/>
        <v>-5.7705058299810625</v>
      </c>
      <c r="X63" s="18">
        <f>+[1]SANTILLANA!X77</f>
        <v>4.3201962331913819</v>
      </c>
      <c r="Y63" s="19">
        <f>+[1]SANTILLANA!Y77</f>
        <v>11.43990377306757</v>
      </c>
      <c r="Z63" s="20">
        <f t="shared" si="19"/>
        <v>-62.23572926057107</v>
      </c>
      <c r="AD63" s="17" t="str">
        <f>+IF($B$3="esp","España","Spain")</f>
        <v>Spain</v>
      </c>
      <c r="AF63" s="18">
        <f>+[1]RADIO!T63</f>
        <v>116.29847717999999</v>
      </c>
      <c r="AG63" s="19">
        <f>+[1]RADIO!U63</f>
        <v>116.93383961000008</v>
      </c>
      <c r="AH63" s="20">
        <f t="shared" si="22"/>
        <v>-0.54335206311462847</v>
      </c>
      <c r="AK63" s="18">
        <f>+[1]RADIO!X63</f>
        <v>35.754162399999984</v>
      </c>
      <c r="AL63" s="19">
        <f>+[1]RADIO!Y63</f>
        <v>37.21122499999997</v>
      </c>
      <c r="AM63" s="20">
        <f t="shared" si="23"/>
        <v>-3.9156534083465067</v>
      </c>
    </row>
    <row r="64" spans="4:65" ht="15" customHeight="1">
      <c r="D64" s="26" t="str">
        <f>+IF($B$3="esp","Latam","Latam")</f>
        <v>Latam</v>
      </c>
      <c r="F64" s="18">
        <f>+[1]GRUPO!T78</f>
        <v>24.7734061363313</v>
      </c>
      <c r="G64" s="19">
        <f>+[1]GRUPO!U78</f>
        <v>23.066484652928402</v>
      </c>
      <c r="H64" s="20">
        <f t="shared" si="16"/>
        <v>7.4000070192151961</v>
      </c>
      <c r="K64" s="18">
        <f>+[1]GRUPO!X78</f>
        <v>7.2407792846801975</v>
      </c>
      <c r="L64" s="19">
        <f>+[1]GRUPO!Y78</f>
        <v>7.1851005523706046</v>
      </c>
      <c r="M64" s="20">
        <f t="shared" si="17"/>
        <v>0.77491931955249516</v>
      </c>
      <c r="Q64" s="26" t="str">
        <f>+IF($B$3="esp","Portugal","Portugal")</f>
        <v>Portugal</v>
      </c>
      <c r="S64" s="18">
        <f>+[1]SANTILLANA!T78</f>
        <v>0.46151300000000101</v>
      </c>
      <c r="T64" s="19">
        <f>+[1]SANTILLANA!U78</f>
        <v>0.40947800000000095</v>
      </c>
      <c r="U64" s="20">
        <f t="shared" si="18"/>
        <v>12.707642413023393</v>
      </c>
      <c r="X64" s="18">
        <f>+[1]SANTILLANA!X78</f>
        <v>2.2299580000000012</v>
      </c>
      <c r="Y64" s="19">
        <f>+[1]SANTILLANA!Y78</f>
        <v>1.932160000000001</v>
      </c>
      <c r="Z64" s="20">
        <f t="shared" si="19"/>
        <v>15.412698741305073</v>
      </c>
      <c r="AD64" s="17" t="str">
        <f>+IF($B$3="esp","Latam","Latam")</f>
        <v>Latam</v>
      </c>
      <c r="AF64" s="18">
        <f>+[1]RADIO!T64</f>
        <v>50.466469769352905</v>
      </c>
      <c r="AG64" s="19">
        <f>+[1]RADIO!U64</f>
        <v>54.989322548932108</v>
      </c>
      <c r="AH64" s="20">
        <f t="shared" si="22"/>
        <v>-8.2249654477095167</v>
      </c>
      <c r="AK64" s="18">
        <f>+[1]RADIO!X64</f>
        <v>15.608102023539494</v>
      </c>
      <c r="AL64" s="19">
        <f>+[1]RADIO!Y64</f>
        <v>17.349425843518524</v>
      </c>
      <c r="AM64" s="20">
        <f t="shared" si="23"/>
        <v>-10.036780673232258</v>
      </c>
    </row>
    <row r="65" spans="4:53" s="22" customFormat="1" ht="15" customHeight="1">
      <c r="D65" s="21" t="str">
        <f>+IF($B$3="esp","Margen EBITDA ","EBITDA Margin")</f>
        <v>EBITDA Margin</v>
      </c>
      <c r="F65" s="27">
        <f>+[1]GRUPO!T79</f>
        <v>0.20002384762986808</v>
      </c>
      <c r="G65" s="28">
        <f>+[1]GRUPO!U79</f>
        <v>0.19966868290937739</v>
      </c>
      <c r="H65" s="29"/>
      <c r="K65" s="27">
        <f>+[1]GRUPO!X79</f>
        <v>0.23524556329623811</v>
      </c>
      <c r="L65" s="28">
        <f>+[1]GRUPO!Y79</f>
        <v>0.23428344575965304</v>
      </c>
      <c r="M65" s="29"/>
      <c r="Q65" s="21" t="str">
        <f>+IF($B$3="esp","Margen EBITDA ","EBITDA Margin")</f>
        <v>EBITDA Margin</v>
      </c>
      <c r="S65" s="27">
        <f>+[1]SANTILLANA!T79</f>
        <v>0.31774363920340815</v>
      </c>
      <c r="T65" s="28">
        <f>+[1]SANTILLANA!U79</f>
        <v>0.31360609114924132</v>
      </c>
      <c r="U65" s="29"/>
      <c r="X65" s="27">
        <f>+[1]SANTILLANA!X79</f>
        <v>0.37723694465699548</v>
      </c>
      <c r="Y65" s="28">
        <f>+[1]SANTILLANA!Y79</f>
        <v>0.36999494984991865</v>
      </c>
      <c r="Z65" s="29"/>
      <c r="AD65" s="17" t="str">
        <f>+IF($B$3="esp","Música","Music")</f>
        <v>Music</v>
      </c>
      <c r="AE65" s="1"/>
      <c r="AF65" s="18">
        <f>+[1]RADIO!T65</f>
        <v>12.257553995624368</v>
      </c>
      <c r="AG65" s="19">
        <f>+[1]RADIO!U65</f>
        <v>13.478925393847522</v>
      </c>
      <c r="AH65" s="20">
        <f t="shared" si="22"/>
        <v>-9.0613410382154846</v>
      </c>
      <c r="AI65" s="1"/>
      <c r="AK65" s="18">
        <f>+[1]RADIO!X65</f>
        <v>9.4103749654209157</v>
      </c>
      <c r="AL65" s="19">
        <f>+[1]RADIO!Y65</f>
        <v>7.9426116006451428</v>
      </c>
      <c r="AM65" s="20">
        <f t="shared" si="23"/>
        <v>18.479606438977235</v>
      </c>
      <c r="AN65" s="1"/>
      <c r="BA65" s="1"/>
    </row>
    <row r="66" spans="4:53" s="13" customFormat="1" ht="15" customHeight="1">
      <c r="D66" s="13" t="str">
        <f>+IF($B$3="esp","EBIT","EBIT")</f>
        <v>EBIT</v>
      </c>
      <c r="F66" s="14">
        <f>+[1]GRUPO!T80</f>
        <v>118.76934204360003</v>
      </c>
      <c r="G66" s="15">
        <f>+[1]GRUPO!U80</f>
        <v>46.377823356647063</v>
      </c>
      <c r="H66" s="16">
        <f>IF(G66=0,"---",IF(OR(ABS((F66-G66)/ABS(G66))&gt;2,(F66*G66)&lt;0),"---",IF(G66="0","---",((F66-G66)/ABS(G66))*100)))</f>
        <v>156.09080687176646</v>
      </c>
      <c r="K66" s="14">
        <f>+[1]GRUPO!X80</f>
        <v>38.26135035794951</v>
      </c>
      <c r="L66" s="15">
        <f>+[1]GRUPO!Y80</f>
        <v>-33.490068642331757</v>
      </c>
      <c r="M66" s="16" t="str">
        <f>IF(L66=0,"---",IF(OR(ABS((K66-L66)/ABS(L66))&gt;2,(K66*L66)&lt;0),"---",IF(L66="0","---",((K66-L66)/ABS(L66))*100)))</f>
        <v>---</v>
      </c>
      <c r="Q66" s="13" t="str">
        <f>+IF($B$3="esp","EBIT","EBIT")</f>
        <v>EBIT</v>
      </c>
      <c r="S66" s="14">
        <f>+[1]SANTILLANA!T80</f>
        <v>94.944594493923503</v>
      </c>
      <c r="T66" s="15">
        <f>+[1]SANTILLANA!U80</f>
        <v>104.277184493359</v>
      </c>
      <c r="U66" s="16">
        <f>IF(T66=0,"---",IF(OR(ABS((S66-T66)/ABS(T66))&gt;2,(S66*T66)&lt;0),"---",IF(T66="0","---",((S66-T66)/ABS(T66))*100)))</f>
        <v>-8.9497909296063263</v>
      </c>
      <c r="X66" s="14">
        <f>+[1]SANTILLANA!X80</f>
        <v>31.1894127248271</v>
      </c>
      <c r="Y66" s="15">
        <f>+[1]SANTILLANA!Y80</f>
        <v>35.794242017092998</v>
      </c>
      <c r="Z66" s="16">
        <f>IF(Y66=0,"---",IF(OR(ABS((X66-Y66)/ABS(Y66))&gt;2,(X66*Y66)&lt;0),"---",IF(Y66="0","---",((X66-Y66)/ABS(Y66))*100)))</f>
        <v>-12.864720784049375</v>
      </c>
      <c r="AD66" s="17" t="str">
        <f>+IF($B$3="esp","Ajustes y Otros","Adjustments &amp; others")</f>
        <v>Adjustments &amp; others</v>
      </c>
      <c r="AE66" s="1"/>
      <c r="AF66" s="18">
        <f>+[1]RADIO!T66</f>
        <v>-6.2235156419319662</v>
      </c>
      <c r="AG66" s="19">
        <f>+[1]RADIO!U66</f>
        <v>-6.6979491758021972</v>
      </c>
      <c r="AH66" s="20">
        <f t="shared" si="22"/>
        <v>7.0832656596473687</v>
      </c>
      <c r="AK66" s="18">
        <f>+[1]RADIO!X66</f>
        <v>-2.2556883473153087</v>
      </c>
      <c r="AL66" s="19">
        <f>+[1]RADIO!Y66</f>
        <v>-2.2397751993269273</v>
      </c>
      <c r="AM66" s="20">
        <f t="shared" si="23"/>
        <v>-0.7104796942641135</v>
      </c>
    </row>
    <row r="67" spans="4:53" ht="15" customHeight="1">
      <c r="D67" s="17" t="str">
        <f>+IF($B$3="esp","España","Spain")</f>
        <v>Spain</v>
      </c>
      <c r="F67" s="18">
        <f>+[1]GRUPO!T81</f>
        <v>22.229939009997643</v>
      </c>
      <c r="G67" s="19">
        <f>+[1]GRUPO!U81</f>
        <v>-50.112810546399395</v>
      </c>
      <c r="H67" s="20" t="str">
        <f>IF(G67=0,"---",IF(OR(ABS((F67-G67)/ABS(G67))&gt;2,(F67*G67)&lt;0),"---",IF(G67="0","---",((F67-G67)/ABS(G67))*100)))</f>
        <v>---</v>
      </c>
      <c r="K67" s="18">
        <f>+[1]GRUPO!X81</f>
        <v>33.214541659997337</v>
      </c>
      <c r="L67" s="19">
        <f>+[1]GRUPO!Y81</f>
        <v>-45.956210317715545</v>
      </c>
      <c r="M67" s="20" t="str">
        <f>IF(L67=0,"---",IF(OR(ABS((K67-L67)/ABS(L67))&gt;2,(K67*L67)&lt;0),"---",IF(L67="0","---",((K67-L67)/ABS(L67))*100)))</f>
        <v>---</v>
      </c>
      <c r="Q67" s="17" t="str">
        <f>+IF($B$3="esp","España","Spain")</f>
        <v>Spain</v>
      </c>
      <c r="S67" s="18">
        <f>+[1]SANTILLANA!T81</f>
        <v>26.25326117999964</v>
      </c>
      <c r="T67" s="19">
        <f>+[1]SANTILLANA!U81</f>
        <v>31.294464726975619</v>
      </c>
      <c r="U67" s="20">
        <f>IF(T67=0,"---",IF(OR(ABS((S67-T67)/ABS(T67))&gt;2,(S67*T67)&lt;0),"---",IF(T67="0","---",((S67-T67)/ABS(T67))*100)))</f>
        <v>-16.108930416152781</v>
      </c>
      <c r="X67" s="18">
        <f>+[1]SANTILLANA!X81</f>
        <v>33.488746449999802</v>
      </c>
      <c r="Y67" s="19">
        <f>+[1]SANTILLANA!Y81</f>
        <v>31.134892696976706</v>
      </c>
      <c r="Z67" s="20">
        <f>IF(Y67=0,"---",IF(OR(ABS((X67-Y67)/ABS(Y67))&gt;2,(X67*Y67)&lt;0),"---",IF(Y67="0","---",((X67-Y67)/ABS(Y67))*100)))</f>
        <v>7.560179429337369</v>
      </c>
      <c r="AD67" s="13" t="str">
        <f>+IF($B$3="esp","EBITDA","EBITDA")</f>
        <v>EBITDA</v>
      </c>
      <c r="AE67" s="13"/>
      <c r="AF67" s="14">
        <f>+[1]RADIO!T67</f>
        <v>31.978222092699699</v>
      </c>
      <c r="AG67" s="15">
        <f>+[1]RADIO!U67</f>
        <v>24.116898273371497</v>
      </c>
      <c r="AH67" s="16">
        <f t="shared" si="22"/>
        <v>32.596744947123767</v>
      </c>
      <c r="AK67" s="14">
        <f>+[1]RADIO!X67</f>
        <v>10.283676066892898</v>
      </c>
      <c r="AL67" s="15">
        <f>+[1]RADIO!Y67</f>
        <v>5.7896447135052966</v>
      </c>
      <c r="AM67" s="16">
        <f t="shared" si="23"/>
        <v>77.621884861164887</v>
      </c>
    </row>
    <row r="68" spans="4:53" ht="15" customHeight="1">
      <c r="D68" s="17" t="str">
        <f>+IF($B$3="esp","Internacional","International")</f>
        <v>International</v>
      </c>
      <c r="F68" s="18">
        <f>+[1]GRUPO!T82</f>
        <v>96.539403033602383</v>
      </c>
      <c r="G68" s="19">
        <f>+[1]GRUPO!U82</f>
        <v>96.490633903046458</v>
      </c>
      <c r="H68" s="20">
        <f>IF(G68=0,"---",IF(OR(ABS((F68-G68)/ABS(G68))&gt;2,(F68*G68)&lt;0),"---",IF(G68="0","---",((F68-G68)/ABS(G68))*100)))</f>
        <v>5.0542864714650276E-2</v>
      </c>
      <c r="K68" s="18">
        <f>+[1]GRUPO!X82</f>
        <v>5.0468086979521587</v>
      </c>
      <c r="L68" s="19">
        <f>+[1]GRUPO!Y82</f>
        <v>12.466141675383781</v>
      </c>
      <c r="M68" s="20">
        <f>IF(L68=0,"---",IF(OR(ABS((K68-L68)/ABS(L68))&gt;2,(K68*L68)&lt;0),"---",IF(L68="0","---",((K68-L68)/ABS(L68))*100)))</f>
        <v>-59.51587243775819</v>
      </c>
      <c r="Q68" s="17" t="str">
        <f>+IF($B$3="esp","Internacional","International")</f>
        <v>International</v>
      </c>
      <c r="S68" s="18">
        <f>+[1]SANTILLANA!T82</f>
        <v>68.691333313923863</v>
      </c>
      <c r="T68" s="19">
        <f>+[1]SANTILLANA!U82</f>
        <v>72.982719766383383</v>
      </c>
      <c r="U68" s="20">
        <f>IF(T68=0,"---",IF(OR(ABS((S68-T68)/ABS(T68))&gt;2,(S68*T68)&lt;0),"---",IF(T68="0","---",((S68-T68)/ABS(T68))*100)))</f>
        <v>-5.8800034668428154</v>
      </c>
      <c r="X68" s="18">
        <f>+[1]SANTILLANA!X82</f>
        <v>-2.2993337251727013</v>
      </c>
      <c r="Y68" s="19">
        <f>+[1]SANTILLANA!Y82</f>
        <v>4.6593493201162914</v>
      </c>
      <c r="Z68" s="20" t="str">
        <f>IF(Y68=0,"---",IF(OR(ABS((X68-Y68)/ABS(Y68))&gt;2,(X68*Y68)&lt;0),"---",IF(Y68="0","---",((X68-Y68)/ABS(Y68))*100)))</f>
        <v>---</v>
      </c>
      <c r="AD68" s="17" t="str">
        <f>+IF($B$3="esp","España","Spain")</f>
        <v>Spain</v>
      </c>
      <c r="AF68" s="18">
        <f>+[1]RADIO!T68</f>
        <v>17.511360450000002</v>
      </c>
      <c r="AG68" s="19">
        <f>+[1]RADIO!U68</f>
        <v>12.101004579999898</v>
      </c>
      <c r="AH68" s="20">
        <f t="shared" si="22"/>
        <v>44.709972913671507</v>
      </c>
      <c r="AK68" s="18">
        <f>+[1]RADIO!X68</f>
        <v>4.4401420500000039</v>
      </c>
      <c r="AL68" s="19">
        <f>+[1]RADIO!Y68</f>
        <v>4.1286999999998741E-2</v>
      </c>
      <c r="AM68" s="20" t="str">
        <f t="shared" si="23"/>
        <v>---</v>
      </c>
    </row>
    <row r="69" spans="4:53" ht="15" customHeight="1">
      <c r="D69" s="26" t="str">
        <f>+IF($B$3="esp","Portugal","Portugal")</f>
        <v>Portugal</v>
      </c>
      <c r="F69" s="18">
        <f>+[1]GRUPO!T83</f>
        <v>76.712890557271081</v>
      </c>
      <c r="G69" s="19">
        <f>+[1]GRUPO!U83</f>
        <v>78.682021390118052</v>
      </c>
      <c r="H69" s="20">
        <f>IF(G69=0,"---",IF(OR(ABS((F69-G69)/ABS(G69))&gt;2,(F69*G69)&lt;0),"---",IF(G69="0","---",((F69-G69)/ABS(G69))*100)))</f>
        <v>-2.5026439306683619</v>
      </c>
      <c r="K69" s="18">
        <f>+[1]GRUPO!X83</f>
        <v>-0.41294503672804694</v>
      </c>
      <c r="L69" s="19">
        <f>+[1]GRUPO!Y83</f>
        <v>7.3327032430131851</v>
      </c>
      <c r="M69" s="20" t="str">
        <f>IF(L69=0,"---",IF(OR(ABS((K69-L69)/ABS(L69))&gt;2,(K69*L69)&lt;0),"---",IF(L69="0","---",((K69-L69)/ABS(L69))*100)))</f>
        <v>---</v>
      </c>
      <c r="Q69" s="26" t="str">
        <f>+IF($B$3="esp","Latam","Latam")</f>
        <v>Latam</v>
      </c>
      <c r="S69" s="18">
        <f>+[1]SANTILLANA!T83</f>
        <v>68.569988313923858</v>
      </c>
      <c r="T69" s="19">
        <f>+[1]SANTILLANA!U83</f>
        <v>73.016288766383383</v>
      </c>
      <c r="U69" s="20">
        <f>IF(T69=0,"---",IF(OR(ABS((S69-T69)/ABS(T69))&gt;2,(S69*T69)&lt;0),"---",IF(T69="0","---",((S69-T69)/ABS(T69))*100)))</f>
        <v>-6.0894637725090695</v>
      </c>
      <c r="X69" s="18">
        <f>+[1]SANTILLANA!X83</f>
        <v>-4.1910257251727074</v>
      </c>
      <c r="Y69" s="19">
        <f>+[1]SANTILLANA!Y83</f>
        <v>3.1655033201162865</v>
      </c>
      <c r="Z69" s="20" t="str">
        <f>IF(Y69=0,"---",IF(OR(ABS((X69-Y69)/ABS(Y69))&gt;2,(X69*Y69)&lt;0),"---",IF(Y69="0","---",((X69-Y69)/ABS(Y69))*100)))</f>
        <v>---</v>
      </c>
      <c r="AD69" s="17" t="str">
        <f>+IF($B$3="esp","Latam","Latam")</f>
        <v>Latam</v>
      </c>
      <c r="AF69" s="18">
        <f>+[1]RADIO!T69</f>
        <v>14.392250432924</v>
      </c>
      <c r="AG69" s="19">
        <f>+[1]RADIO!U69</f>
        <v>13.537662046190501</v>
      </c>
      <c r="AH69" s="20">
        <f t="shared" si="22"/>
        <v>6.3126733686927823</v>
      </c>
      <c r="AK69" s="18">
        <f>+[1]RADIO!X69</f>
        <v>5.4007087302097094</v>
      </c>
      <c r="AL69" s="19">
        <f>+[1]RADIO!Y69</f>
        <v>6.4676875546611905</v>
      </c>
      <c r="AM69" s="20">
        <f t="shared" si="23"/>
        <v>-16.497068162832345</v>
      </c>
    </row>
    <row r="70" spans="4:53" ht="15" customHeight="1">
      <c r="D70" s="26" t="str">
        <f>+IF($B$3="esp","Latam","Latam")</f>
        <v>Latam</v>
      </c>
      <c r="F70" s="18">
        <f>+[1]GRUPO!T84</f>
        <v>19.826512476331303</v>
      </c>
      <c r="G70" s="19">
        <f>+[1]GRUPO!U84</f>
        <v>17.808612512928402</v>
      </c>
      <c r="H70" s="20">
        <f>IF(G70=0,"---",IF(OR(ABS((F70-G70)/ABS(G70))&gt;2,(F70*G70)&lt;0),"---",IF(G70="0","---",((F70-G70)/ABS(G70))*100)))</f>
        <v>11.331034138330422</v>
      </c>
      <c r="K70" s="18">
        <f>+[1]GRUPO!X84</f>
        <v>5.4597537346802021</v>
      </c>
      <c r="L70" s="19">
        <f>+[1]GRUPO!Y84</f>
        <v>5.1334384323706033</v>
      </c>
      <c r="M70" s="20">
        <f>IF(L70=0,"---",IF(OR(ABS((K70-L70)/ABS(L70))&gt;2,(K70*L70)&lt;0),"---",IF(L70="0","---",((K70-L70)/ABS(L70))*100)))</f>
        <v>6.3566614581740994</v>
      </c>
      <c r="Q70" s="26" t="str">
        <f>+IF($B$3="esp","Portugal","Portugal")</f>
        <v>Portugal</v>
      </c>
      <c r="S70" s="18">
        <f>+[1]SANTILLANA!T84</f>
        <v>0.12134499999999999</v>
      </c>
      <c r="T70" s="19">
        <f>+[1]SANTILLANA!U84</f>
        <v>-3.3568999999998801E-2</v>
      </c>
      <c r="U70" s="20" t="str">
        <f>IF(T70=0,"---",IF(OR(ABS((S70-T70)/ABS(T70))&gt;2,(S70*T70)&lt;0),"---",IF(T70="0","---",((S70-T70)/ABS(T70))*100)))</f>
        <v>---</v>
      </c>
      <c r="X70" s="18">
        <f>+[1]SANTILLANA!X84</f>
        <v>1.8916919999999999</v>
      </c>
      <c r="Y70" s="19">
        <f>+[1]SANTILLANA!Y84</f>
        <v>1.4938460000000011</v>
      </c>
      <c r="Z70" s="20">
        <f>IF(Y70=0,"---",IF(OR(ABS((X70-Y70)/ABS(Y70))&gt;2,(X70*Y70)&lt;0),"---",IF(Y70="0","---",((X70-Y70)/ABS(Y70))*100)))</f>
        <v>26.632330240198687</v>
      </c>
      <c r="AD70" s="17" t="str">
        <f>+IF($B$3="esp","Música","Music")</f>
        <v>Music</v>
      </c>
      <c r="AF70" s="18">
        <f>+[1]RADIO!T70</f>
        <v>7.4611209775432202E-2</v>
      </c>
      <c r="AG70" s="19">
        <f>+[1]RADIO!U70</f>
        <v>-1.5217683528186201</v>
      </c>
      <c r="AH70" s="20" t="str">
        <f t="shared" si="22"/>
        <v>---</v>
      </c>
      <c r="AK70" s="18">
        <f>+[1]RADIO!X70</f>
        <v>0.44282528668283416</v>
      </c>
      <c r="AL70" s="19">
        <f>+[1]RADIO!Y70</f>
        <v>-0.71932984115559118</v>
      </c>
      <c r="AM70" s="20" t="str">
        <f t="shared" si="23"/>
        <v>---</v>
      </c>
    </row>
    <row r="71" spans="4:53" s="22" customFormat="1" ht="15" customHeight="1">
      <c r="D71" s="21" t="str">
        <f>+IF($B$3="esp","Margen EBIT ","EBIT Margin")</f>
        <v>EBIT Margin</v>
      </c>
      <c r="F71" s="27">
        <f>+[1]GRUPO!T85</f>
        <v>0.12512919800140562</v>
      </c>
      <c r="G71" s="28">
        <f>+[1]GRUPO!U85</f>
        <v>4.5982944001783918E-2</v>
      </c>
      <c r="H71" s="29"/>
      <c r="K71" s="27">
        <f>+[1]GRUPO!X85</f>
        <v>0.11953315283428323</v>
      </c>
      <c r="L71" s="28">
        <f>+[1]GRUPO!Y85</f>
        <v>-9.4721601906992442E-2</v>
      </c>
      <c r="M71" s="29"/>
      <c r="Q71" s="21" t="str">
        <f>+IF($B$3="esp","Margen EBIT ","EBIT Margin")</f>
        <v>EBIT Margin</v>
      </c>
      <c r="S71" s="27">
        <f>+[1]SANTILLANA!T85</f>
        <v>0.20304740813628308</v>
      </c>
      <c r="T71" s="28">
        <f>+[1]SANTILLANA!U85</f>
        <v>0.1995318735203479</v>
      </c>
      <c r="U71" s="29"/>
      <c r="X71" s="27">
        <f>+[1]SANTILLANA!X85</f>
        <v>0.18759085372852485</v>
      </c>
      <c r="Y71" s="28">
        <f>+[1]SANTILLANA!Y85</f>
        <v>0.18394917367481231</v>
      </c>
      <c r="Z71" s="29"/>
      <c r="AD71" s="17" t="str">
        <f>+IF($B$3="esp","Ajustes y Otros","Adjustments &amp; others")</f>
        <v>Adjustments &amp; others</v>
      </c>
      <c r="AE71" s="1"/>
      <c r="AF71" s="18">
        <f>+[1]RADIO!T71</f>
        <v>2.6592616997334062E-13</v>
      </c>
      <c r="AG71" s="19">
        <f>+[1]RADIO!U71</f>
        <v>-2.8266278206956486E-13</v>
      </c>
      <c r="AH71" s="20" t="str">
        <f t="shared" si="22"/>
        <v>---</v>
      </c>
      <c r="AK71" s="18">
        <f>+[1]RADIO!X71</f>
        <v>3.5058067560100881E-13</v>
      </c>
      <c r="AL71" s="19">
        <f>+[1]RADIO!Y71</f>
        <v>-3.0142555118573E-13</v>
      </c>
      <c r="AM71" s="20" t="str">
        <f t="shared" si="23"/>
        <v>---</v>
      </c>
    </row>
    <row r="72" spans="4:53" s="13" customFormat="1" ht="15" customHeight="1">
      <c r="D72" s="13" t="str">
        <f>+IF($B$3="esp","Resultado Financiero","Financial Result")</f>
        <v>Financial Result</v>
      </c>
      <c r="F72" s="14">
        <f>+[1]GRUPO!T86</f>
        <v>-64.5104455025416</v>
      </c>
      <c r="G72" s="15">
        <f>+[1]GRUPO!U86</f>
        <v>-40.419780071907802</v>
      </c>
      <c r="H72" s="16">
        <f t="shared" ref="H72:H80" si="24">IF(G72=0,"---",IF(OR(ABS((F72-G72)/ABS(G72))&gt;2,(F72*G72)&lt;0),"---",IF(G72="0","---",((F72-G72)/ABS(G72))*100)))</f>
        <v>-59.601178897499942</v>
      </c>
      <c r="K72" s="14">
        <f>+[1]GRUPO!X86</f>
        <v>-20.387790896366397</v>
      </c>
      <c r="L72" s="15">
        <f>+[1]GRUPO!Y86</f>
        <v>-14.1344297854057</v>
      </c>
      <c r="M72" s="16">
        <f t="shared" ref="M72:M80" si="25">IF(L72=0,"---",IF(OR(ABS((K72-L72)/ABS(L72))&gt;2,(K72*L72)&lt;0),"---",IF(L72="0","---",((K72-L72)/ABS(L72))*100)))</f>
        <v>-44.242047297992265</v>
      </c>
      <c r="Q72" s="1"/>
      <c r="R72" s="1"/>
      <c r="S72" s="1"/>
      <c r="T72" s="1"/>
      <c r="U72" s="1"/>
      <c r="X72" s="1"/>
      <c r="Y72" s="1"/>
      <c r="Z72" s="1"/>
      <c r="AD72" s="21" t="str">
        <f>+IF($B$3="esp","Margen EBITDA ","EBITDA Margin")</f>
        <v>EBITDA Margin</v>
      </c>
      <c r="AE72" s="22"/>
      <c r="AF72" s="27">
        <f>+[1]RADIO!T72</f>
        <v>0.15616104203872527</v>
      </c>
      <c r="AG72" s="28">
        <f>+[1]RADIO!U72</f>
        <v>0.11890728235921379</v>
      </c>
      <c r="AH72" s="29"/>
      <c r="AK72" s="27">
        <f>+[1]RADIO!X72</f>
        <v>0.14947067343833439</v>
      </c>
      <c r="AL72" s="28">
        <f>+[1]RADIO!Y72</f>
        <v>8.765132767900656E-2</v>
      </c>
      <c r="AM72" s="29"/>
    </row>
    <row r="73" spans="4:53" ht="15" customHeight="1">
      <c r="D73" s="17" t="str">
        <f>+IF($B$3="esp","Gastos por intereses de financiación","Interests on debt")</f>
        <v>Interests on debt</v>
      </c>
      <c r="F73" s="18">
        <f>+[1]GRUPO!T87</f>
        <v>-39.303194848383797</v>
      </c>
      <c r="G73" s="19">
        <f>+[1]GRUPO!U87</f>
        <v>-39.978647429037601</v>
      </c>
      <c r="H73" s="20">
        <f t="shared" si="24"/>
        <v>1.6895333486525215</v>
      </c>
      <c r="K73" s="18">
        <f>+[1]GRUPO!X87</f>
        <v>-14.083411143651297</v>
      </c>
      <c r="L73" s="19">
        <f>+[1]GRUPO!Y87</f>
        <v>-13.036876279312299</v>
      </c>
      <c r="M73" s="20">
        <f t="shared" si="25"/>
        <v>-8.027497092993837</v>
      </c>
      <c r="AD73" s="13" t="str">
        <f>+IF($B$3="esp","EBIT","EBIT")</f>
        <v>EBIT</v>
      </c>
      <c r="AE73" s="13"/>
      <c r="AF73" s="14">
        <f>+[1]RADIO!T73</f>
        <v>24.692249248669199</v>
      </c>
      <c r="AG73" s="15">
        <f>+[1]RADIO!U73</f>
        <v>15.761782557076966</v>
      </c>
      <c r="AH73" s="16">
        <f>IF(AG73=0,"---",IF(OR(ABS((AF73-AG73)/ABS(AG73))&gt;2,(AF73*AG73)&lt;0),"---",IF(AG73="0","---",((AF73-AG73)/ABS(AG73))*100)))</f>
        <v>56.658989294218479</v>
      </c>
      <c r="AK73" s="14">
        <f>+[1]RADIO!X73</f>
        <v>7.9401448720239998</v>
      </c>
      <c r="AL73" s="15">
        <f>+[1]RADIO!Y73</f>
        <v>3.5511345305754425</v>
      </c>
      <c r="AM73" s="16">
        <f>IF(AL73=0,"---",IF(OR(ABS((AK73-AL73)/ABS(AL73))&gt;2,(AK73*AL73)&lt;0),"---",IF(AL73="0","---",((AK73-AL73)/ABS(AL73))*100)))</f>
        <v>123.59459501347987</v>
      </c>
    </row>
    <row r="74" spans="4:53" ht="15" customHeight="1">
      <c r="D74" s="17" t="str">
        <f>+IF($B$3="esp","Otros resultados financieros","Other financial results")</f>
        <v>Other financial results</v>
      </c>
      <c r="F74" s="18">
        <f>+[1]GRUPO!T88</f>
        <v>-25.207250654157804</v>
      </c>
      <c r="G74" s="19">
        <f>+[1]GRUPO!U88</f>
        <v>-0.44113264287020115</v>
      </c>
      <c r="H74" s="20" t="str">
        <f t="shared" si="24"/>
        <v>---</v>
      </c>
      <c r="K74" s="18">
        <f>+[1]GRUPO!X88</f>
        <v>-6.3043797527151</v>
      </c>
      <c r="L74" s="19">
        <f>+[1]GRUPO!Y88</f>
        <v>-1.0975535060934014</v>
      </c>
      <c r="M74" s="20" t="str">
        <f t="shared" si="25"/>
        <v>---</v>
      </c>
      <c r="AD74" s="17" t="str">
        <f>+IF($B$3="esp","España","Spain")</f>
        <v>Spain</v>
      </c>
      <c r="AF74" s="18">
        <f>+[1]RADIO!T74</f>
        <v>13.209944300000101</v>
      </c>
      <c r="AG74" s="19">
        <f>+[1]RADIO!U74</f>
        <v>7.8312348899998998</v>
      </c>
      <c r="AH74" s="20">
        <f>IF(AG74=0,"---",IF(OR(ABS((AF74-AG74)/ABS(AG74))&gt;2,(AF74*AG74)&lt;0),"---",IF(AG74="0","---",((AF74-AG74)/ABS(AG74))*100)))</f>
        <v>68.682774626879691</v>
      </c>
      <c r="AK74" s="18">
        <f>+[1]RADIO!X74</f>
        <v>2.8922196400001035</v>
      </c>
      <c r="AL74" s="19">
        <f>+[1]RADIO!Y74</f>
        <v>-1.43666144</v>
      </c>
      <c r="AM74" s="20" t="str">
        <f>IF(AL74=0,"---",IF(OR(ABS((AK74-AL74)/ABS(AL74))&gt;2,(AK74*AL74)&lt;0),"---",IF(AL74="0","---",((AK74-AL74)/ABS(AL74))*100)))</f>
        <v>---</v>
      </c>
    </row>
    <row r="75" spans="4:53" s="13" customFormat="1" ht="15" customHeight="1">
      <c r="D75" s="13" t="str">
        <f>+IF($B$3="esp","Resultado puesta en equivalencia","Result from associates")</f>
        <v>Result from associates</v>
      </c>
      <c r="F75" s="14">
        <f>+[1]GRUPO!T89</f>
        <v>3.0623384392276298</v>
      </c>
      <c r="G75" s="15">
        <f>+[1]GRUPO!U89</f>
        <v>1.6203167378905201</v>
      </c>
      <c r="H75" s="16">
        <f t="shared" si="24"/>
        <v>88.996284961819768</v>
      </c>
      <c r="K75" s="14">
        <f>+[1]GRUPO!X89</f>
        <v>0.62306511645317952</v>
      </c>
      <c r="L75" s="15">
        <f>+[1]GRUPO!Y89</f>
        <v>1.0639345741247972</v>
      </c>
      <c r="M75" s="16">
        <f t="shared" si="25"/>
        <v>-41.437647426232118</v>
      </c>
      <c r="AD75" s="17" t="str">
        <f>+IF($B$3="esp","Latam","Latam")</f>
        <v>Latam</v>
      </c>
      <c r="AE75" s="1"/>
      <c r="AF75" s="18">
        <f>+[1]RADIO!T75</f>
        <v>11.802454299018001</v>
      </c>
      <c r="AG75" s="19">
        <f>+[1]RADIO!U75</f>
        <v>9.8852484344537661</v>
      </c>
      <c r="AH75" s="20">
        <f>IF(AG75=0,"---",IF(OR(ABS((AF75-AG75)/ABS(AG75))&gt;2,(AF75*AG75)&lt;0),"---",IF(AG75="0","---",((AF75-AG75)/ABS(AG75))*100)))</f>
        <v>19.39461488779644</v>
      </c>
      <c r="AI75" s="1"/>
      <c r="AK75" s="18">
        <f>+[1]RADIO!X75</f>
        <v>4.6161332466632805</v>
      </c>
      <c r="AL75" s="19">
        <f>+[1]RADIO!Y75</f>
        <v>5.7542537710480319</v>
      </c>
      <c r="AM75" s="20">
        <f>IF(AL75=0,"---",IF(OR(ABS((AK75-AL75)/ABS(AL75))&gt;2,(AK75*AL75)&lt;0),"---",IF(AL75="0","---",((AK75-AL75)/ABS(AL75))*100)))</f>
        <v>-19.778768362825673</v>
      </c>
      <c r="AN75" s="1"/>
      <c r="BA75" s="1"/>
    </row>
    <row r="76" spans="4:53" s="13" customFormat="1" ht="15" customHeight="1">
      <c r="D76" s="13" t="str">
        <f>+IF($B$3="esp","Resultado antes de impuestos","Profit before tax")</f>
        <v>Profit before tax</v>
      </c>
      <c r="F76" s="14">
        <f>+[1]GRUPO!T90</f>
        <v>57.321234980286064</v>
      </c>
      <c r="G76" s="15">
        <f>+[1]GRUPO!U90</f>
        <v>7.5783600226297816</v>
      </c>
      <c r="H76" s="16" t="str">
        <f t="shared" si="24"/>
        <v>---</v>
      </c>
      <c r="K76" s="14">
        <f>+[1]GRUPO!X90</f>
        <v>18.496624578036297</v>
      </c>
      <c r="L76" s="15">
        <f>+[1]GRUPO!Y90</f>
        <v>-46.560563853612663</v>
      </c>
      <c r="M76" s="16" t="str">
        <f t="shared" si="25"/>
        <v>---</v>
      </c>
      <c r="AD76" s="17" t="str">
        <f>+IF($B$3="esp","Música","Music")</f>
        <v>Music</v>
      </c>
      <c r="AE76" s="1"/>
      <c r="AF76" s="18">
        <f>+[1]RADIO!T76</f>
        <v>0.107680649651046</v>
      </c>
      <c r="AG76" s="19">
        <f>+[1]RADIO!U76</f>
        <v>-1.9547007673768402</v>
      </c>
      <c r="AH76" s="20" t="str">
        <f>IF(AG76=0,"---",IF(OR(ABS((AF76-AG76)/ABS(AG76))&gt;2,(AF76*AG76)&lt;0),"---",IF(AG76="0","---",((AF76-AG76)/ABS(AG76))*100)))</f>
        <v>---</v>
      </c>
      <c r="AI76" s="1"/>
      <c r="AK76" s="18">
        <f>+[1]RADIO!X76</f>
        <v>0.43079198536063401</v>
      </c>
      <c r="AL76" s="19">
        <f>+[1]RADIO!Y76</f>
        <v>-0.76645780047268008</v>
      </c>
      <c r="AM76" s="20" t="str">
        <f>IF(AL76=0,"---",IF(OR(ABS((AK76-AL76)/ABS(AL76))&gt;2,(AK76*AL76)&lt;0),"---",IF(AL76="0","---",((AK76-AL76)/ABS(AL76))*100)))</f>
        <v>---</v>
      </c>
      <c r="AN76" s="1"/>
      <c r="BA76" s="1"/>
    </row>
    <row r="77" spans="4:53" ht="15" customHeight="1">
      <c r="D77" s="17" t="str">
        <f>+IF($B$3="esp","Impuesto sobre sociedades","Income tax expense")</f>
        <v>Income tax expense</v>
      </c>
      <c r="F77" s="18">
        <f>+[1]GRUPO!T91</f>
        <v>37.224610483199996</v>
      </c>
      <c r="G77" s="19">
        <f>+[1]GRUPO!U91</f>
        <v>42.150767497266997</v>
      </c>
      <c r="H77" s="20">
        <f t="shared" si="24"/>
        <v>-11.68699244773279</v>
      </c>
      <c r="K77" s="18">
        <f>+[1]GRUPO!X91</f>
        <v>14.425031388226955</v>
      </c>
      <c r="L77" s="19">
        <f>+[1]GRUPO!Y91</f>
        <v>17.082639069756489</v>
      </c>
      <c r="M77" s="20">
        <f t="shared" si="25"/>
        <v>-15.557360140182471</v>
      </c>
      <c r="AD77" s="17" t="str">
        <f>+IF($B$3="esp","Ajustes y Otros","Adjustments &amp; others")</f>
        <v>Adjustments &amp; others</v>
      </c>
      <c r="AF77" s="18">
        <f>+[1]RADIO!T77</f>
        <v>-0.42782999999994858</v>
      </c>
      <c r="AG77" s="19">
        <f>+[1]RADIO!U77</f>
        <v>1.4033219031261979E-13</v>
      </c>
      <c r="AH77" s="20" t="str">
        <f>IF(AG77=0,"---",IF(OR(ABS((AF77-AG77)/ABS(AG77))&gt;2,(AF77*AG77)&lt;0),"---",IF(AG77="0","---",((AF77-AG77)/ABS(AG77))*100)))</f>
        <v>---</v>
      </c>
      <c r="AI77" s="22"/>
      <c r="AK77" s="18">
        <f>+[1]RADIO!X77</f>
        <v>9.9999999998179323E-4</v>
      </c>
      <c r="AL77" s="19">
        <f>+[1]RADIO!Y77</f>
        <v>9.0594198809412774E-14</v>
      </c>
      <c r="AM77" s="20" t="str">
        <f>IF(AL77=0,"---",IF(OR(ABS((AK77-AL77)/ABS(AL77))&gt;2,(AK77*AL77)&lt;0),"---",IF(AL77="0","---",((AK77-AL77)/ABS(AL77))*100)))</f>
        <v>---</v>
      </c>
      <c r="AN77" s="22"/>
      <c r="BA77" s="22"/>
    </row>
    <row r="78" spans="4:53" s="13" customFormat="1" ht="15" customHeight="1">
      <c r="D78" s="13" t="str">
        <f>+IF($B$3="esp","Resultado operaciones en discontinuación","Results from discontinued activities")</f>
        <v>Results from discontinued activities</v>
      </c>
      <c r="F78" s="14">
        <f>+[1]GRUPO!T92</f>
        <v>0</v>
      </c>
      <c r="G78" s="15">
        <f>+[1]GRUPO!U92</f>
        <v>-0.98474301000000608</v>
      </c>
      <c r="H78" s="16">
        <f t="shared" si="24"/>
        <v>100</v>
      </c>
      <c r="K78" s="14">
        <f>+[1]GRUPO!X92</f>
        <v>0</v>
      </c>
      <c r="L78" s="15">
        <f>+[1]GRUPO!Y92</f>
        <v>2.4098999999400128E-4</v>
      </c>
      <c r="M78" s="16">
        <f t="shared" si="25"/>
        <v>-100</v>
      </c>
      <c r="AD78" s="21" t="str">
        <f>+IF($B$3="esp","Margen EBIT ","EBIT Margin")</f>
        <v>EBIT Margin</v>
      </c>
      <c r="AE78" s="22"/>
      <c r="AF78" s="27">
        <f>+[1]RADIO!T78</f>
        <v>0.12058104299151738</v>
      </c>
      <c r="AG78" s="28">
        <f>+AG73/AG56</f>
        <v>7.7712760063687616E-2</v>
      </c>
      <c r="AH78" s="29"/>
      <c r="AK78" s="27">
        <f>+[1]RADIO!X78</f>
        <v>0.11540803050381859</v>
      </c>
      <c r="AL78" s="28">
        <f>+AL73/AL56</f>
        <v>5.3761788809878842E-2</v>
      </c>
      <c r="AM78" s="29"/>
    </row>
    <row r="79" spans="4:53" s="13" customFormat="1" ht="15" customHeight="1">
      <c r="D79" s="13" t="str">
        <f>+IF($B$3="esp","Resultado atribuido a socios externos","Minority interest")</f>
        <v>Minority interest</v>
      </c>
      <c r="F79" s="14">
        <f>+[1]GRUPO!T93</f>
        <v>23.0640010601565</v>
      </c>
      <c r="G79" s="15">
        <f>+[1]GRUPO!U93</f>
        <v>20.062215705848001</v>
      </c>
      <c r="H79" s="16">
        <f t="shared" si="24"/>
        <v>14.962382013635208</v>
      </c>
      <c r="K79" s="14">
        <f>+[1]GRUPO!X93</f>
        <v>7.4413496825367993</v>
      </c>
      <c r="L79" s="15">
        <f>+[1]GRUPO!Y93</f>
        <v>5.8758639610739003</v>
      </c>
      <c r="M79" s="16">
        <f t="shared" si="25"/>
        <v>26.642647478461761</v>
      </c>
      <c r="AD79" s="1"/>
      <c r="AE79" s="1"/>
      <c r="AF79" s="1"/>
      <c r="AG79" s="1"/>
      <c r="AH79" s="1"/>
      <c r="AI79" s="1"/>
      <c r="AK79" s="1"/>
      <c r="AL79" s="1"/>
      <c r="AM79" s="1"/>
      <c r="AN79" s="1"/>
      <c r="BA79" s="1"/>
    </row>
    <row r="80" spans="4:53" s="13" customFormat="1" ht="15" customHeight="1">
      <c r="D80" s="13" t="str">
        <f>+IF($B$3="esp","Resultado Neto","Net Profit")</f>
        <v>Net Profit</v>
      </c>
      <c r="F80" s="14">
        <f>+[1]GRUPO!T94</f>
        <v>-2.9673765630692941</v>
      </c>
      <c r="G80" s="15">
        <f>+[1]GRUPO!U94</f>
        <v>-55.619366317112735</v>
      </c>
      <c r="H80" s="16">
        <f t="shared" si="24"/>
        <v>94.664850106074823</v>
      </c>
      <c r="K80" s="14">
        <f>+[1]GRUPO!X94</f>
        <v>-3.3697564927253385</v>
      </c>
      <c r="L80" s="15">
        <f>+[1]GRUPO!Y94</f>
        <v>-69.518826019754997</v>
      </c>
      <c r="M80" s="16">
        <f t="shared" si="25"/>
        <v>95.152742522194245</v>
      </c>
    </row>
    <row r="81" spans="4:65">
      <c r="AD81" s="13"/>
      <c r="AE81" s="13"/>
      <c r="AF81" s="13"/>
      <c r="AG81" s="13"/>
      <c r="AH81" s="13"/>
      <c r="AI81" s="13"/>
      <c r="AK81" s="13"/>
      <c r="AL81" s="13"/>
      <c r="AM81" s="13"/>
      <c r="AN81" s="13"/>
      <c r="BA81" s="13"/>
    </row>
    <row r="82" spans="4:65">
      <c r="AD82" s="13"/>
      <c r="AE82" s="13"/>
      <c r="AF82" s="13"/>
      <c r="AG82" s="13"/>
      <c r="AH82" s="13"/>
      <c r="AI82" s="13"/>
      <c r="AK82" s="13"/>
      <c r="AL82" s="13"/>
      <c r="AM82" s="13"/>
      <c r="AN82" s="13"/>
      <c r="BA82" s="13"/>
    </row>
    <row r="83" spans="4:65"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</row>
    <row r="84" spans="4:65">
      <c r="AD84" s="13"/>
      <c r="AE84" s="13"/>
      <c r="AF84" s="13"/>
      <c r="AG84" s="13"/>
      <c r="AH84" s="13"/>
      <c r="AI84" s="13"/>
      <c r="AK84" s="13"/>
      <c r="AL84" s="13"/>
      <c r="AM84" s="13"/>
      <c r="AN84" s="13"/>
      <c r="BA84" s="13"/>
    </row>
    <row r="85" spans="4:65">
      <c r="F85" s="7" t="str">
        <f>+F6</f>
        <v>JANUARY - SEPTEMBER</v>
      </c>
      <c r="G85" s="8"/>
      <c r="H85" s="8"/>
      <c r="K85" s="7" t="str">
        <f>+K6</f>
        <v>JUNE - SEPTEMBER</v>
      </c>
      <c r="L85" s="8"/>
      <c r="M85" s="8"/>
    </row>
    <row r="87" spans="4:65">
      <c r="D87" s="9" t="str">
        <f>+IF($B$3="esp","Millones de €","€ Millions")</f>
        <v>€ Millions</v>
      </c>
      <c r="F87" s="10">
        <v>2018</v>
      </c>
      <c r="G87" s="10">
        <v>2017</v>
      </c>
      <c r="H87" s="10" t="str">
        <f>+IF($B$3="esp","Var.%","% Chg.")</f>
        <v>% Chg.</v>
      </c>
      <c r="I87" s="13"/>
      <c r="J87" s="13"/>
      <c r="K87" s="10">
        <v>2018</v>
      </c>
      <c r="L87" s="10">
        <v>2017</v>
      </c>
      <c r="M87" s="10" t="str">
        <f>+IF($B$3="esp","Var.%","% Chg.")</f>
        <v>% Chg.</v>
      </c>
      <c r="Q87" s="9" t="str">
        <f>+IF($B$3="esp","Millones de €","€ Millions")</f>
        <v>€ Millions</v>
      </c>
      <c r="S87" s="10">
        <v>2018</v>
      </c>
      <c r="T87" s="10">
        <v>2017</v>
      </c>
      <c r="U87" s="10" t="str">
        <f>+IF($B$3="esp","Var.%","% Chg.")</f>
        <v>% Chg.</v>
      </c>
      <c r="X87" s="10">
        <v>2018</v>
      </c>
      <c r="Y87" s="10">
        <v>2017</v>
      </c>
      <c r="Z87" s="10" t="str">
        <f>+IF($B$3="esp","Var.%","% Chg.")</f>
        <v>% Chg.</v>
      </c>
      <c r="AD87" s="9" t="str">
        <f>+IF($B$3="esp","Millones de €","€ Millions")</f>
        <v>€ Millions</v>
      </c>
      <c r="AF87" s="10">
        <v>2018</v>
      </c>
      <c r="AG87" s="10">
        <v>2017</v>
      </c>
      <c r="AH87" s="10" t="str">
        <f>+IF($B$3="esp","Var.%","% Chg.")</f>
        <v>% Chg.</v>
      </c>
      <c r="AK87" s="10">
        <v>2018</v>
      </c>
      <c r="AL87" s="10">
        <v>2017</v>
      </c>
      <c r="AM87" s="10" t="str">
        <f>+IF($B$3="esp","Var.%","% Chg.")</f>
        <v>% Chg.</v>
      </c>
      <c r="AQ87" s="9" t="str">
        <f>+IF($B$3="esp","Millones de €","€ Millions")</f>
        <v>€ Millions</v>
      </c>
      <c r="AS87" s="10">
        <v>2018</v>
      </c>
      <c r="AT87" s="10">
        <v>2017</v>
      </c>
      <c r="AU87" s="10" t="str">
        <f>+IF($B$3="esp","Var.%","% Chg.")</f>
        <v>% Chg.</v>
      </c>
      <c r="AX87" s="10">
        <v>2018</v>
      </c>
      <c r="AY87" s="10">
        <v>2017</v>
      </c>
      <c r="AZ87" s="10" t="str">
        <f>+IF($B$3="esp","Var.%","% Chg.")</f>
        <v>% Chg.</v>
      </c>
      <c r="BD87" s="9" t="str">
        <f>+IF($B$3="esp","Millones de €","€ Millions")</f>
        <v>€ Millions</v>
      </c>
      <c r="BF87" s="10">
        <v>2018</v>
      </c>
      <c r="BG87" s="10">
        <v>2017</v>
      </c>
      <c r="BH87" s="10" t="str">
        <f>+IF($B$3="esp","Var.%","% Chg.")</f>
        <v>% Chg.</v>
      </c>
      <c r="BK87" s="10">
        <v>2018</v>
      </c>
      <c r="BL87" s="10">
        <v>2017</v>
      </c>
      <c r="BM87" s="10" t="str">
        <f>+IF($B$3="esp","Var.%","% Chg.")</f>
        <v>% Chg.</v>
      </c>
    </row>
    <row r="88" spans="4:65" ht="15.75" customHeight="1">
      <c r="D88" s="11" t="str">
        <f>+IF($B$3="esp","Efectos Extraordinarios","Extraordinary Effects")</f>
        <v>Extraordinary Effects</v>
      </c>
      <c r="F88" s="12"/>
      <c r="G88" s="12"/>
      <c r="H88" s="12"/>
      <c r="K88" s="12"/>
      <c r="L88" s="12"/>
      <c r="M88" s="12"/>
      <c r="Q88" s="11" t="str">
        <f>+IF($B$3="esp","Efectos Extraordinarios","Extraordinary Effects")</f>
        <v>Extraordinary Effects</v>
      </c>
      <c r="S88" s="12"/>
      <c r="T88" s="12"/>
      <c r="U88" s="12"/>
      <c r="X88" s="12"/>
      <c r="Y88" s="12"/>
      <c r="Z88" s="12"/>
      <c r="AD88" s="11" t="str">
        <f>+IF($B$3="esp","Efectos Extraordinarios","Extraordinary Effects")</f>
        <v>Extraordinary Effects</v>
      </c>
      <c r="AF88" s="12"/>
      <c r="AG88" s="12"/>
      <c r="AH88" s="12"/>
      <c r="AK88" s="12"/>
      <c r="AL88" s="12"/>
      <c r="AM88" s="12"/>
      <c r="AQ88" s="11" t="str">
        <f>+IF($B$3="esp","Efectos Extraordinarios","Extraordinary Effects")</f>
        <v>Extraordinary Effects</v>
      </c>
      <c r="AS88" s="12"/>
      <c r="AT88" s="12"/>
      <c r="AU88" s="12"/>
      <c r="AX88" s="12"/>
      <c r="AY88" s="12"/>
      <c r="AZ88" s="12"/>
      <c r="BD88" s="11" t="str">
        <f>+IF($B$3="esp","Efectos Extraordinarios","Extraordinary Effects")</f>
        <v>Extraordinary Effects</v>
      </c>
      <c r="BF88" s="12"/>
      <c r="BG88" s="12"/>
      <c r="BH88" s="12"/>
      <c r="BK88" s="12"/>
      <c r="BL88" s="12"/>
      <c r="BM88" s="12"/>
    </row>
    <row r="89" spans="4:65" s="13" customFormat="1" ht="15" customHeight="1">
      <c r="D89" s="13" t="str">
        <f>+IF($B$3="esp","Efectos extraordinarios en Ingresos","One-offs in Operating Revenues")</f>
        <v>One-offs in Operating Revenues</v>
      </c>
      <c r="F89" s="14">
        <f>+[1]GRUPO!T105</f>
        <v>-7.3927414126004454</v>
      </c>
      <c r="G89" s="15">
        <f>+[1]GRUPO!U105</f>
        <v>13.77243610258272</v>
      </c>
      <c r="H89" s="16" t="str">
        <f t="shared" ref="H89:H97" si="26">IF(G89=0,"---",IF(OR(ABS((F89-G89)/ABS(G89))&gt;2,(F89*G89)&lt;0),"---",IF(G89="0","---",((F89-G89)/ABS(G89))*100)))</f>
        <v>---</v>
      </c>
      <c r="I89" s="1"/>
      <c r="J89" s="1"/>
      <c r="K89" s="14">
        <f>+[1]GRUPO!X105</f>
        <v>-14.770600268372975</v>
      </c>
      <c r="L89" s="15">
        <f>+[1]GRUPO!Y105</f>
        <v>13.77243610258272</v>
      </c>
      <c r="M89" s="16" t="str">
        <f t="shared" ref="M89:M97" si="27">IF(L89=0,"---",IF(OR(ABS((K89-L89)/ABS(L89))&gt;2,(K89*L89)&lt;0),"---",IF(L89="0","---",((K89-L89)/ABS(L89))*100)))</f>
        <v>---</v>
      </c>
      <c r="Q89" s="13" t="str">
        <f>+IF($B$3="esp","Efectos extraordinarios en Ingresos","One-offs in Operating Revenues")</f>
        <v>One-offs in Operating Revenues</v>
      </c>
      <c r="S89" s="14">
        <f>+[1]SANTILLANA!T93</f>
        <v>-6.0740320871714513</v>
      </c>
      <c r="T89" s="15">
        <f>+[1]SANTILLANA!U93</f>
        <v>9.1384361025827197</v>
      </c>
      <c r="U89" s="16" t="str">
        <f>IF(T89=0,"---",IF(OR(ABS((S89-T89)/ABS(T89))&gt;2,(S89*T89)&lt;0),"---",IF(T89="0","---",((S89-T89)/ABS(T89))*100)))</f>
        <v>---</v>
      </c>
      <c r="X89" s="14">
        <f>+[1]SANTILLANA!X93</f>
        <v>-13.451890942943981</v>
      </c>
      <c r="Y89" s="15">
        <f>+[1]SANTILLANA!Y93</f>
        <v>9.1384361025827197</v>
      </c>
      <c r="Z89" s="16" t="str">
        <f>IF(Y89=0,"---",IF(OR(ABS((X89-Y89)/ABS(Y89))&gt;2,(X89*Y89)&lt;0),"---",IF(Y89="0","---",((X89-Y89)/ABS(Y89))*100)))</f>
        <v>---</v>
      </c>
      <c r="AD89" s="13" t="str">
        <f>+IF($B$3="esp","Efectos extraordinarios en Ingresos","One-offs in Operating Revenues")</f>
        <v>One-offs in Operating Revenues</v>
      </c>
      <c r="AF89" s="14">
        <f>+[1]RADIO!T86</f>
        <v>-1.3187093254289939</v>
      </c>
      <c r="AG89" s="15">
        <f>+[1]RADIO!U86</f>
        <v>0</v>
      </c>
      <c r="AH89" s="16" t="str">
        <f>IF(AG89=0,"---",IF(OR(ABS((AF89-AG89)/ABS(AG89))&gt;2,(AF89*AG89)&lt;0),"---",IF(AG89="0","---",((AF89-AG89)/ABS(AG89))*100)))</f>
        <v>---</v>
      </c>
      <c r="AK89" s="14">
        <f>+[1]RADIO!X86</f>
        <v>-1.3187093254289939</v>
      </c>
      <c r="AL89" s="15">
        <f>+[1]RADIO!Y86</f>
        <v>0</v>
      </c>
      <c r="AM89" s="16" t="str">
        <f>IF(AL89=0,"---",IF(OR(ABS((AK89-AL89)/ABS(AL89))&gt;2,(AK89*AL89)&lt;0),"---",IF(AL89="0","---",((AK89-AL89)/ABS(AL89))*100)))</f>
        <v>---</v>
      </c>
      <c r="AQ89" s="13" t="str">
        <f>+IF($B$3="esp","Efectos extraordinarios en Ingresos","One-offs in Operating Revenues")</f>
        <v>One-offs in Operating Revenues</v>
      </c>
      <c r="AS89" s="14">
        <f>+[1]NOTICIAS!T38</f>
        <v>0</v>
      </c>
      <c r="AT89" s="15">
        <f>+[1]NOTICIAS!U38</f>
        <v>0</v>
      </c>
      <c r="AU89" s="16" t="str">
        <f>IF(AT89=0,"---",IF(OR(ABS((AS89-AT89)/ABS(AT89))&gt;2,(AS89*AT89)&lt;0),"---",IF(AT89="0","---",((AS89-AT89)/ABS(AT89))*100)))</f>
        <v>---</v>
      </c>
      <c r="AX89" s="14">
        <f>+[1]NOTICIAS!X38</f>
        <v>0</v>
      </c>
      <c r="AY89" s="15">
        <f>+[1]NOTICIAS!Y38</f>
        <v>0</v>
      </c>
      <c r="AZ89" s="16" t="str">
        <f>IF(AY89=0,"---",IF(OR(ABS((AX89-AY89)/ABS(AY89))&gt;2,(AX89*AY89)&lt;0),"---",IF(AY89="0","---",((AX89-AY89)/ABS(AY89))*100)))</f>
        <v>---</v>
      </c>
      <c r="BD89" s="13" t="str">
        <f>+IF($B$3="esp","Efectos extraordinarios en Ingresos","One-offs in Operating Revenues")</f>
        <v>One-offs in Operating Revenues</v>
      </c>
      <c r="BF89" s="14">
        <f>+'[1]MEDIA CAPITAL'!T48</f>
        <v>0</v>
      </c>
      <c r="BG89" s="15">
        <f>+'[1]MEDIA CAPITAL'!U48</f>
        <v>0</v>
      </c>
      <c r="BH89" s="16" t="str">
        <f t="shared" ref="BH89:BH102" si="28">IF(BG89=0,"---",IF(OR(ABS((BF89-BG89)/ABS(BG89))&gt;2,(BF89*BG89)&lt;0),"---",IF(BG89="0","---",((BF89-BG89)/ABS(BG89))*100)))</f>
        <v>---</v>
      </c>
      <c r="BK89" s="14">
        <f>+'[1]MEDIA CAPITAL'!X48</f>
        <v>0</v>
      </c>
      <c r="BL89" s="15">
        <f>+'[1]MEDIA CAPITAL'!Y48</f>
        <v>0</v>
      </c>
      <c r="BM89" s="16" t="str">
        <f t="shared" ref="BM89:BM102" si="29">IF(BL89=0,"---",IF(OR(ABS((BK89-BL89)/ABS(BL89))&gt;2,(BK89*BL89)&lt;0),"---",IF(BL89="0","---",((BK89-BL89)/ABS(BL89))*100)))</f>
        <v>---</v>
      </c>
    </row>
    <row r="90" spans="4:65" ht="15" customHeight="1">
      <c r="D90" s="17" t="str">
        <f>+IF($B$3="esp","Santillana USA","Santillana USA")</f>
        <v>Santillana USA</v>
      </c>
      <c r="F90" s="18">
        <f>+[1]GRUPO!T106</f>
        <v>7.37785885577253</v>
      </c>
      <c r="G90" s="19">
        <f>+[1]GRUPO!U106</f>
        <v>9.1384361025827197</v>
      </c>
      <c r="H90" s="20">
        <f t="shared" si="26"/>
        <v>-19.265629556818944</v>
      </c>
      <c r="K90" s="18">
        <f>+[1]GRUPO!X106</f>
        <v>0</v>
      </c>
      <c r="L90" s="19">
        <f>+[1]GRUPO!Y106</f>
        <v>9.1384361025827197</v>
      </c>
      <c r="M90" s="20">
        <f t="shared" si="27"/>
        <v>-100</v>
      </c>
      <c r="Q90" s="17" t="str">
        <f>+IF($B$3="esp","Santillana USA","Santillana USA")</f>
        <v>Santillana USA</v>
      </c>
      <c r="S90" s="18">
        <f>+S89</f>
        <v>-6.0740320871714513</v>
      </c>
      <c r="T90" s="19">
        <f>+T89</f>
        <v>9.1384361025827197</v>
      </c>
      <c r="U90" s="20" t="str">
        <f>IF(T90=0,"---",IF(OR(ABS((S90-T90)/ABS(T90))&gt;2,(S90*T90)&lt;0),"---",IF(T90="0","---",((S90-T90)/ABS(T90))*100)))</f>
        <v>---</v>
      </c>
      <c r="X90" s="18">
        <f>+X89</f>
        <v>-13.451890942943981</v>
      </c>
      <c r="Y90" s="19">
        <f>+Y89</f>
        <v>9.1384361025827197</v>
      </c>
      <c r="Z90" s="20" t="str">
        <f>IF(Y90=0,"---",IF(OR(ABS((X90-Y90)/ABS(Y90))&gt;2,(X90*Y90)&lt;0),"---",IF(Y90="0","---",((X90-Y90)/ABS(Y90))*100)))</f>
        <v>---</v>
      </c>
      <c r="AD90" s="17"/>
      <c r="AF90" s="18"/>
      <c r="AG90" s="19"/>
      <c r="AH90" s="20"/>
      <c r="AK90" s="18"/>
      <c r="AL90" s="19"/>
      <c r="AM90" s="20"/>
      <c r="AQ90" s="17"/>
      <c r="AS90" s="18"/>
      <c r="AT90" s="19"/>
      <c r="AU90" s="20"/>
      <c r="AX90" s="18"/>
      <c r="AY90" s="19"/>
      <c r="AZ90" s="20"/>
      <c r="BD90" s="17"/>
      <c r="BF90" s="18"/>
      <c r="BG90" s="19"/>
      <c r="BH90" s="20" t="str">
        <f t="shared" si="28"/>
        <v>---</v>
      </c>
      <c r="BK90" s="18"/>
      <c r="BL90" s="19"/>
      <c r="BM90" s="20" t="str">
        <f t="shared" si="29"/>
        <v>---</v>
      </c>
    </row>
    <row r="91" spans="4:65" ht="15" customHeight="1">
      <c r="D91" s="17" t="str">
        <f>+IF($B$3="esp","Actas Fiscales","Tax Effects")</f>
        <v>Tax Effects</v>
      </c>
      <c r="F91" s="18">
        <f>+[1]GRUPO!T107</f>
        <v>0</v>
      </c>
      <c r="G91" s="19">
        <f>+[1]GRUPO!U107</f>
        <v>4.6340000000000003</v>
      </c>
      <c r="H91" s="20">
        <f t="shared" si="26"/>
        <v>-100</v>
      </c>
      <c r="K91" s="18">
        <f>+[1]GRUPO!X107</f>
        <v>0</v>
      </c>
      <c r="L91" s="19">
        <f>+[1]GRUPO!Y107</f>
        <v>4.6340000000000003</v>
      </c>
      <c r="M91" s="20">
        <f t="shared" si="27"/>
        <v>-100</v>
      </c>
      <c r="Q91" s="17"/>
      <c r="S91" s="18"/>
      <c r="T91" s="19"/>
      <c r="U91" s="20"/>
      <c r="X91" s="18"/>
      <c r="Y91" s="19"/>
      <c r="Z91" s="20"/>
      <c r="AD91" s="17"/>
      <c r="AF91" s="18"/>
      <c r="AG91" s="19"/>
      <c r="AH91" s="20"/>
      <c r="AK91" s="18"/>
      <c r="AL91" s="19"/>
      <c r="AM91" s="20"/>
      <c r="AQ91" s="17"/>
      <c r="AS91" s="18"/>
      <c r="AT91" s="19"/>
      <c r="AU91" s="20"/>
      <c r="AX91" s="18"/>
      <c r="AY91" s="19"/>
      <c r="AZ91" s="20"/>
      <c r="BD91" s="17"/>
      <c r="BF91" s="18"/>
      <c r="BG91" s="19"/>
      <c r="BH91" s="20" t="str">
        <f t="shared" si="28"/>
        <v>---</v>
      </c>
      <c r="BK91" s="18"/>
      <c r="BL91" s="19"/>
      <c r="BM91" s="20" t="str">
        <f t="shared" si="29"/>
        <v>---</v>
      </c>
    </row>
    <row r="92" spans="4:65" ht="15" customHeight="1">
      <c r="D92" s="17"/>
      <c r="F92" s="18"/>
      <c r="G92" s="19"/>
      <c r="H92" s="20" t="str">
        <f t="shared" si="26"/>
        <v>---</v>
      </c>
      <c r="K92" s="18"/>
      <c r="L92" s="19"/>
      <c r="M92" s="20" t="str">
        <f t="shared" si="27"/>
        <v>---</v>
      </c>
      <c r="Q92" s="17"/>
      <c r="S92" s="18"/>
      <c r="T92" s="19"/>
      <c r="U92" s="20"/>
      <c r="X92" s="18"/>
      <c r="Y92" s="19"/>
      <c r="Z92" s="20"/>
      <c r="AD92" s="17"/>
      <c r="AF92" s="18"/>
      <c r="AG92" s="19"/>
      <c r="AH92" s="20"/>
      <c r="AK92" s="18"/>
      <c r="AL92" s="19"/>
      <c r="AM92" s="20"/>
      <c r="AQ92" s="17"/>
      <c r="AS92" s="18"/>
      <c r="AT92" s="19"/>
      <c r="AU92" s="20"/>
      <c r="AX92" s="18"/>
      <c r="AY92" s="19"/>
      <c r="AZ92" s="20"/>
      <c r="BD92" s="17"/>
      <c r="BF92" s="18"/>
      <c r="BG92" s="19"/>
      <c r="BH92" s="20" t="str">
        <f t="shared" si="28"/>
        <v>---</v>
      </c>
      <c r="BK92" s="18"/>
      <c r="BL92" s="19"/>
      <c r="BM92" s="20" t="str">
        <f t="shared" si="29"/>
        <v>---</v>
      </c>
    </row>
    <row r="93" spans="4:65" ht="15" customHeight="1">
      <c r="D93" s="13" t="str">
        <f>+IF($B$3="esp","Efectos extraordinarios en Gastos","One-offs in Operating Expenses")</f>
        <v>One-offs in Operating Expenses</v>
      </c>
      <c r="E93" s="13"/>
      <c r="F93" s="14">
        <f>+[1]GRUPO!T109</f>
        <v>-14.225544224857586</v>
      </c>
      <c r="G93" s="15">
        <f>+[1]GRUPO!U109</f>
        <v>-23.772446555454017</v>
      </c>
      <c r="H93" s="16">
        <f t="shared" si="26"/>
        <v>40.159527999469304</v>
      </c>
      <c r="K93" s="14">
        <f>+[1]GRUPO!X109</f>
        <v>6.815098500769512</v>
      </c>
      <c r="L93" s="15">
        <f>+[1]GRUPO!Y109</f>
        <v>-10.521668158086877</v>
      </c>
      <c r="M93" s="16" t="str">
        <f t="shared" si="27"/>
        <v>---</v>
      </c>
      <c r="Q93" s="17"/>
      <c r="S93" s="18"/>
      <c r="T93" s="19"/>
      <c r="U93" s="20"/>
      <c r="X93" s="18"/>
      <c r="Y93" s="19"/>
      <c r="Z93" s="20"/>
      <c r="AD93" s="17"/>
      <c r="AF93" s="18"/>
      <c r="AG93" s="19"/>
      <c r="AH93" s="20"/>
      <c r="AK93" s="18"/>
      <c r="AL93" s="19"/>
      <c r="AM93" s="20"/>
      <c r="AQ93" s="17"/>
      <c r="AS93" s="18"/>
      <c r="AT93" s="19"/>
      <c r="AU93" s="20"/>
      <c r="AX93" s="18"/>
      <c r="AY93" s="19"/>
      <c r="AZ93" s="20"/>
      <c r="BD93" s="17"/>
      <c r="BF93" s="18"/>
      <c r="BG93" s="19"/>
      <c r="BH93" s="20" t="str">
        <f t="shared" si="28"/>
        <v>---</v>
      </c>
      <c r="BK93" s="18"/>
      <c r="BL93" s="19"/>
      <c r="BM93" s="20" t="str">
        <f t="shared" si="29"/>
        <v>---</v>
      </c>
    </row>
    <row r="94" spans="4:65" ht="15" customHeight="1">
      <c r="D94" s="17" t="str">
        <f>+IF($B$3="esp","Indemnizaciones y otros no recurrentes","Redundancies and other non-recurrent")</f>
        <v>Redundancies and other non-recurrent</v>
      </c>
      <c r="F94" s="18">
        <f>+[1]GRUPO!T110</f>
        <v>-22.853968405264496</v>
      </c>
      <c r="G94" s="19">
        <f>+[1]GRUPO!U110</f>
        <v>-17.213849820068937</v>
      </c>
      <c r="H94" s="20">
        <f t="shared" si="26"/>
        <v>-32.765004017985397</v>
      </c>
      <c r="I94" s="13"/>
      <c r="J94" s="13"/>
      <c r="K94" s="18">
        <f>+[1]GRUPO!X110</f>
        <v>-1.8133256796373978</v>
      </c>
      <c r="L94" s="19">
        <f>+[1]GRUPO!Y110</f>
        <v>-3.9630714227017965</v>
      </c>
      <c r="M94" s="20">
        <f t="shared" si="27"/>
        <v>54.244436038925194</v>
      </c>
      <c r="Q94" s="17"/>
      <c r="S94" s="18"/>
      <c r="T94" s="19"/>
      <c r="U94" s="20"/>
      <c r="X94" s="18"/>
      <c r="Y94" s="19"/>
      <c r="Z94" s="20"/>
      <c r="AD94" s="17"/>
      <c r="AF94" s="18"/>
      <c r="AG94" s="19"/>
      <c r="AH94" s="20"/>
      <c r="AK94" s="18"/>
      <c r="AL94" s="19"/>
      <c r="AM94" s="20"/>
      <c r="AQ94" s="17"/>
      <c r="AS94" s="18"/>
      <c r="AT94" s="19"/>
      <c r="AU94" s="20"/>
      <c r="AX94" s="18"/>
      <c r="AY94" s="19"/>
      <c r="AZ94" s="20"/>
      <c r="BD94" s="17"/>
      <c r="BF94" s="18"/>
      <c r="BG94" s="19"/>
      <c r="BH94" s="20" t="str">
        <f t="shared" si="28"/>
        <v>---</v>
      </c>
      <c r="BK94" s="18"/>
      <c r="BL94" s="19"/>
      <c r="BM94" s="20" t="str">
        <f t="shared" si="29"/>
        <v>---</v>
      </c>
    </row>
    <row r="95" spans="4:65" ht="15" customHeight="1">
      <c r="D95" s="17" t="str">
        <f>+IF($B$3="esp","Santillana USA","Santillana USA")</f>
        <v>Santillana USA</v>
      </c>
      <c r="F95" s="18">
        <f>+[1]GRUPO!T111</f>
        <v>0</v>
      </c>
      <c r="G95" s="19">
        <f>+[1]GRUPO!U111</f>
        <v>-6.5585967353850805</v>
      </c>
      <c r="H95" s="20">
        <f t="shared" si="26"/>
        <v>100</v>
      </c>
      <c r="I95" s="13"/>
      <c r="J95" s="13"/>
      <c r="K95" s="18">
        <f>+[1]GRUPO!X111</f>
        <v>0</v>
      </c>
      <c r="L95" s="19">
        <f>+[1]GRUPO!Y111</f>
        <v>-6.5585967353850805</v>
      </c>
      <c r="M95" s="20">
        <f t="shared" si="27"/>
        <v>100</v>
      </c>
      <c r="Q95" s="13" t="str">
        <f>+IF($B$3="esp","Efectos extraordinarios en Gastos","One-offs in Operating Expenses")</f>
        <v>One-offs in Operating Expenses</v>
      </c>
      <c r="R95" s="13"/>
      <c r="S95" s="14">
        <f>+[1]SANTILLANA!T99</f>
        <v>-10.200397526848032</v>
      </c>
      <c r="T95" s="15">
        <f>+[1]SANTILLANA!U99</f>
        <v>-10.255306583922319</v>
      </c>
      <c r="U95" s="16">
        <f>IF(T95=0,"---",IF(OR(ABS((S95-T95)/ABS(T95))&gt;2,(S95*T95)&lt;0),"---",IF(T95="0","---",((S95-T95)/ABS(T95))*100)))</f>
        <v>0.53542092208506198</v>
      </c>
      <c r="X95" s="14">
        <f>+[1]SANTILLANA!X99</f>
        <v>-7.5296605246481425</v>
      </c>
      <c r="Y95" s="15">
        <f>+[1]SANTILLANA!Y99</f>
        <v>-7.9487894328618092</v>
      </c>
      <c r="Z95" s="16">
        <f>IF(Y95=0,"---",IF(OR(ABS((X95-Y95)/ABS(Y95))&gt;2,(X95*Y95)&lt;0),"---",IF(Y95="0","---",((X95-Y95)/ABS(Y95))*100)))</f>
        <v>5.272864651325496</v>
      </c>
      <c r="AD95" s="13" t="str">
        <f>+IF($B$3="esp","Efectos extraordinarios en Gastos","One-offs in Operating Expenses")</f>
        <v>One-offs in Operating Expenses</v>
      </c>
      <c r="AE95" s="13"/>
      <c r="AF95" s="14">
        <f>+[1]RADIO!T92</f>
        <v>-7.6322561430310918</v>
      </c>
      <c r="AG95" s="15">
        <f>+[1]RADIO!U92</f>
        <v>-4.34975599277898</v>
      </c>
      <c r="AH95" s="16">
        <f>IF(AG95=0,"---",IF(OR(ABS((AF95-AG95)/ABS(AG95))&gt;2,(AF95*AG95)&lt;0),"---",IF(AG95="0","---",((AF95-AG95)/ABS(AG95))*100)))</f>
        <v>-75.464006617874276</v>
      </c>
      <c r="AK95" s="14">
        <f>+[1]RADIO!X92</f>
        <v>-1.1152320910489619</v>
      </c>
      <c r="AL95" s="15">
        <f>+[1]RADIO!Y92</f>
        <v>-0.66369020263551981</v>
      </c>
      <c r="AM95" s="16">
        <f>IF(AL95=0,"---",IF(OR(ABS((AK95-AL95)/ABS(AL95))&gt;2,(AK95*AL95)&lt;0),"---",IF(AL95="0","---",((AK95-AL95)/ABS(AL95))*100)))</f>
        <v>-68.035039031820148</v>
      </c>
      <c r="AQ95" s="13" t="str">
        <f>+IF($B$3="esp","Efectos extraordinarios en Gastos","One-offs in Operating Expenses")</f>
        <v>One-offs in Operating Expenses</v>
      </c>
      <c r="AR95" s="13"/>
      <c r="AS95" s="14">
        <f>+[1]NOTICIAS!T44</f>
        <v>-5.1362661097942404</v>
      </c>
      <c r="AT95" s="15">
        <f>+[1]NOTICIAS!U44</f>
        <v>-2.5675437287251599</v>
      </c>
      <c r="AU95" s="16">
        <f>IF(AT95=0,"---",IF(OR(ABS((AS95-AT95)/ABS(AT95))&gt;2,(AS95*AT95)&lt;0),"---",IF(AT95="0","---",((AS95-AT95)/ABS(AT95))*100)))</f>
        <v>-100.0459058332964</v>
      </c>
      <c r="AX95" s="14">
        <f>+[1]NOTICIAS!X44</f>
        <v>-0.37933327834918096</v>
      </c>
      <c r="AY95" s="15">
        <f>+[1]NOTICIAS!Y44</f>
        <v>-0.26492037872516017</v>
      </c>
      <c r="AZ95" s="16">
        <f>IF(AY95=0,"---",IF(OR(ABS((AX95-AY95)/ABS(AY95))&gt;2,(AX95*AY95)&lt;0),"---",IF(AY95="0","---",((AX95-AY95)/ABS(AY95))*100)))</f>
        <v>-43.187655164390989</v>
      </c>
      <c r="BD95" s="13" t="str">
        <f>+IF($B$3="esp","Efectos extraordinarios en Gastos","One-offs in Operating Expenses")</f>
        <v>One-offs in Operating Expenses</v>
      </c>
      <c r="BF95" s="14">
        <f>+'[1]MEDIA CAPITAL'!T54</f>
        <v>-0.55802393999999822</v>
      </c>
      <c r="BG95" s="15">
        <f>+'[1]MEDIA CAPITAL'!U54</f>
        <v>-0.91717209000000111</v>
      </c>
      <c r="BH95" s="16">
        <f t="shared" si="28"/>
        <v>39.158207485358872</v>
      </c>
      <c r="BI95" s="13"/>
      <c r="BK95" s="14">
        <f>+'[1]MEDIA CAPITAL'!X54</f>
        <v>-0.20501302999999638</v>
      </c>
      <c r="BL95" s="15">
        <f>+'[1]MEDIA CAPITAL'!Y54</f>
        <v>-8.4105400000002106E-2</v>
      </c>
      <c r="BM95" s="16">
        <f t="shared" si="29"/>
        <v>-143.75727361143427</v>
      </c>
    </row>
    <row r="96" spans="4:65" s="13" customFormat="1" ht="15" customHeight="1">
      <c r="D96" s="17"/>
      <c r="E96" s="1"/>
      <c r="F96" s="18"/>
      <c r="G96" s="19"/>
      <c r="H96" s="20" t="str">
        <f t="shared" si="26"/>
        <v>---</v>
      </c>
      <c r="I96" s="1"/>
      <c r="J96" s="1"/>
      <c r="K96" s="18"/>
      <c r="L96" s="19"/>
      <c r="M96" s="20" t="str">
        <f t="shared" si="27"/>
        <v>---</v>
      </c>
      <c r="Q96" s="17" t="str">
        <f>+IF($B$3="esp","Indemnizaciones","Redundancies")</f>
        <v>Redundancies</v>
      </c>
      <c r="R96" s="1"/>
      <c r="S96" s="18">
        <f>+[1]SANTILLANA!T100</f>
        <v>-3.19360552627679</v>
      </c>
      <c r="T96" s="19">
        <f>+[1]SANTILLANA!U100</f>
        <v>-3.6967098485372398</v>
      </c>
      <c r="U96" s="20">
        <f>IF(T96=0,"---",IF(OR(ABS((S96-T96)/ABS(T96))&gt;2,(S96*T96)&lt;0),"---",IF(T96="0","---",((S96-T96)/ABS(T96))*100)))</f>
        <v>13.609516106857141</v>
      </c>
      <c r="X96" s="18">
        <f>+[1]SANTILLANA!X100</f>
        <v>-0.52286852407689999</v>
      </c>
      <c r="Y96" s="19">
        <f>+[1]SANTILLANA!Y100</f>
        <v>-1.3901926974767296</v>
      </c>
      <c r="Z96" s="20">
        <f>IF(Y96=0,"---",IF(OR(ABS((X96-Y96)/ABS(Y96))&gt;2,(X96*Y96)&lt;0),"---",IF(Y96="0","---",((X96-Y96)/ABS(Y96))*100)))</f>
        <v>62.388773511331706</v>
      </c>
      <c r="AD96" s="17" t="str">
        <f>+IF($B$3="esp","Indemnizaciones","Redundancies")</f>
        <v>Redundancies</v>
      </c>
      <c r="AE96" s="1"/>
      <c r="AF96" s="18">
        <f>+[1]RADIO!T93</f>
        <v>-6.0106239631954264</v>
      </c>
      <c r="AG96" s="19">
        <f>+[1]RADIO!U93</f>
        <v>-4.34975599277898</v>
      </c>
      <c r="AH96" s="20">
        <f>IF(AG96=0,"---",IF(OR(ABS((AF96-AG96)/ABS(AG96))&gt;2,(AF96*AG96)&lt;0),"---",IF(AG96="0","---",((AF96-AG96)/ABS(AG96))*100)))</f>
        <v>-38.18301470642605</v>
      </c>
      <c r="AK96" s="18">
        <f>+[1]RADIO!X93</f>
        <v>0.50640008878670351</v>
      </c>
      <c r="AL96" s="19">
        <f>+[1]RADIO!Y93</f>
        <v>-0.66369020263551981</v>
      </c>
      <c r="AM96" s="20" t="str">
        <f>IF(AL96=0,"---",IF(OR(ABS((AK96-AL96)/ABS(AL96))&gt;2,(AK96*AL96)&lt;0),"---",IF(AL96="0","---",((AK96-AL96)/ABS(AL96))*100)))</f>
        <v>---</v>
      </c>
      <c r="AQ96" s="17" t="str">
        <f>+IF($B$3="esp","Indemnizaciones y otros no recurrentes","Redundancies and other non-recurrent")</f>
        <v>Redundancies and other non-recurrent</v>
      </c>
      <c r="AR96" s="1"/>
      <c r="AS96" s="18">
        <f>+[1]NOTICIAS!T45</f>
        <v>-5.1362661097942404</v>
      </c>
      <c r="AT96" s="19">
        <f>+[1]NOTICIAS!U45</f>
        <v>-2.5675437287251599</v>
      </c>
      <c r="AU96" s="20">
        <f>IF(AT96=0,"---",IF(OR(ABS((AS96-AT96)/ABS(AT96))&gt;2,(AS96*AT96)&lt;0),"---",IF(AT96="0","---",((AS96-AT96)/ABS(AT96))*100)))</f>
        <v>-100.0459058332964</v>
      </c>
      <c r="AX96" s="18">
        <f>+[1]NOTICIAS!X45</f>
        <v>-0.37933327834918096</v>
      </c>
      <c r="AY96" s="19">
        <f>+[1]NOTICIAS!Y45</f>
        <v>-0.26492037872516017</v>
      </c>
      <c r="AZ96" s="20">
        <f>IF(AY96=0,"---",IF(OR(ABS((AX96-AY96)/ABS(AY96))&gt;2,(AX96*AY96)&lt;0),"---",IF(AY96="0","---",((AX96-AY96)/ABS(AY96))*100)))</f>
        <v>-43.187655164390989</v>
      </c>
      <c r="BD96" s="17" t="str">
        <f>+IF($B$3="esp","Indemnizaciones","Redundancies")</f>
        <v>Redundancies</v>
      </c>
      <c r="BF96" s="18">
        <f>+'[1]MEDIA CAPITAL'!T55</f>
        <v>-0.55802393999999822</v>
      </c>
      <c r="BG96" s="19">
        <f>+'[1]MEDIA CAPITAL'!U55</f>
        <v>-0.91717209000000111</v>
      </c>
      <c r="BH96" s="20">
        <f t="shared" si="28"/>
        <v>39.158207485358872</v>
      </c>
      <c r="BI96" s="1"/>
      <c r="BK96" s="18">
        <f>+'[1]MEDIA CAPITAL'!X55</f>
        <v>-0.20501302999999638</v>
      </c>
      <c r="BL96" s="19">
        <f>+'[1]MEDIA CAPITAL'!Y55</f>
        <v>-8.4105400000002106E-2</v>
      </c>
      <c r="BM96" s="20">
        <f t="shared" si="29"/>
        <v>-143.75727361143427</v>
      </c>
    </row>
    <row r="97" spans="1:65" ht="15" customHeight="1">
      <c r="D97" s="17"/>
      <c r="F97" s="18"/>
      <c r="G97" s="19"/>
      <c r="H97" s="20" t="str">
        <f t="shared" si="26"/>
        <v>---</v>
      </c>
      <c r="K97" s="18"/>
      <c r="L97" s="19"/>
      <c r="M97" s="20" t="str">
        <f t="shared" si="27"/>
        <v>---</v>
      </c>
      <c r="Q97" s="17" t="str">
        <f>+IF($B$3="esp","Santillana USA","Santillana USA")</f>
        <v>Santillana USA</v>
      </c>
      <c r="S97" s="18">
        <f>+[1]SANTILLANA!T101</f>
        <v>0</v>
      </c>
      <c r="T97" s="19">
        <f>+[1]SANTILLANA!U101</f>
        <v>-6.5585967353850805</v>
      </c>
      <c r="U97" s="20">
        <f>IF(T97=0,"---",IF(OR(ABS((S97-T97)/ABS(T97))&gt;2,(S97*T97)&lt;0),"---",IF(T97="0","---",((S97-T97)/ABS(T97))*100)))</f>
        <v>100</v>
      </c>
      <c r="V97" s="13"/>
      <c r="X97" s="18">
        <f>+[1]SANTILLANA!X101</f>
        <v>0</v>
      </c>
      <c r="Y97" s="19">
        <f>+[1]SANTILLANA!Y101</f>
        <v>-6.5585967353850805</v>
      </c>
      <c r="Z97" s="20">
        <f>IF(Y97=0,"---",IF(OR(ABS((X97-Y97)/ABS(Y97))&gt;2,(X97*Y97)&lt;0),"---",IF(Y97="0","---",((X97-Y97)/ABS(Y97))*100)))</f>
        <v>100</v>
      </c>
      <c r="AA97" s="13"/>
      <c r="AD97" s="17"/>
      <c r="AF97" s="18"/>
      <c r="AG97" s="19"/>
      <c r="AH97" s="20"/>
      <c r="AK97" s="18"/>
      <c r="AL97" s="19"/>
      <c r="AM97" s="20"/>
      <c r="AQ97" s="17"/>
      <c r="AS97" s="18"/>
      <c r="AT97" s="19"/>
      <c r="AU97" s="20"/>
      <c r="AX97" s="18"/>
      <c r="AY97" s="19"/>
      <c r="AZ97" s="20"/>
      <c r="BD97" s="17"/>
      <c r="BF97" s="18"/>
      <c r="BG97" s="19"/>
      <c r="BH97" s="20" t="str">
        <f t="shared" si="28"/>
        <v>---</v>
      </c>
      <c r="BK97" s="18"/>
      <c r="BL97" s="19"/>
      <c r="BM97" s="20" t="str">
        <f t="shared" si="29"/>
        <v>---</v>
      </c>
    </row>
    <row r="98" spans="1:65" ht="15" customHeight="1">
      <c r="D98" s="13" t="str">
        <f>+IF($B$3="esp","Efectos extraordinarios en Amort.y Provisiones","One-offs in Amortization&amp;Provisions")</f>
        <v>One-offs in Amortization&amp;Provisions</v>
      </c>
      <c r="E98" s="13"/>
      <c r="F98" s="14">
        <f>+[1]GRUPO!T114</f>
        <v>0.58662375469408135</v>
      </c>
      <c r="G98" s="15">
        <f>+[1]GRUPO!U114</f>
        <v>-73.839371843877956</v>
      </c>
      <c r="H98" s="16" t="str">
        <f>IF(G98=0,"---",IF(OR(ABS((F98-G98)/ABS(G98))&gt;2,(F98*G98)&lt;0),"---",IF(G98="0","---",((F98-G98)/ABS(G98))*100)))</f>
        <v>---</v>
      </c>
      <c r="K98" s="14">
        <f>+[1]GRUPO!X114</f>
        <v>0.58662375469408135</v>
      </c>
      <c r="L98" s="15">
        <f>+[1]GRUPO!Y114</f>
        <v>-73.839371843877956</v>
      </c>
      <c r="M98" s="16" t="str">
        <f>IF(L98=0,"---",IF(OR(ABS((K98-L98)/ABS(L98))&gt;2,(K98*L98)&lt;0),"---",IF(L98="0","---",((K98-L98)/ABS(L98))*100)))</f>
        <v>---</v>
      </c>
      <c r="Q98" s="17"/>
      <c r="S98" s="18"/>
      <c r="T98" s="19"/>
      <c r="U98" s="20"/>
      <c r="V98" s="13"/>
      <c r="X98" s="18"/>
      <c r="Y98" s="19"/>
      <c r="Z98" s="20"/>
      <c r="AA98" s="13"/>
      <c r="AD98" s="17"/>
      <c r="AF98" s="18"/>
      <c r="AG98" s="19"/>
      <c r="AH98" s="20"/>
      <c r="AK98" s="18"/>
      <c r="AL98" s="19"/>
      <c r="AM98" s="20"/>
      <c r="AQ98" s="17"/>
      <c r="AS98" s="18"/>
      <c r="AT98" s="19"/>
      <c r="AU98" s="20"/>
      <c r="AX98" s="18"/>
      <c r="AY98" s="19"/>
      <c r="AZ98" s="20"/>
      <c r="BD98" s="17"/>
      <c r="BF98" s="18"/>
      <c r="BG98" s="19"/>
      <c r="BH98" s="20" t="str">
        <f t="shared" si="28"/>
        <v>---</v>
      </c>
      <c r="BK98" s="18"/>
      <c r="BL98" s="19"/>
      <c r="BM98" s="20" t="str">
        <f t="shared" si="29"/>
        <v>---</v>
      </c>
    </row>
    <row r="99" spans="1:65" ht="15" customHeight="1">
      <c r="D99" s="17" t="str">
        <f>+IF($B$3="esp","Fondo de Comercio","Goodwill")</f>
        <v>Goodwill</v>
      </c>
      <c r="F99" s="18">
        <f>+[1]GRUPO!T115</f>
        <v>0</v>
      </c>
      <c r="G99" s="19">
        <f>+[1]GRUPO!U115</f>
        <v>-73.554000000000002</v>
      </c>
      <c r="H99" s="20">
        <f>IF(G99=0,"---",IF(OR(ABS((F99-G99)/ABS(G99))&gt;2,(F99*G99)&lt;0),"---",IF(G99="0","---",((F99-G99)/ABS(G99))*100)))</f>
        <v>100</v>
      </c>
      <c r="K99" s="18">
        <f>+[1]GRUPO!X115</f>
        <v>0</v>
      </c>
      <c r="L99" s="19">
        <f>+[1]GRUPO!Y115</f>
        <v>-73.554000000000002</v>
      </c>
      <c r="M99" s="20">
        <f>IF(L99=0,"---",IF(OR(ABS((K99-L99)/ABS(L99))&gt;2,(K99*L99)&lt;0),"---",IF(L99="0","---",((K99-L99)/ABS(L99))*100)))</f>
        <v>100</v>
      </c>
      <c r="Q99" s="17"/>
      <c r="S99" s="18"/>
      <c r="T99" s="19"/>
      <c r="U99" s="20"/>
      <c r="V99" s="13"/>
      <c r="X99" s="18"/>
      <c r="Y99" s="19"/>
      <c r="Z99" s="20"/>
      <c r="AA99" s="13"/>
      <c r="AD99" s="17"/>
      <c r="AF99" s="18"/>
      <c r="AG99" s="19"/>
      <c r="AH99" s="20"/>
      <c r="AK99" s="18"/>
      <c r="AL99" s="19"/>
      <c r="AM99" s="20"/>
      <c r="AQ99" s="17"/>
      <c r="AS99" s="18"/>
      <c r="AT99" s="19"/>
      <c r="AU99" s="20"/>
      <c r="AX99" s="18"/>
      <c r="AY99" s="19"/>
      <c r="AZ99" s="20"/>
      <c r="BD99" s="17"/>
      <c r="BF99" s="18"/>
      <c r="BG99" s="19"/>
      <c r="BH99" s="20" t="str">
        <f t="shared" si="28"/>
        <v>---</v>
      </c>
      <c r="BK99" s="18"/>
      <c r="BL99" s="19"/>
      <c r="BM99" s="20" t="str">
        <f t="shared" si="29"/>
        <v>---</v>
      </c>
    </row>
    <row r="100" spans="1:65" ht="15" customHeight="1">
      <c r="A100" s="45"/>
      <c r="D100" s="17" t="str">
        <f>+IF($B$3="esp","Santillana USA","Santillana USA")</f>
        <v>Santillana USA</v>
      </c>
      <c r="F100" s="18">
        <f>+[1]GRUPO!T116</f>
        <v>0</v>
      </c>
      <c r="G100" s="19">
        <f>+[1]GRUPO!U116</f>
        <v>-0.285371843877951</v>
      </c>
      <c r="H100" s="20">
        <f>IF(G100=0,"---",IF(OR(ABS((F100-G100)/ABS(G100))&gt;2,(F100*G100)&lt;0),"---",IF(G100="0","---",((F100-G100)/ABS(G100))*100)))</f>
        <v>100</v>
      </c>
      <c r="K100" s="18">
        <f>+[1]GRUPO!X116</f>
        <v>0</v>
      </c>
      <c r="L100" s="19">
        <f>+[1]GRUPO!Y116</f>
        <v>-0.285371843877951</v>
      </c>
      <c r="M100" s="20">
        <f>IF(L100=0,"---",IF(OR(ABS((K100-L100)/ABS(L100))&gt;2,(K100*L100)&lt;0),"---",IF(L100="0","---",((K100-L100)/ABS(L100))*100)))</f>
        <v>100</v>
      </c>
      <c r="Q100" s="17"/>
      <c r="S100" s="18"/>
      <c r="T100" s="19"/>
      <c r="U100" s="20"/>
      <c r="X100" s="18"/>
      <c r="Y100" s="19"/>
      <c r="Z100" s="20"/>
      <c r="AD100" s="17"/>
      <c r="AF100" s="18"/>
      <c r="AG100" s="19"/>
      <c r="AH100" s="20"/>
      <c r="AK100" s="18"/>
      <c r="AL100" s="19"/>
      <c r="AM100" s="20"/>
      <c r="AQ100" s="17"/>
      <c r="AS100" s="18"/>
      <c r="AT100" s="19"/>
      <c r="AU100" s="20"/>
      <c r="AX100" s="18"/>
      <c r="AY100" s="19"/>
      <c r="AZ100" s="20"/>
      <c r="BD100" s="17"/>
      <c r="BF100" s="18"/>
      <c r="BG100" s="19"/>
      <c r="BH100" s="20" t="str">
        <f t="shared" si="28"/>
        <v>---</v>
      </c>
      <c r="BK100" s="18"/>
      <c r="BL100" s="19"/>
      <c r="BM100" s="20" t="str">
        <f t="shared" si="29"/>
        <v>---</v>
      </c>
    </row>
    <row r="101" spans="1:65" ht="15" customHeight="1">
      <c r="D101" s="17" t="str">
        <f>+IF($B$3="esp","Otros deterioros","Other impairments")</f>
        <v>Other impairments</v>
      </c>
      <c r="F101" s="18">
        <f>+[1]GRUPO!T117</f>
        <v>0</v>
      </c>
      <c r="G101" s="19">
        <f>+[1]GRUPO!U117</f>
        <v>0</v>
      </c>
      <c r="H101" s="20" t="str">
        <f>IF(G101=0,"---",IF(OR(ABS((F101-G101)/ABS(G101))&gt;2,(F101*G101)&lt;0),"---",IF(G101="0","---",((F101-G101)/ABS(G101))*100)))</f>
        <v>---</v>
      </c>
      <c r="K101" s="18">
        <f>+[1]GRUPO!X117</f>
        <v>0</v>
      </c>
      <c r="L101" s="19">
        <f>+[1]GRUPO!Y117</f>
        <v>0</v>
      </c>
      <c r="M101" s="20" t="str">
        <f>IF(L101=0,"---",IF(OR(ABS((K101-L101)/ABS(L101))&gt;2,(K101*L101)&lt;0),"---",IF(L101="0","---",((K101-L101)/ABS(L101))*100)))</f>
        <v>---</v>
      </c>
      <c r="Q101" s="13" t="str">
        <f>+IF($B$3="esp","Efectos extraordinarios en Amort.y Provisiones","One-offs in Amortization&amp;Provisions")</f>
        <v>One-offs in Amortization&amp;Provisions</v>
      </c>
      <c r="R101" s="13"/>
      <c r="S101" s="14">
        <f>+[1]SANTILLANA!T103</f>
        <v>-0.55064640978345181</v>
      </c>
      <c r="T101" s="15">
        <f>+[1]SANTILLANA!U103</f>
        <v>-0.285371843877951</v>
      </c>
      <c r="U101" s="16">
        <f>IF(T101=0,"---",IF(OR(ABS((S101-T101)/ABS(T101))&gt;2,(S101*T101)&lt;0),"---",IF(T101="0","---",((S101-T101)/ABS(T101))*100)))</f>
        <v>-92.957511960764606</v>
      </c>
      <c r="X101" s="14">
        <f>+[1]SANTILLANA!X103</f>
        <v>-0.55064640978345181</v>
      </c>
      <c r="Y101" s="15">
        <f>+[1]SANTILLANA!Y103</f>
        <v>-0.285371843877951</v>
      </c>
      <c r="Z101" s="16">
        <f>IF(Y101=0,"---",IF(OR(ABS((X101-Y101)/ABS(Y101))&gt;2,(X101*Y101)&lt;0),"---",IF(Y101="0","---",((X101-Y101)/ABS(Y101))*100)))</f>
        <v>-92.957511960764606</v>
      </c>
      <c r="AD101" s="13" t="str">
        <f>+IF($B$3="esp","Efectos extraordinarios en Amort.y Provisiones","One-offs in Amortization&amp;Provisions")</f>
        <v>One-offs in Amortization&amp;Provisions</v>
      </c>
      <c r="AE101" s="13"/>
      <c r="AF101" s="14">
        <f>+[1]RADIO!T98</f>
        <v>-3.5977344910629427E-2</v>
      </c>
      <c r="AG101" s="15">
        <f>+[1]RADIO!U98</f>
        <v>0</v>
      </c>
      <c r="AH101" s="16" t="str">
        <f>IF(AG101=0,"---",IF(OR(ABS((AF101-AG101)/ABS(AG101))&gt;2,(AF101*AG101)&lt;0),"---",IF(AG101="0","---",((AF101-AG101)/ABS(AG101))*100)))</f>
        <v>---</v>
      </c>
      <c r="AK101" s="14">
        <f>+[1]RADIO!X98</f>
        <v>-3.5977344910629427E-2</v>
      </c>
      <c r="AL101" s="15">
        <f>+[1]RADIO!Y98</f>
        <v>0</v>
      </c>
      <c r="AM101" s="16" t="str">
        <f>IF(AL101=0,"---",IF(OR(ABS((AK101-AL101)/ABS(AL101))&gt;2,(AK101*AL101)&lt;0),"---",IF(AL101="0","---",((AK101-AL101)/ABS(AL101))*100)))</f>
        <v>---</v>
      </c>
      <c r="AQ101" s="13" t="str">
        <f>+IF($B$3="esp","Efectos extraordinarios en Amort.y Provisiones","One-offs in Amortization&amp;Provisions")</f>
        <v>One-offs in Amortization&amp;Provisions</v>
      </c>
      <c r="AR101" s="13"/>
      <c r="AS101" s="14">
        <f>+[1]NOTICIAS!T50</f>
        <v>0</v>
      </c>
      <c r="AT101" s="15">
        <f>+[1]NOTICIAS!U50</f>
        <v>0</v>
      </c>
      <c r="AU101" s="16" t="str">
        <f>IF(AT101=0,"---",IF(OR(ABS((AS101-AT101)/ABS(AT101))&gt;2,(AS101*AT101)&lt;0),"---",IF(AT101="0","---",((AS101-AT101)/ABS(AT101))*100)))</f>
        <v>---</v>
      </c>
      <c r="AX101" s="14">
        <f>+[1]NOTICIAS!X50</f>
        <v>0</v>
      </c>
      <c r="AY101" s="15">
        <f>+[1]NOTICIAS!Y50</f>
        <v>0</v>
      </c>
      <c r="AZ101" s="16" t="str">
        <f>IF(AY101=0,"---",IF(OR(ABS((AX101-AY101)/ABS(AY101))&gt;2,(AX101*AY101)&lt;0),"---",IF(AY101="0","---",((AX101-AY101)/ABS(AY101))*100)))</f>
        <v>---</v>
      </c>
      <c r="BD101" s="13" t="str">
        <f>+IF($B$3="esp","Efectos extraordinarios en Amort.y Provisiones","One-offs in Amortization&amp;Provisions")</f>
        <v>One-offs in Amortization&amp;Provisions</v>
      </c>
      <c r="BF101" s="14">
        <f>+'[1]MEDIA CAPITAL'!T60</f>
        <v>0</v>
      </c>
      <c r="BG101" s="15">
        <f>+'[1]MEDIA CAPITAL'!U60</f>
        <v>0</v>
      </c>
      <c r="BH101" s="16" t="str">
        <f t="shared" si="28"/>
        <v>---</v>
      </c>
      <c r="BI101" s="13"/>
      <c r="BK101" s="14">
        <f>+'[1]MEDIA CAPITAL'!X60</f>
        <v>0</v>
      </c>
      <c r="BL101" s="15">
        <f>+'[1]MEDIA CAPITAL'!Y60</f>
        <v>0</v>
      </c>
      <c r="BM101" s="16" t="str">
        <f t="shared" si="29"/>
        <v>---</v>
      </c>
    </row>
    <row r="102" spans="1:65" ht="15" customHeight="1">
      <c r="D102" s="17"/>
      <c r="F102" s="18"/>
      <c r="G102" s="19"/>
      <c r="H102" s="20" t="str">
        <f t="shared" ref="H102" si="30">IF(G102=0,"---",IF(OR(ABS((F102-G102)/ABS(G102))&gt;2,(F102*G102)&lt;0),"---",IF(G102="0","---",((F102-G102)/ABS(G102))*100)))</f>
        <v>---</v>
      </c>
      <c r="K102" s="18"/>
      <c r="L102" s="19"/>
      <c r="M102" s="20" t="str">
        <f t="shared" ref="M102" si="31">IF(L102=0,"---",IF(OR(ABS((K102-L102)/ABS(L102))&gt;2,(K102*L102)&lt;0),"---",IF(L102="0","---",((K102-L102)/ABS(L102))*100)))</f>
        <v>---</v>
      </c>
      <c r="N102" s="13"/>
      <c r="Q102" s="17" t="str">
        <f>+IF($B$3="esp","Santillana USA","Santillana USA")</f>
        <v>Santillana USA</v>
      </c>
      <c r="S102" s="18">
        <f>+[1]SANTILLANA!T104</f>
        <v>0</v>
      </c>
      <c r="T102" s="19">
        <f>+[1]SANTILLANA!U104</f>
        <v>-0.285371843877951</v>
      </c>
      <c r="U102" s="20">
        <f>IF(T102=0,"---",IF(OR(ABS((S102-T102)/ABS(T102))&gt;2,(S102*T102)&lt;0),"---",IF(T102="0","---",((S102-T102)/ABS(T102))*100)))</f>
        <v>100</v>
      </c>
      <c r="X102" s="18">
        <f>+[1]SANTILLANA!X104</f>
        <v>0</v>
      </c>
      <c r="Y102" s="19">
        <f>+[1]SANTILLANA!Y104</f>
        <v>-0.285371843877951</v>
      </c>
      <c r="Z102" s="20">
        <f>IF(Y102=0,"---",IF(OR(ABS((X102-Y102)/ABS(Y102))&gt;2,(X102*Y102)&lt;0),"---",IF(Y102="0","---",((X102-Y102)/ABS(Y102))*100)))</f>
        <v>100</v>
      </c>
      <c r="AD102" s="17" t="str">
        <f>+IF($B$3="esp","Deterioros y Pérdidas de inmovilizado","Impairment &amp; Losses from fixed assets")</f>
        <v>Impairment &amp; Losses from fixed assets</v>
      </c>
      <c r="AF102" s="18">
        <f>+[1]RADIO!T99</f>
        <v>0</v>
      </c>
      <c r="AG102" s="19">
        <f>+[1]RADIO!U99</f>
        <v>0</v>
      </c>
      <c r="AH102" s="20" t="str">
        <f>IF(AG102=0,"---",IF(OR(ABS((AF102-AG102)/ABS(AG102))&gt;2,(AF102*AG102)&lt;0),"---",IF(AG102="0","---",((AF102-AG102)/ABS(AG102))*100)))</f>
        <v>---</v>
      </c>
      <c r="AK102" s="18">
        <f>+[1]RADIO!X99</f>
        <v>0</v>
      </c>
      <c r="AL102" s="19">
        <f>+[1]RADIO!Y99</f>
        <v>0</v>
      </c>
      <c r="AM102" s="20" t="str">
        <f>IF(AL102=0,"---",IF(OR(ABS((AK102-AL102)/ABS(AL102))&gt;2,(AK102*AL102)&lt;0),"---",IF(AL102="0","---",((AK102-AL102)/ABS(AL102))*100)))</f>
        <v>---</v>
      </c>
      <c r="AQ102" s="17" t="str">
        <f>+IF($B$3="esp","Deterioros y Pérdidas de inmovilizado","Impairment &amp; Losses from fixed assets")</f>
        <v>Impairment &amp; Losses from fixed assets</v>
      </c>
      <c r="AS102" s="18">
        <f>+[1]NOTICIAS!T51</f>
        <v>0</v>
      </c>
      <c r="AT102" s="19">
        <f>+[1]NOTICIAS!U51</f>
        <v>0</v>
      </c>
      <c r="AU102" s="20" t="str">
        <f>IF(AT102=0,"---",IF(OR(ABS((AS102-AT102)/ABS(AT102))&gt;2,(AS102*AT102)&lt;0),"---",IF(AT102="0","---",((AS102-AT102)/ABS(AT102))*100)))</f>
        <v>---</v>
      </c>
      <c r="AX102" s="18">
        <f>+[1]NOTICIAS!X51</f>
        <v>0</v>
      </c>
      <c r="AY102" s="19">
        <f>+[1]NOTICIAS!Y51</f>
        <v>0</v>
      </c>
      <c r="AZ102" s="20" t="str">
        <f>IF(AY102=0,"---",IF(OR(ABS((AX102-AY102)/ABS(AY102))&gt;2,(AX102*AY102)&lt;0),"---",IF(AY102="0","---",((AX102-AY102)/ABS(AY102))*100)))</f>
        <v>---</v>
      </c>
      <c r="BD102" s="17" t="str">
        <f>+IF($B$3="esp","Deterioros y Pérdidas de inmovilizado","Impairment &amp; Losses from fixed assets")</f>
        <v>Impairment &amp; Losses from fixed assets</v>
      </c>
      <c r="BF102" s="18"/>
      <c r="BG102" s="19"/>
      <c r="BH102" s="20" t="str">
        <f t="shared" si="28"/>
        <v>---</v>
      </c>
      <c r="BK102" s="18"/>
      <c r="BL102" s="19"/>
      <c r="BM102" s="20" t="str">
        <f t="shared" si="29"/>
        <v>---</v>
      </c>
    </row>
    <row r="103" spans="1:65" s="13" customFormat="1" ht="15" customHeight="1">
      <c r="N103" s="1"/>
      <c r="Q103" s="17"/>
      <c r="R103" s="1"/>
      <c r="S103" s="18"/>
      <c r="T103" s="19"/>
      <c r="U103" s="20"/>
      <c r="X103" s="18"/>
      <c r="Y103" s="19"/>
      <c r="Z103" s="20"/>
      <c r="AD103" s="17"/>
      <c r="AE103" s="1"/>
      <c r="AF103" s="18"/>
      <c r="AG103" s="19"/>
      <c r="AH103" s="20"/>
      <c r="AK103" s="18"/>
      <c r="AL103" s="19"/>
      <c r="AM103" s="20"/>
      <c r="AQ103" s="17"/>
      <c r="AR103" s="1"/>
      <c r="AS103" s="18"/>
      <c r="AT103" s="19"/>
      <c r="AU103" s="20"/>
      <c r="AX103" s="18"/>
      <c r="AY103" s="19"/>
      <c r="AZ103" s="20"/>
    </row>
    <row r="104" spans="1:65" ht="15" customHeight="1">
      <c r="Q104" s="17"/>
      <c r="S104" s="18"/>
      <c r="T104" s="19"/>
      <c r="U104" s="20"/>
      <c r="X104" s="18"/>
      <c r="Y104" s="19"/>
      <c r="Z104" s="20"/>
      <c r="AD104" s="17"/>
      <c r="AF104" s="18"/>
      <c r="AG104" s="19"/>
      <c r="AH104" s="20"/>
      <c r="AK104" s="18"/>
      <c r="AL104" s="19"/>
      <c r="AM104" s="20"/>
      <c r="AQ104" s="17"/>
      <c r="AS104" s="18"/>
      <c r="AT104" s="19"/>
      <c r="AU104" s="20"/>
      <c r="AX104" s="18"/>
      <c r="AY104" s="19"/>
      <c r="AZ104" s="20"/>
    </row>
    <row r="105" spans="1:65" ht="15" customHeight="1">
      <c r="A105" s="45"/>
      <c r="D105" s="17"/>
      <c r="F105" s="19"/>
      <c r="G105" s="19"/>
      <c r="H105" s="20"/>
      <c r="K105" s="19"/>
      <c r="L105" s="19"/>
      <c r="M105" s="20"/>
      <c r="Q105" s="17"/>
      <c r="S105" s="18"/>
      <c r="T105" s="19"/>
      <c r="U105" s="20"/>
      <c r="X105" s="18"/>
      <c r="Y105" s="19"/>
      <c r="Z105" s="20"/>
      <c r="AD105" s="17"/>
      <c r="AF105" s="18"/>
      <c r="AG105" s="19"/>
      <c r="AH105" s="20"/>
      <c r="AK105" s="18"/>
      <c r="AL105" s="19"/>
      <c r="AM105" s="20"/>
      <c r="AQ105" s="17"/>
      <c r="AS105" s="18"/>
      <c r="AT105" s="19"/>
      <c r="AU105" s="20"/>
      <c r="AX105" s="18"/>
      <c r="AY105" s="19"/>
      <c r="AZ105" s="20"/>
    </row>
    <row r="106" spans="1:65" ht="15" customHeight="1">
      <c r="Q106" s="17"/>
      <c r="S106" s="18"/>
      <c r="T106" s="19"/>
      <c r="U106" s="20"/>
      <c r="X106" s="18"/>
      <c r="Y106" s="19"/>
      <c r="Z106" s="20"/>
      <c r="AD106" s="17"/>
      <c r="AF106" s="18"/>
      <c r="AG106" s="19"/>
      <c r="AH106" s="20"/>
      <c r="AK106" s="18"/>
      <c r="AL106" s="19"/>
      <c r="AM106" s="20"/>
      <c r="AQ106" s="17"/>
      <c r="AS106" s="18"/>
      <c r="AT106" s="19"/>
      <c r="AU106" s="20"/>
      <c r="AX106" s="18"/>
      <c r="AY106" s="19"/>
      <c r="AZ106" s="20"/>
    </row>
    <row r="107" spans="1:65" ht="15" customHeight="1">
      <c r="D107" s="17"/>
      <c r="F107" s="19"/>
      <c r="G107" s="19"/>
      <c r="H107" s="20"/>
      <c r="K107" s="19"/>
      <c r="L107" s="19"/>
      <c r="M107" s="20"/>
    </row>
    <row r="108" spans="1:65" ht="15" customHeight="1"/>
    <row r="109" spans="1:65" ht="15" customHeight="1">
      <c r="D109" s="17"/>
      <c r="F109" s="19"/>
      <c r="G109" s="19"/>
      <c r="H109" s="20"/>
      <c r="K109" s="19"/>
      <c r="L109" s="19"/>
      <c r="M109" s="20"/>
    </row>
    <row r="112" spans="1:65"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</row>
    <row r="115" spans="4:65">
      <c r="D115" s="9" t="str">
        <f>+IF($B$3="esp","Millones de €","€ Millions")</f>
        <v>€ Millions</v>
      </c>
      <c r="F115" s="7" t="str">
        <f>+F85</f>
        <v>JANUARY - SEPTEMBER</v>
      </c>
      <c r="G115" s="8"/>
      <c r="H115" s="8"/>
      <c r="K115" s="7" t="str">
        <f>+K85</f>
        <v>JUNE - SEPTEMBER</v>
      </c>
      <c r="L115" s="8"/>
      <c r="M115" s="8"/>
      <c r="Q115" s="9" t="str">
        <f>+IF($B$3="esp","Millones de €","€ Millions")</f>
        <v>€ Millions</v>
      </c>
      <c r="S115" s="7" t="str">
        <f>+S6</f>
        <v>JANUARY - SEPTEMBER</v>
      </c>
      <c r="T115" s="8"/>
      <c r="U115" s="8"/>
      <c r="X115" s="7" t="str">
        <f>+X6</f>
        <v>JUNE - SEPTEMBER</v>
      </c>
      <c r="Y115" s="8"/>
      <c r="Z115" s="8"/>
      <c r="AD115" s="9" t="str">
        <f>+IF($B$3="esp","Millones de €","€ Millions")</f>
        <v>€ Millions</v>
      </c>
      <c r="AF115" s="7" t="str">
        <f>+AF6</f>
        <v>JANUARY - SEPTEMBER</v>
      </c>
      <c r="AG115" s="8"/>
      <c r="AH115" s="8"/>
      <c r="AK115" s="7" t="str">
        <f>+AK6</f>
        <v>JUNE - SEPTEMBER</v>
      </c>
      <c r="AL115" s="8"/>
      <c r="AM115" s="8"/>
      <c r="AQ115" s="9" t="str">
        <f>+IF($B$3="esp","Millones de €","€ Millions")</f>
        <v>€ Millions</v>
      </c>
      <c r="AS115" s="7" t="str">
        <f>+AS6</f>
        <v>JANUARY - SEPTEMBER</v>
      </c>
      <c r="AT115" s="8"/>
      <c r="AU115" s="8"/>
      <c r="AX115" s="7" t="str">
        <f>+AX6</f>
        <v>JUNE - SEPTEMBER</v>
      </c>
      <c r="AY115" s="8"/>
      <c r="AZ115" s="8"/>
      <c r="BF115" s="7" t="str">
        <f>+BF6</f>
        <v>JANUARY - SEPTEMBER</v>
      </c>
      <c r="BG115" s="8"/>
      <c r="BH115" s="8"/>
      <c r="BK115" s="7" t="str">
        <f>+BK6</f>
        <v>JUNE - SEPTEMBER</v>
      </c>
      <c r="BL115" s="8"/>
      <c r="BM115" s="8"/>
    </row>
    <row r="116" spans="4:65" ht="6.75" customHeight="1">
      <c r="D116" s="9"/>
    </row>
    <row r="117" spans="4:65" ht="15">
      <c r="D117" s="46" t="str">
        <f>+IF($B$3="esp","GRUPO","GROUP")</f>
        <v>GROUP</v>
      </c>
      <c r="F117" s="10">
        <v>2018</v>
      </c>
      <c r="G117" s="10">
        <v>2017</v>
      </c>
      <c r="H117" s="10" t="str">
        <f>+IF($B$3="esp","Var.%","% Chg.")</f>
        <v>% Chg.</v>
      </c>
      <c r="K117" s="10">
        <v>2018</v>
      </c>
      <c r="L117" s="10">
        <v>2017</v>
      </c>
      <c r="M117" s="10" t="str">
        <f>+IF($B$3="esp","Var.%","% Chg.")</f>
        <v>% Chg.</v>
      </c>
      <c r="Q117" s="46" t="str">
        <f>+IF($B$3="esp","EDUCACIÓN","EDUCATION")</f>
        <v>EDUCATION</v>
      </c>
      <c r="S117" s="10">
        <v>2018</v>
      </c>
      <c r="T117" s="10">
        <v>2017</v>
      </c>
      <c r="U117" s="10" t="str">
        <f>+IF($B$3="esp","Var.%","% Chg.")</f>
        <v>% Chg.</v>
      </c>
      <c r="X117" s="10">
        <v>2018</v>
      </c>
      <c r="Y117" s="10">
        <v>2017</v>
      </c>
      <c r="Z117" s="10" t="str">
        <f>+IF($B$3="esp","Var.%","% Chg.")</f>
        <v>% Chg.</v>
      </c>
      <c r="AD117" s="46" t="str">
        <f>+IF($B$3="esp","RADIO","RADIO")</f>
        <v>RADIO</v>
      </c>
      <c r="AF117" s="10">
        <v>2018</v>
      </c>
      <c r="AG117" s="10">
        <v>2017</v>
      </c>
      <c r="AH117" s="10" t="str">
        <f>+IF($B$3="esp","Var.%","% Chg.")</f>
        <v>% Chg.</v>
      </c>
      <c r="AK117" s="10">
        <v>2018</v>
      </c>
      <c r="AL117" s="10">
        <v>2017</v>
      </c>
      <c r="AM117" s="10" t="str">
        <f>+IF($B$3="esp","Var.%","% Chg.")</f>
        <v>% Chg.</v>
      </c>
      <c r="AQ117" s="46" t="str">
        <f>+IF($B$3="esp","PRENSA","PRESS")</f>
        <v>PRESS</v>
      </c>
      <c r="AS117" s="10">
        <v>2018</v>
      </c>
      <c r="AT117" s="10">
        <v>2017</v>
      </c>
      <c r="AU117" s="10" t="str">
        <f>+IF($B$3="esp","Var.%","% Chg.")</f>
        <v>% Chg.</v>
      </c>
      <c r="AX117" s="10">
        <v>2018</v>
      </c>
      <c r="AY117" s="10">
        <v>2017</v>
      </c>
      <c r="AZ117" s="10" t="str">
        <f>+IF($B$3="esp","Var.%","% Chg.")</f>
        <v>% Chg.</v>
      </c>
      <c r="BD117" s="46" t="str">
        <f>+IF($B$3="esp","MEDIA CAPITAL","MEDIA CAPITAL")</f>
        <v>MEDIA CAPITAL</v>
      </c>
      <c r="BF117" s="10">
        <v>2018</v>
      </c>
      <c r="BG117" s="10">
        <v>2017</v>
      </c>
      <c r="BH117" s="10" t="str">
        <f>+IF($B$3="esp","Var.%","% Chg.")</f>
        <v>% Chg.</v>
      </c>
      <c r="BK117" s="10">
        <v>2018</v>
      </c>
      <c r="BL117" s="10">
        <v>2017</v>
      </c>
      <c r="BM117" s="10" t="str">
        <f>+IF($B$3="esp","Var.%","% Chg.")</f>
        <v>% Chg.</v>
      </c>
    </row>
    <row r="118" spans="4:65" ht="15.75" customHeight="1">
      <c r="D118" s="11"/>
      <c r="F118" s="12"/>
      <c r="G118" s="12"/>
      <c r="H118" s="12"/>
      <c r="K118" s="12"/>
      <c r="L118" s="12"/>
      <c r="M118" s="12"/>
      <c r="Q118" s="11"/>
      <c r="S118" s="12"/>
      <c r="T118" s="12"/>
      <c r="U118" s="12"/>
      <c r="X118" s="12"/>
      <c r="Y118" s="12"/>
      <c r="Z118" s="12"/>
      <c r="AD118" s="11"/>
      <c r="AF118" s="12"/>
      <c r="AG118" s="12"/>
      <c r="AH118" s="12"/>
      <c r="AK118" s="12"/>
      <c r="AL118" s="12"/>
      <c r="AM118" s="12"/>
      <c r="AQ118" s="11"/>
      <c r="AS118" s="12"/>
      <c r="AT118" s="12"/>
      <c r="AU118" s="12"/>
      <c r="AX118" s="12"/>
      <c r="AY118" s="12"/>
      <c r="AZ118" s="12"/>
      <c r="BD118" s="11"/>
      <c r="BF118" s="12"/>
      <c r="BG118" s="12"/>
      <c r="BH118" s="12"/>
      <c r="BK118" s="12"/>
      <c r="BL118" s="12"/>
      <c r="BM118" s="12"/>
    </row>
    <row r="119" spans="4:65" s="13" customFormat="1" ht="15" customHeight="1">
      <c r="D119" s="13" t="str">
        <f>+IF($B$3="esp","EBITDA","EBITDA")</f>
        <v>EBITDA</v>
      </c>
      <c r="F119" s="14">
        <f>+[1]GRUPO!T156</f>
        <v>189.85737266342798</v>
      </c>
      <c r="G119" s="15">
        <f>+[1]GRUPO!U156</f>
        <v>201.38334129859601</v>
      </c>
      <c r="H119" s="16">
        <f t="shared" ref="H119:H125" si="32">IF(G119=0,"---",IF(OR(ABS((F119-G119)/ABS(G119))&gt;2,(F119*G119)&lt;0),"---",IF(G119="0","---",((F119-G119)/ABS(G119))*100)))</f>
        <v>-5.7233972586035264</v>
      </c>
      <c r="K119" s="14">
        <f>+[1]GRUPO!X156</f>
        <v>75.299719818391978</v>
      </c>
      <c r="L119" s="15">
        <f>+[1]GRUPO!Y156</f>
        <v>82.833994804659</v>
      </c>
      <c r="M119" s="16">
        <f t="shared" ref="M119:M125" si="33">IF(L119=0,"---",IF(OR(ABS((K119-L119)/ABS(L119))&gt;2,(K119*L119)&lt;0),"---",IF(L119="0","---",((K119-L119)/ABS(L119))*100)))</f>
        <v>-9.0956315749765775</v>
      </c>
      <c r="Q119" s="13" t="str">
        <f>+IF($B$3="esp","EBITDA","EBITDA")</f>
        <v>EBITDA</v>
      </c>
      <c r="S119" s="14">
        <f>+[1]SANTILLANA!T202</f>
        <v>148.576341131834</v>
      </c>
      <c r="T119" s="15">
        <f>+[1]SANTILLANA!U202</f>
        <v>163.89341536291298</v>
      </c>
      <c r="U119" s="16">
        <f>IF(T119=0,"---",IF(OR(ABS((S119-T119)/ABS(T119))&gt;2,(S119*T119)&lt;0),"---",IF(T119="0","---",((S119-T119)/ABS(T119))*100)))</f>
        <v>-9.3457532733465971</v>
      </c>
      <c r="X119" s="14">
        <f>+[1]SANTILLANA!X202</f>
        <v>62.720535293191091</v>
      </c>
      <c r="Y119" s="15">
        <f>+[1]SANTILLANA!Y202</f>
        <v>71.996457040043765</v>
      </c>
      <c r="Z119" s="16">
        <f>IF(Y119=0,"---",IF(OR(ABS((X119-Y119)/ABS(Y119))&gt;2,(X119*Y119)&lt;0),"---",IF(Y119="0","---",((X119-Y119)/ABS(Y119))*100)))</f>
        <v>-12.883858634451265</v>
      </c>
      <c r="AD119" s="13" t="str">
        <f>+IF($B$3="esp","EBITDA","EBITDA")</f>
        <v>EBITDA</v>
      </c>
      <c r="AF119" s="14">
        <f>+[1]RADIO!T113</f>
        <v>31.978222092699699</v>
      </c>
      <c r="AG119" s="15">
        <f>+[1]RADIO!U113</f>
        <v>24.116898273371497</v>
      </c>
      <c r="AH119" s="16">
        <f t="shared" ref="AH119:AH125" si="34">IF(AG119=0,"---",IF(OR(ABS((AF119-AG119)/ABS(AG119))&gt;2,(AF119*AG119)&lt;0),"---",IF(AG119="0","---",((AF119-AG119)/ABS(AG119))*100)))</f>
        <v>32.596744947123767</v>
      </c>
      <c r="AK119" s="14">
        <f>+[1]RADIO!X113</f>
        <v>10.283676066892898</v>
      </c>
      <c r="AL119" s="15">
        <f>+[1]RADIO!Y113</f>
        <v>5.7896447135052966</v>
      </c>
      <c r="AM119" s="16">
        <f t="shared" ref="AM119:AM125" si="35">IF(AL119=0,"---",IF(OR(ABS((AK119-AL119)/ABS(AL119))&gt;2,(AK119*AL119)&lt;0),"---",IF(AL119="0","---",((AK119-AL119)/ABS(AL119))*100)))</f>
        <v>77.621884861164887</v>
      </c>
      <c r="AQ119" s="13" t="str">
        <f>+IF($B$3="esp","EBITDA","EBITDA")</f>
        <v>EBITDA</v>
      </c>
      <c r="AS119" s="14">
        <f>+[1]NOTICIAS!T65</f>
        <v>-1.83337445721437</v>
      </c>
      <c r="AT119" s="15">
        <f>+[1]NOTICIAS!U65</f>
        <v>1.94518677074827</v>
      </c>
      <c r="AU119" s="16" t="str">
        <f>IF(AT119=0,"---",IF(OR(ABS((AS119-AT119)/ABS(AT119))&gt;2,(AS119*AT119)&lt;0),"---",IF(AT119="0","---",((AS119-AT119)/ABS(AT119))*100)))</f>
        <v>---</v>
      </c>
      <c r="AX119" s="14">
        <f>+[1]NOTICIAS!X65</f>
        <v>-1.0826421292297721</v>
      </c>
      <c r="AY119" s="15">
        <f>+[1]NOTICIAS!Y65</f>
        <v>-1.7117274660738599</v>
      </c>
      <c r="AZ119" s="16">
        <f>IF(AY119=0,"---",IF(OR(ABS((AX119-AY119)/ABS(AY119))&gt;2,(AX119*AY119)&lt;0),"---",IF(AY119="0","---",((AX119-AY119)/ABS(AY119))*100)))</f>
        <v>36.751489317806112</v>
      </c>
      <c r="BD119" s="13" t="str">
        <f>+IF($B$3="esp","EBITDA","EBITDA")</f>
        <v>EBITDA</v>
      </c>
      <c r="BF119" s="14">
        <f>+'[1]MEDIA CAPITAL'!T75</f>
        <v>24.561286876331302</v>
      </c>
      <c r="BG119" s="15">
        <f>+'[1]MEDIA CAPITAL'!U75</f>
        <v>22.861196092928399</v>
      </c>
      <c r="BH119" s="16">
        <f>IF(BG119=0,"---",IF(OR(ABS((BF119-BG119)/ABS(BG119))&gt;2,(BF119*BG119)&lt;0),"---",IF(BG119="0","---",((BF119-BG119)/ABS(BG119))*100)))</f>
        <v>7.4365784558787285</v>
      </c>
      <c r="BK119" s="14">
        <f>+'[1]MEDIA CAPITAL'!X75</f>
        <v>4.987728974680202</v>
      </c>
      <c r="BL119" s="15">
        <f>+'[1]MEDIA CAPITAL'!Y75</f>
        <v>5.4346167523705979</v>
      </c>
      <c r="BM119" s="16">
        <f>IF(BL119=0,"---",IF(OR(ABS((BK119-BL119)/ABS(BL119))&gt;2,(BK119*BL119)&lt;0),"---",IF(BL119="0","---",((BK119-BL119)/ABS(BL119))*100)))</f>
        <v>-8.2229860550049274</v>
      </c>
    </row>
    <row r="120" spans="4:65" ht="15" customHeight="1">
      <c r="D120" s="17" t="str">
        <f>+IF($B$3="esp","Efectos extraordinarios","Extraordinary effects")</f>
        <v>Extraordinary effects</v>
      </c>
      <c r="F120" s="18">
        <f>+[1]GRUPO!T157</f>
        <v>21.61828563745803</v>
      </c>
      <c r="G120" s="19">
        <f>+[1]GRUPO!U157</f>
        <v>10.000010452871294</v>
      </c>
      <c r="H120" s="20">
        <f t="shared" si="32"/>
        <v>116.18263040165915</v>
      </c>
      <c r="K120" s="18">
        <f>+[1]GRUPO!X157</f>
        <v>7.955501767603451</v>
      </c>
      <c r="L120" s="19">
        <f>+[1]GRUPO!Y157</f>
        <v>-3.2507679444958342</v>
      </c>
      <c r="M120" s="20" t="str">
        <f t="shared" si="33"/>
        <v>---</v>
      </c>
      <c r="Q120" s="17" t="str">
        <f>+IF($B$3="esp","Efectos extraordinarios","Extraordinary effects")</f>
        <v>Extraordinary effects</v>
      </c>
      <c r="S120" s="18">
        <f>+[1]SANTILLANA!T203</f>
        <v>2.2608456128769774</v>
      </c>
      <c r="T120" s="19">
        <f>+[1]SANTILLANA!U203</f>
        <v>1.1168704813396175</v>
      </c>
      <c r="U120" s="20">
        <f t="shared" ref="U120:U125" si="36">IF(T120=0,"---",IF(OR(ABS((S120-T120)/ABS(T120))&gt;2,(S120*T120)&lt;0),"---",IF(T120="0","---",((S120-T120)/ABS(T120))*100)))</f>
        <v>102.42683915911468</v>
      </c>
      <c r="X120" s="18">
        <f>+[1]SANTILLANA!X203</f>
        <v>6.9679674664496218</v>
      </c>
      <c r="Y120" s="19">
        <f>+[1]SANTILLANA!Y203</f>
        <v>-1.1896466697208865</v>
      </c>
      <c r="Z120" s="20" t="str">
        <f t="shared" ref="Z120:Z125" si="37">IF(Y120=0,"---",IF(OR(ABS((X120-Y120)/ABS(Y120))&gt;2,(X120*Y120)&lt;0),"---",IF(Y120="0","---",((X120-Y120)/ABS(Y120))*100)))</f>
        <v>---</v>
      </c>
      <c r="AD120" s="17" t="str">
        <f>+IF($B$3="esp","Efectos extraordinarios","Extraordinary effects")</f>
        <v>Extraordinary effects</v>
      </c>
      <c r="AF120" s="18">
        <f>+[1]RADIO!T114</f>
        <v>6.458582988568498</v>
      </c>
      <c r="AG120" s="19">
        <f>+[1]RADIO!U114</f>
        <v>4.3497559927789808</v>
      </c>
      <c r="AH120" s="20">
        <f t="shared" si="34"/>
        <v>48.481501015008099</v>
      </c>
      <c r="AK120" s="18">
        <f>+[1]RADIO!X114</f>
        <v>-5.8761023413630653E-2</v>
      </c>
      <c r="AL120" s="19">
        <f>+[1]RADIO!Y114</f>
        <v>0.66330383647238023</v>
      </c>
      <c r="AM120" s="20" t="str">
        <f t="shared" si="35"/>
        <v>---</v>
      </c>
      <c r="AQ120" s="17" t="str">
        <f>+IF($B$3="esp","Efectos extraordinarios","Extraordinary effects")</f>
        <v>Extraordinary effects</v>
      </c>
      <c r="AS120" s="18">
        <f>+[1]NOTICIAS!T66</f>
        <v>5.1362661097942404</v>
      </c>
      <c r="AT120" s="19">
        <f>+[1]NOTICIAS!U66</f>
        <v>2.567543728725159</v>
      </c>
      <c r="AU120" s="20">
        <f t="shared" ref="AU120:AU125" si="38">IF(AT120=0,"---",IF(OR(ABS((AS120-AT120)/ABS(AT120))&gt;2,(AS120*AT120)&lt;0),"---",IF(AT120="0","---",((AS120-AT120)/ABS(AT120))*100)))</f>
        <v>100.04590583329647</v>
      </c>
      <c r="AX120" s="18">
        <f>+[1]NOTICIAS!X66</f>
        <v>0.37898552834917965</v>
      </c>
      <c r="AY120" s="19">
        <f>+[1]NOTICIAS!Y66</f>
        <v>0.26492037872515928</v>
      </c>
      <c r="AZ120" s="20">
        <f t="shared" ref="AZ120:AZ125" si="39">IF(AY120=0,"---",IF(OR(ABS((AX120-AY120)/ABS(AY120))&gt;2,(AX120*AY120)&lt;0),"---",IF(AY120="0","---",((AX120-AY120)/ABS(AY120))*100)))</f>
        <v>43.056389309467527</v>
      </c>
      <c r="BD120" s="17" t="str">
        <f>+IF($B$3="esp","Efectos extraordinarios","Extraordinary effects")</f>
        <v>Extraordinary effects</v>
      </c>
      <c r="BF120" s="18">
        <f>+'[1]MEDIA CAPITAL'!T76</f>
        <v>0.55802393999999822</v>
      </c>
      <c r="BG120" s="19">
        <f>+'[1]MEDIA CAPITAL'!U76</f>
        <v>0.91717209000000111</v>
      </c>
      <c r="BH120" s="20">
        <f t="shared" ref="BH120:BH125" si="40">IF(BG120=0,"---",IF(OR(ABS((BF120-BG120)/ABS(BG120))&gt;2,(BF120*BG120)&lt;0),"---",IF(BG120="0","---",((BF120-BG120)/ABS(BG120))*100)))</f>
        <v>-39.158207485358872</v>
      </c>
      <c r="BK120" s="18">
        <f>+'[1]MEDIA CAPITAL'!X76</f>
        <v>0.20501302999999638</v>
      </c>
      <c r="BL120" s="19">
        <f>+'[1]MEDIA CAPITAL'!Y76</f>
        <v>8.4105400000002106E-2</v>
      </c>
      <c r="BM120" s="20">
        <f t="shared" ref="BM120:BM125" si="41">IF(BL120=0,"---",IF(OR(ABS((BK120-BL120)/ABS(BL120))&gt;2,(BK120*BL120)&lt;0),"---",IF(BL120="0","---",((BK120-BL120)/ABS(BL120))*100)))</f>
        <v>143.75727361143427</v>
      </c>
    </row>
    <row r="121" spans="4:65" ht="15" customHeight="1">
      <c r="D121" s="13" t="str">
        <f>+IF($B$3="esp","EBITDA Ajustado","Adjusted EBITDA")</f>
        <v>Adjusted EBITDA</v>
      </c>
      <c r="E121" s="13"/>
      <c r="F121" s="14">
        <f>+[1]GRUPO!T158</f>
        <v>211.47565830088601</v>
      </c>
      <c r="G121" s="15">
        <f>+[1]GRUPO!U158</f>
        <v>211.3833517514673</v>
      </c>
      <c r="H121" s="16">
        <f t="shared" si="32"/>
        <v>4.3667842644125258E-2</v>
      </c>
      <c r="K121" s="14">
        <f>+[1]GRUPO!X158</f>
        <v>83.255221585995429</v>
      </c>
      <c r="L121" s="15">
        <f>+[1]GRUPO!Y158</f>
        <v>79.583226860163165</v>
      </c>
      <c r="M121" s="16">
        <f t="shared" si="33"/>
        <v>4.6140309594185949</v>
      </c>
      <c r="Q121" s="13" t="str">
        <f>+IF($B$3="esp","EBITDA Ajustado","Adjusted EBITDA")</f>
        <v>Adjusted EBITDA</v>
      </c>
      <c r="R121" s="13"/>
      <c r="S121" s="14">
        <f>+[1]SANTILLANA!T204</f>
        <v>150.83718674471098</v>
      </c>
      <c r="T121" s="15">
        <f>+[1]SANTILLANA!U204</f>
        <v>165.01028584425259</v>
      </c>
      <c r="U121" s="16">
        <f t="shared" si="36"/>
        <v>-8.5892215912643817</v>
      </c>
      <c r="X121" s="14">
        <f>+[1]SANTILLANA!X204</f>
        <v>69.688502759640713</v>
      </c>
      <c r="Y121" s="15">
        <f>+[1]SANTILLANA!Y204</f>
        <v>70.806810370322879</v>
      </c>
      <c r="Z121" s="16">
        <f t="shared" si="37"/>
        <v>-1.5793786004952994</v>
      </c>
      <c r="AD121" s="13" t="str">
        <f>+IF($B$3="esp","EBITDA Ajustado","Adjusted EBITDA")</f>
        <v>Adjusted EBITDA</v>
      </c>
      <c r="AE121" s="13"/>
      <c r="AF121" s="14">
        <f>+[1]RADIO!T115</f>
        <v>38.436805081268197</v>
      </c>
      <c r="AG121" s="15">
        <f>+[1]RADIO!U115</f>
        <v>28.466654266150478</v>
      </c>
      <c r="AH121" s="16">
        <f t="shared" si="34"/>
        <v>35.023964256218072</v>
      </c>
      <c r="AK121" s="14">
        <f>+[1]RADIO!X115</f>
        <v>10.224915043479267</v>
      </c>
      <c r="AL121" s="15">
        <f>+[1]RADIO!Y115</f>
        <v>6.4529485499776769</v>
      </c>
      <c r="AM121" s="16">
        <f t="shared" si="35"/>
        <v>58.453379324009013</v>
      </c>
      <c r="AQ121" s="13" t="str">
        <f>+IF($B$3="esp","EBITDA Ajustado","Adjusted EBITDA")</f>
        <v>Adjusted EBITDA</v>
      </c>
      <c r="AR121" s="13"/>
      <c r="AS121" s="14">
        <f>+[1]NOTICIAS!T67</f>
        <v>3.3028916525798699</v>
      </c>
      <c r="AT121" s="15">
        <f>+[1]NOTICIAS!U67</f>
        <v>4.5127304994734292</v>
      </c>
      <c r="AU121" s="16">
        <f t="shared" si="38"/>
        <v>-26.809463738965356</v>
      </c>
      <c r="AX121" s="14">
        <f>+[1]NOTICIAS!X67</f>
        <v>-0.7036566008805929</v>
      </c>
      <c r="AY121" s="15">
        <f>+[1]NOTICIAS!Y67</f>
        <v>-1.4468070873487004</v>
      </c>
      <c r="AZ121" s="16">
        <f t="shared" si="39"/>
        <v>51.364863565186425</v>
      </c>
      <c r="BD121" s="13" t="str">
        <f>+IF($B$3="esp","EBITDA Ajustado","Adjusted EBITDA")</f>
        <v>Adjusted EBITDA</v>
      </c>
      <c r="BF121" s="14">
        <f>+'[1]MEDIA CAPITAL'!T77</f>
        <v>25.1193108163313</v>
      </c>
      <c r="BG121" s="15">
        <f>+'[1]MEDIA CAPITAL'!U77</f>
        <v>23.7783681829284</v>
      </c>
      <c r="BH121" s="16">
        <f t="shared" si="40"/>
        <v>5.6393383393130625</v>
      </c>
      <c r="BK121" s="14">
        <f>+'[1]MEDIA CAPITAL'!X77</f>
        <v>5.1927420046801984</v>
      </c>
      <c r="BL121" s="15">
        <f>+'[1]MEDIA CAPITAL'!Y77</f>
        <v>5.5187221523706</v>
      </c>
      <c r="BM121" s="16">
        <f t="shared" si="41"/>
        <v>-5.9068048488430405</v>
      </c>
    </row>
    <row r="122" spans="4:65" ht="15" customHeight="1">
      <c r="D122" s="17" t="str">
        <f>+IF($B$3="esp","Amortizaciones","Amortizations")</f>
        <v>Amortizations</v>
      </c>
      <c r="F122" s="18">
        <f>+[1]GRUPO!T159</f>
        <v>48.135485350781899</v>
      </c>
      <c r="G122" s="19">
        <f>+[1]GRUPO!U159</f>
        <v>57.743021015819401</v>
      </c>
      <c r="H122" s="20">
        <f t="shared" si="32"/>
        <v>-16.638436119241842</v>
      </c>
      <c r="K122" s="18">
        <f>+[1]GRUPO!X159</f>
        <v>18.440475995138698</v>
      </c>
      <c r="L122" s="19">
        <f>+[1]GRUPO!Y159</f>
        <v>23.908904381050398</v>
      </c>
      <c r="M122" s="20">
        <f t="shared" si="33"/>
        <v>-22.871932141925498</v>
      </c>
      <c r="Q122" s="17" t="str">
        <f>+IF($B$3="esp","Amortizaciones","Amortizations")</f>
        <v>Amortizations</v>
      </c>
      <c r="S122" s="18">
        <f>+[1]SANTILLANA!T205</f>
        <v>33.386692474039499</v>
      </c>
      <c r="T122" s="19">
        <f>+[1]SANTILLANA!U205</f>
        <v>39.6118756101557</v>
      </c>
      <c r="U122" s="20">
        <f t="shared" si="36"/>
        <v>-15.715446542804418</v>
      </c>
      <c r="X122" s="18">
        <f>+[1]SANTILLANA!X205</f>
        <v>13.2532341499106</v>
      </c>
      <c r="Y122" s="19">
        <f>+[1]SANTILLANA!Y205</f>
        <v>17.899956337891002</v>
      </c>
      <c r="Z122" s="20">
        <f t="shared" si="37"/>
        <v>-25.95940515309595</v>
      </c>
      <c r="AD122" s="17" t="str">
        <f>+IF($B$3="esp","Amortizaciones","Amortizations")</f>
        <v>Amortizations</v>
      </c>
      <c r="AF122" s="18">
        <f>+[1]RADIO!T116</f>
        <v>6.0135527622808507</v>
      </c>
      <c r="AG122" s="19">
        <f>+[1]RADIO!U116</f>
        <v>5.9302483477215997</v>
      </c>
      <c r="AH122" s="20">
        <f t="shared" si="34"/>
        <v>1.4047373680607578</v>
      </c>
      <c r="AK122" s="18">
        <f>+[1]RADIO!X116</f>
        <v>1.9785682621853304</v>
      </c>
      <c r="AL122" s="19">
        <f>+[1]RADIO!Y116</f>
        <v>1.9560075014050993</v>
      </c>
      <c r="AM122" s="20">
        <f t="shared" si="35"/>
        <v>1.1534087044157364</v>
      </c>
      <c r="AQ122" s="17" t="str">
        <f>+IF($B$3="esp","Amortizaciones","Amortizations")</f>
        <v>Amortizations</v>
      </c>
      <c r="AS122" s="18">
        <f>+[1]NOTICIAS!T68</f>
        <v>3.2005625541565799</v>
      </c>
      <c r="AT122" s="19">
        <f>+[1]NOTICIAS!U68</f>
        <v>5.6780267827789599</v>
      </c>
      <c r="AU122" s="20">
        <f t="shared" si="38"/>
        <v>-43.63248578073545</v>
      </c>
      <c r="AX122" s="18">
        <f>+[1]NOTICIAS!X68</f>
        <v>1.1093551084102198</v>
      </c>
      <c r="AY122" s="19">
        <f>+[1]NOTICIAS!Y68</f>
        <v>1.9119799724892901</v>
      </c>
      <c r="AZ122" s="20">
        <f t="shared" si="39"/>
        <v>-41.97872758228204</v>
      </c>
      <c r="BD122" s="17" t="str">
        <f>+IF($B$3="esp","Amortizaciones","Amortizations")</f>
        <v>Amortizations</v>
      </c>
      <c r="BF122" s="18">
        <f>+'[1]MEDIA CAPITAL'!T78</f>
        <v>4.9495881099999997</v>
      </c>
      <c r="BG122" s="19">
        <f>+'[1]MEDIA CAPITAL'!U78</f>
        <v>5.7846811300000001</v>
      </c>
      <c r="BH122" s="20">
        <f t="shared" si="40"/>
        <v>-14.436284407607451</v>
      </c>
      <c r="BK122" s="18">
        <f>+'[1]MEDIA CAPITAL'!X78</f>
        <v>1.9213084999999994</v>
      </c>
      <c r="BL122" s="19">
        <f>+'[1]MEDIA CAPITAL'!Y78</f>
        <v>1.9467319700000001</v>
      </c>
      <c r="BM122" s="20">
        <f t="shared" si="41"/>
        <v>-1.3059563613166874</v>
      </c>
    </row>
    <row r="123" spans="4:65" ht="15" customHeight="1">
      <c r="D123" s="17" t="str">
        <f>+IF($B$3="esp","Provisiones","Provisions")</f>
        <v>Provisions</v>
      </c>
      <c r="F123" s="18">
        <f>+[1]GRUPO!T160</f>
        <v>22.327056225321201</v>
      </c>
      <c r="G123" s="19">
        <f>+[1]GRUPO!U160</f>
        <v>21.575883050467599</v>
      </c>
      <c r="H123" s="20">
        <f t="shared" si="32"/>
        <v>3.4815408161814347</v>
      </c>
      <c r="K123" s="18">
        <f>+[1]GRUPO!X160</f>
        <v>18.355098285586291</v>
      </c>
      <c r="L123" s="19">
        <f>+[1]GRUPO!Y160</f>
        <v>18.761801815195248</v>
      </c>
      <c r="M123" s="20">
        <f t="shared" si="33"/>
        <v>-2.1677210622679493</v>
      </c>
      <c r="Q123" s="17" t="str">
        <f>+IF($B$3="esp","Provisiones","Provisions")</f>
        <v>Provisions</v>
      </c>
      <c r="S123" s="18">
        <f>+[1]SANTILLANA!T206</f>
        <v>19.655870798824701</v>
      </c>
      <c r="T123" s="19">
        <f>+[1]SANTILLANA!U206</f>
        <v>18.9220350580771</v>
      </c>
      <c r="U123" s="20">
        <f t="shared" si="36"/>
        <v>3.8782072778918901</v>
      </c>
      <c r="X123" s="18">
        <f>+[1]SANTILLANA!X206</f>
        <v>17.993840367414961</v>
      </c>
      <c r="Y123" s="19">
        <f>+[1]SANTILLANA!Y206</f>
        <v>18.147400550759404</v>
      </c>
      <c r="Z123" s="20">
        <f t="shared" si="37"/>
        <v>-0.84618280681536229</v>
      </c>
      <c r="AD123" s="17" t="str">
        <f>+IF($B$3="esp","Provisiones","Provisions")</f>
        <v>Provisions</v>
      </c>
      <c r="AF123" s="18">
        <f>+[1]RADIO!T117</f>
        <v>1.3381310717495001</v>
      </c>
      <c r="AG123" s="19">
        <f>+[1]RADIO!U117</f>
        <v>1.37619851587793</v>
      </c>
      <c r="AH123" s="20">
        <f t="shared" si="34"/>
        <v>-2.7661302994608445</v>
      </c>
      <c r="AK123" s="18">
        <f>+[1]RADIO!X117</f>
        <v>0.4061773626832651</v>
      </c>
      <c r="AL123" s="19">
        <f>+[1]RADIO!Y117</f>
        <v>0.33849957152511001</v>
      </c>
      <c r="AM123" s="20">
        <f t="shared" si="35"/>
        <v>19.993464350112102</v>
      </c>
      <c r="AQ123" s="17" t="str">
        <f>+IF($B$3="esp","Provisiones","Provisions")</f>
        <v>Provisions</v>
      </c>
      <c r="AS123" s="18">
        <f>+[1]NOTICIAS!T69</f>
        <v>1.0125765387650401</v>
      </c>
      <c r="AT123" s="19">
        <f>+[1]NOTICIAS!U69</f>
        <v>0.90893530041822101</v>
      </c>
      <c r="AU123" s="20">
        <f t="shared" si="38"/>
        <v>11.402487976771443</v>
      </c>
      <c r="AX123" s="18">
        <f>+[1]NOTICIAS!X69</f>
        <v>1.4306770776581046E-2</v>
      </c>
      <c r="AY123" s="19">
        <f>+[1]NOTICIAS!Y69</f>
        <v>6.8546811550025066E-2</v>
      </c>
      <c r="AZ123" s="20">
        <f t="shared" si="39"/>
        <v>-79.128466440572439</v>
      </c>
      <c r="BD123" s="17" t="str">
        <f>+IF($B$3="esp","Provisiones","Provisions")</f>
        <v>Provisions</v>
      </c>
      <c r="BF123" s="18">
        <f>+'[1]MEDIA CAPITAL'!T79</f>
        <v>7.0855689999999999E-2</v>
      </c>
      <c r="BG123" s="19">
        <f>+'[1]MEDIA CAPITAL'!U79</f>
        <v>0.11612761999999999</v>
      </c>
      <c r="BH123" s="20">
        <f t="shared" si="40"/>
        <v>-38.984636040934959</v>
      </c>
      <c r="BK123" s="18">
        <f>+'[1]MEDIA CAPITAL'!X79</f>
        <v>-7.5704099999999996E-2</v>
      </c>
      <c r="BL123" s="19">
        <f>+'[1]MEDIA CAPITAL'!Y79</f>
        <v>2.0639679999999994E-2</v>
      </c>
      <c r="BM123" s="20" t="str">
        <f t="shared" si="41"/>
        <v>---</v>
      </c>
    </row>
    <row r="124" spans="4:65" ht="15" customHeight="1">
      <c r="D124" s="17" t="str">
        <f>+IF($B$3="esp","Pérdidas de inmovilizado","Impairment from fixed assets")</f>
        <v>Impairment from fixed assets</v>
      </c>
      <c r="F124" s="18">
        <f>+[1]GRUPO!T161</f>
        <v>1.2121127984189215</v>
      </c>
      <c r="G124" s="19">
        <f>+[1]GRUPO!U161</f>
        <v>1.8472420317840097</v>
      </c>
      <c r="H124" s="20">
        <f t="shared" si="32"/>
        <v>-34.382567223835842</v>
      </c>
      <c r="K124" s="18">
        <f>+[1]GRUPO!X161</f>
        <v>0.82941893441155257</v>
      </c>
      <c r="L124" s="19">
        <f>+[1]GRUPO!Y161</f>
        <v>-0.18601459313281099</v>
      </c>
      <c r="M124" s="20" t="str">
        <f t="shared" si="33"/>
        <v>---</v>
      </c>
      <c r="Q124" s="17" t="str">
        <f>+IF($B$3="esp","Pérdidas de inmovilizado","Impairment from fixed assets")</f>
        <v>Impairment from fixed assets</v>
      </c>
      <c r="S124" s="18">
        <f>+[1]SANTILLANA!T207</f>
        <v>1.139829774829721</v>
      </c>
      <c r="T124" s="19">
        <f>+[1]SANTILLANA!U207</f>
        <v>0.79694835744323456</v>
      </c>
      <c r="U124" s="20">
        <f t="shared" si="36"/>
        <v>43.024295637739542</v>
      </c>
      <c r="X124" s="18">
        <f>+[1]SANTILLANA!X207</f>
        <v>0.83469446082185472</v>
      </c>
      <c r="Y124" s="19">
        <f>+[1]SANTILLANA!Y207</f>
        <v>-0.1305137095775627</v>
      </c>
      <c r="Z124" s="20" t="str">
        <f t="shared" si="37"/>
        <v>---</v>
      </c>
      <c r="AD124" s="17" t="str">
        <f>+IF($B$3="esp","Pérdidas de inmovilizado","Impairment from fixed assets")</f>
        <v>Impairment from fixed assets</v>
      </c>
      <c r="AF124" s="18">
        <f>+[1]RADIO!T118</f>
        <v>-2.9733645089220273E-2</v>
      </c>
      <c r="AG124" s="19">
        <f>+[1]RADIO!U118</f>
        <v>1.0486688526950048</v>
      </c>
      <c r="AH124" s="20" t="str">
        <f t="shared" si="34"/>
        <v>---</v>
      </c>
      <c r="AK124" s="18">
        <f>+[1]RADIO!X118</f>
        <v>-5.2370850890629539E-3</v>
      </c>
      <c r="AL124" s="19">
        <f>+[1]RADIO!Y118</f>
        <v>-5.599689000035335E-2</v>
      </c>
      <c r="AM124" s="20">
        <f t="shared" si="35"/>
        <v>90.64754294563518</v>
      </c>
      <c r="AQ124" s="17" t="str">
        <f>+IF($B$3="esp","Pérdidas de inmovilizado","Impairment from fixed assets")</f>
        <v>Impairment from fixed assets</v>
      </c>
      <c r="AS124" s="18">
        <f>+[1]NOTICIAS!T70</f>
        <v>6.155867877999377E-5</v>
      </c>
      <c r="AT124" s="19">
        <f>+[1]NOTICIAS!U70</f>
        <v>1.6248216452789954E-3</v>
      </c>
      <c r="AU124" s="20">
        <f t="shared" si="38"/>
        <v>-96.211357784477102</v>
      </c>
      <c r="AX124" s="18">
        <f>+[1]NOTICIAS!X70</f>
        <v>6.1558678756346019E-5</v>
      </c>
      <c r="AY124" s="19">
        <f>+[1]NOTICIAS!Y70</f>
        <v>4.9600644456704313E-4</v>
      </c>
      <c r="AZ124" s="20">
        <f t="shared" si="39"/>
        <v>-87.589137312504135</v>
      </c>
      <c r="BD124" s="17" t="str">
        <f>+IF($B$3="esp","Pérdidas de inmovilizado","Impairment from fixed assets")</f>
        <v>Impairment from fixed assets</v>
      </c>
      <c r="BF124" s="18">
        <f>+'[1]MEDIA CAPITAL'!T80</f>
        <v>-7.4940054162198066E-16</v>
      </c>
      <c r="BG124" s="19">
        <f>+'[1]MEDIA CAPITAL'!U80</f>
        <v>-5.5511151231257827E-16</v>
      </c>
      <c r="BH124" s="20">
        <f t="shared" si="40"/>
        <v>-35</v>
      </c>
      <c r="BK124" s="18">
        <f>+'[1]MEDIA CAPITAL'!X80</f>
        <v>-2.7755575615628914E-16</v>
      </c>
      <c r="BL124" s="19">
        <f>+'[1]MEDIA CAPITAL'!Y80</f>
        <v>-1.3877787807814457E-15</v>
      </c>
      <c r="BM124" s="20">
        <f t="shared" si="41"/>
        <v>80</v>
      </c>
    </row>
    <row r="125" spans="4:65" ht="15" customHeight="1">
      <c r="D125" s="13" t="str">
        <f>+IF($B$3="esp","Resultado de Explotación","Operating Result")</f>
        <v>Operating Result</v>
      </c>
      <c r="E125" s="13"/>
      <c r="F125" s="14">
        <f>+[1]GRUPO!T162</f>
        <v>139.80100392636399</v>
      </c>
      <c r="G125" s="15">
        <f>+[1]GRUPO!U162</f>
        <v>130.21720565339629</v>
      </c>
      <c r="H125" s="16">
        <f t="shared" si="32"/>
        <v>7.3598555773629712</v>
      </c>
      <c r="K125" s="14">
        <f>+[1]GRUPO!X162</f>
        <v>45.630228370858887</v>
      </c>
      <c r="L125" s="15">
        <f>+[1]GRUPO!Y162</f>
        <v>37.09853525705033</v>
      </c>
      <c r="M125" s="16">
        <f t="shared" si="33"/>
        <v>22.997385354148626</v>
      </c>
      <c r="Q125" s="13" t="str">
        <f>+IF($B$3="esp","Resultado de Explotación","Operating Result")</f>
        <v>Operating Result</v>
      </c>
      <c r="R125" s="13"/>
      <c r="S125" s="14">
        <f>+[1]SANTILLANA!T208</f>
        <v>96.654793697017055</v>
      </c>
      <c r="T125" s="15">
        <f>+[1]SANTILLANA!U208</f>
        <v>105.67942681857656</v>
      </c>
      <c r="U125" s="16">
        <f t="shared" si="36"/>
        <v>-8.5396310268150817</v>
      </c>
      <c r="X125" s="14">
        <f>+[1]SANTILLANA!X208</f>
        <v>37.606733781493297</v>
      </c>
      <c r="Y125" s="15">
        <f>+[1]SANTILLANA!Y208</f>
        <v>34.889967191250037</v>
      </c>
      <c r="Z125" s="16">
        <f t="shared" si="37"/>
        <v>7.7866699482726691</v>
      </c>
      <c r="AD125" s="13" t="str">
        <f>+IF($B$3="esp","Resultado de Explotación","Operating Result")</f>
        <v>Operating Result</v>
      </c>
      <c r="AE125" s="13"/>
      <c r="AF125" s="14">
        <f>+[1]RADIO!T119</f>
        <v>31.114854892327067</v>
      </c>
      <c r="AG125" s="15">
        <f>+[1]RADIO!U119</f>
        <v>20.111538549855943</v>
      </c>
      <c r="AH125" s="16">
        <f t="shared" si="34"/>
        <v>54.711459867648657</v>
      </c>
      <c r="AK125" s="14">
        <f>+[1]RADIO!X119</f>
        <v>7.8454065036997349</v>
      </c>
      <c r="AL125" s="15">
        <f>+[1]RADIO!Y119</f>
        <v>4.2144383670478209</v>
      </c>
      <c r="AM125" s="16">
        <f t="shared" si="35"/>
        <v>86.155445172529056</v>
      </c>
      <c r="AQ125" s="13" t="str">
        <f>+IF($B$3="esp","Resultado de Explotación","Operating Result")</f>
        <v>Operating Result</v>
      </c>
      <c r="AR125" s="13"/>
      <c r="AS125" s="14">
        <f>+[1]NOTICIAS!T71</f>
        <v>-0.91030899902052986</v>
      </c>
      <c r="AT125" s="15">
        <f>+[1]NOTICIAS!U71</f>
        <v>-2.0758564053690307</v>
      </c>
      <c r="AU125" s="16">
        <f t="shared" si="38"/>
        <v>56.147785720337339</v>
      </c>
      <c r="AX125" s="14">
        <f>+[1]NOTICIAS!X71</f>
        <v>-1.8273800387461501</v>
      </c>
      <c r="AY125" s="15">
        <f>+[1]NOTICIAS!Y71</f>
        <v>-3.4278298778325831</v>
      </c>
      <c r="AZ125" s="16">
        <f t="shared" si="39"/>
        <v>46.68988532471738</v>
      </c>
      <c r="BD125" s="13" t="str">
        <f>+IF($B$3="esp","Resultado de Explotación","Operating Result")</f>
        <v>Operating Result</v>
      </c>
      <c r="BF125" s="14">
        <f>+'[1]MEDIA CAPITAL'!T81</f>
        <v>20.098867016331301</v>
      </c>
      <c r="BG125" s="15">
        <f>+'[1]MEDIA CAPITAL'!U81</f>
        <v>17.8775594329284</v>
      </c>
      <c r="BH125" s="16">
        <f t="shared" si="40"/>
        <v>12.425116480449274</v>
      </c>
      <c r="BK125" s="14">
        <f>+'[1]MEDIA CAPITAL'!X81</f>
        <v>3.3471376046801993</v>
      </c>
      <c r="BL125" s="15">
        <f>+'[1]MEDIA CAPITAL'!Y81</f>
        <v>3.5513505023706013</v>
      </c>
      <c r="BM125" s="16">
        <f t="shared" si="41"/>
        <v>-5.7502884481293997</v>
      </c>
    </row>
    <row r="126" spans="4:65" ht="15" customHeight="1"/>
    <row r="128" spans="4:65">
      <c r="D128" s="9"/>
      <c r="F128" s="7" t="str">
        <f>+F115</f>
        <v>JANUARY - SEPTEMBER</v>
      </c>
      <c r="G128" s="8"/>
      <c r="H128" s="8"/>
      <c r="K128" s="7" t="str">
        <f>+K115</f>
        <v>JUNE - SEPTEMBER</v>
      </c>
      <c r="L128" s="8"/>
      <c r="M128" s="8"/>
    </row>
    <row r="129" spans="4:65" ht="14.25" customHeight="1"/>
    <row r="130" spans="4:65" ht="15">
      <c r="D130" s="46" t="str">
        <f>+IF($B$3="esp","OTROS","OTHERS")</f>
        <v>OTHERS</v>
      </c>
      <c r="F130" s="10">
        <v>2018</v>
      </c>
      <c r="G130" s="10">
        <v>2017</v>
      </c>
      <c r="H130" s="10" t="str">
        <f>+IF($B$3="esp","Var.%","% Chg.")</f>
        <v>% Chg.</v>
      </c>
      <c r="K130" s="10">
        <v>2018</v>
      </c>
      <c r="L130" s="10">
        <v>2017</v>
      </c>
      <c r="M130" s="10" t="str">
        <f>+IF($B$3="esp","Var.%","% Chg.")</f>
        <v>% Chg.</v>
      </c>
    </row>
    <row r="131" spans="4:65" ht="15.75" customHeight="1">
      <c r="D131" s="11"/>
      <c r="F131" s="12"/>
      <c r="G131" s="12"/>
      <c r="H131" s="12"/>
      <c r="K131" s="12"/>
      <c r="L131" s="12"/>
      <c r="M131" s="12"/>
    </row>
    <row r="132" spans="4:65" s="13" customFormat="1" ht="15" customHeight="1">
      <c r="D132" s="13" t="str">
        <f>+IF($B$3="esp","EBITDA","EBITDA")</f>
        <v>EBITDA</v>
      </c>
      <c r="F132" s="14">
        <f>+[1]GRUPO!T169</f>
        <v>-13.425102980222649</v>
      </c>
      <c r="G132" s="15">
        <f>+[1]GRUPO!U169</f>
        <v>-11.433355201365133</v>
      </c>
      <c r="H132" s="16">
        <f>IF(G132=0,"---",IF(OR(ABS((F132-G132)/ABS(G132))&gt;2,(F132*G132)&lt;0),"---",IF(G132="0","---",((F132-G132)/ABS(G132))*100)))</f>
        <v>-17.42050118953448</v>
      </c>
      <c r="K132" s="14">
        <f>+[1]GRUPO!X169</f>
        <v>-1.6095783871424398</v>
      </c>
      <c r="L132" s="15">
        <f>+[1]GRUPO!Y169</f>
        <v>1.3250037648132</v>
      </c>
      <c r="M132" s="16" t="str">
        <f>IF(L132=0,"---",IF(OR(ABS((K132-L132)/ABS(L132))&gt;2,(K132*L132)&lt;0),"---",IF(L132="0","---",((K132-L132)/ABS(L132))*100)))</f>
        <v>---</v>
      </c>
    </row>
    <row r="133" spans="4:65" ht="15" customHeight="1">
      <c r="D133" s="17" t="str">
        <f>+IF($B$3="esp","Efectos extraordinarios","Extraordinary effects")</f>
        <v>Extraordinary effects</v>
      </c>
      <c r="F133" s="18">
        <f>+[1]GRUPO!T170</f>
        <v>7.2045669862183157</v>
      </c>
      <c r="G133" s="19">
        <f>+[1]GRUPO!U170</f>
        <v>1.0486681600275354</v>
      </c>
      <c r="H133" s="20" t="str">
        <f t="shared" ref="H133:H138" si="42">IF(G133=0,"---",IF(OR(ABS((F133-G133)/ABS(G133))&gt;2,(F133*G133)&lt;0),"---",IF(G133="0","---",((F133-G133)/ABS(G133))*100)))</f>
        <v>---</v>
      </c>
      <c r="K133" s="18">
        <f>+[1]GRUPO!X170</f>
        <v>0.46229676621828375</v>
      </c>
      <c r="L133" s="19">
        <f>+[1]GRUPO!Y170</f>
        <v>-3.0734508899724897</v>
      </c>
      <c r="M133" s="20" t="str">
        <f t="shared" ref="M133:M138" si="43">IF(L133=0,"---",IF(OR(ABS((K133-L133)/ABS(L133))&gt;2,(K133*L133)&lt;0),"---",IF(L133="0","---",((K133-L133)/ABS(L133))*100)))</f>
        <v>---</v>
      </c>
    </row>
    <row r="134" spans="4:65" ht="15" customHeight="1">
      <c r="D134" s="13" t="str">
        <f>+IF($B$3="esp","EBITDA Ajustado","Adjusted EBITDA")</f>
        <v>Adjusted EBITDA</v>
      </c>
      <c r="E134" s="13"/>
      <c r="F134" s="14">
        <f>+[1]GRUPO!T171</f>
        <v>-6.220535994004333</v>
      </c>
      <c r="G134" s="15">
        <f>+[1]GRUPO!U171</f>
        <v>-10.384687041337598</v>
      </c>
      <c r="H134" s="16">
        <f t="shared" si="42"/>
        <v>40.09895561375437</v>
      </c>
      <c r="K134" s="14">
        <f>+[1]GRUPO!X171</f>
        <v>-1.1472816209241579</v>
      </c>
      <c r="L134" s="15">
        <f>+[1]GRUPO!Y171</f>
        <v>-1.7484471251592897</v>
      </c>
      <c r="M134" s="16">
        <f t="shared" si="43"/>
        <v>34.382824369387983</v>
      </c>
    </row>
    <row r="135" spans="4:65" ht="15" customHeight="1">
      <c r="D135" s="17" t="str">
        <f>+IF($B$3="esp","Amortizaciones","Amortizations")</f>
        <v>Amortizations</v>
      </c>
      <c r="F135" s="18">
        <f>+[1]GRUPO!T172</f>
        <v>0.58508945030496928</v>
      </c>
      <c r="G135" s="19">
        <f>+[1]GRUPO!U172</f>
        <v>0.73818914516314216</v>
      </c>
      <c r="H135" s="20">
        <f t="shared" si="42"/>
        <v>-20.739900587990544</v>
      </c>
      <c r="K135" s="18">
        <f>+[1]GRUPO!X172</f>
        <v>0.17800997463254786</v>
      </c>
      <c r="L135" s="19">
        <f>+[1]GRUPO!Y172</f>
        <v>0.19422859926500724</v>
      </c>
      <c r="M135" s="20">
        <f t="shared" si="43"/>
        <v>-8.3502762692174599</v>
      </c>
    </row>
    <row r="136" spans="4:65" ht="15" customHeight="1">
      <c r="D136" s="17" t="str">
        <f>+IF($B$3="esp","Provisiones","Provisions")</f>
        <v>Provisions</v>
      </c>
      <c r="F136" s="18">
        <f>+[1]GRUPO!T173</f>
        <v>0.24962212598195968</v>
      </c>
      <c r="G136" s="19">
        <f>+[1]GRUPO!U173</f>
        <v>0.25258655609434844</v>
      </c>
      <c r="H136" s="20">
        <f t="shared" si="42"/>
        <v>-1.1736294117258774</v>
      </c>
      <c r="K136" s="18">
        <f>+[1]GRUPO!X173</f>
        <v>1.6477884711484203E-2</v>
      </c>
      <c r="L136" s="19">
        <f>+[1]GRUPO!Y173</f>
        <v>0.18671520136071101</v>
      </c>
      <c r="M136" s="20">
        <f t="shared" si="43"/>
        <v>-91.174856363381508</v>
      </c>
    </row>
    <row r="137" spans="4:65" ht="15" customHeight="1">
      <c r="D137" s="17" t="str">
        <f>+IF($B$3="esp","Pérdidas de inmovilizado","Impairment from fixed assets")</f>
        <v>Impairment from fixed assets</v>
      </c>
      <c r="F137" s="18">
        <f>+[1]GRUPO!T174</f>
        <v>0.1019551099996415</v>
      </c>
      <c r="G137" s="19">
        <f>+[1]GRUPO!U174</f>
        <v>4.9193982221140686E-13</v>
      </c>
      <c r="H137" s="20" t="str">
        <f t="shared" si="42"/>
        <v>---</v>
      </c>
      <c r="K137" s="18">
        <f>+[1]GRUPO!X174</f>
        <v>-9.9999999995270539E-5</v>
      </c>
      <c r="L137" s="19">
        <f>+[1]GRUPO!Y174</f>
        <v>5.3929083421166979E-13</v>
      </c>
      <c r="M137" s="20" t="str">
        <f t="shared" si="43"/>
        <v>---</v>
      </c>
    </row>
    <row r="138" spans="4:65" ht="15" customHeight="1">
      <c r="D138" s="13" t="str">
        <f>+IF($B$3="esp","Resultado de Explotación","Operating Result")</f>
        <v>Operating Result</v>
      </c>
      <c r="E138" s="13"/>
      <c r="F138" s="14">
        <f>+[1]GRUPO!T175</f>
        <v>-7.1572026802909043</v>
      </c>
      <c r="G138" s="15">
        <f>+[1]GRUPO!U175</f>
        <v>-11.37546274259558</v>
      </c>
      <c r="H138" s="16">
        <f t="shared" si="42"/>
        <v>37.082096418894167</v>
      </c>
      <c r="K138" s="14">
        <f>+[1]GRUPO!X175</f>
        <v>-1.3416694802681945</v>
      </c>
      <c r="L138" s="15">
        <f>+[1]GRUPO!Y175</f>
        <v>-2.1293909257855468</v>
      </c>
      <c r="M138" s="16">
        <f t="shared" si="43"/>
        <v>36.992805594245517</v>
      </c>
    </row>
    <row r="139" spans="4:65" ht="15" customHeight="1">
      <c r="D139" s="13"/>
      <c r="E139" s="13"/>
      <c r="F139" s="15"/>
      <c r="G139" s="15"/>
      <c r="H139" s="16"/>
      <c r="K139" s="15"/>
      <c r="L139" s="15"/>
      <c r="M139" s="16"/>
    </row>
    <row r="140" spans="4:65" ht="15" customHeight="1"/>
    <row r="141" spans="4:65" ht="15" customHeight="1"/>
    <row r="142" spans="4:65" ht="15" customHeight="1"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</row>
    <row r="143" spans="4:65" ht="15" customHeight="1"/>
    <row r="144" spans="4:65" ht="15" customHeight="1">
      <c r="F144" s="7" t="str">
        <f>+F128</f>
        <v>JANUARY - SEPTEMBER</v>
      </c>
      <c r="G144" s="8"/>
      <c r="H144" s="8"/>
      <c r="K144" s="7" t="str">
        <f>+K128</f>
        <v>JUNE - SEPTEMBER</v>
      </c>
      <c r="L144" s="8"/>
      <c r="M144" s="8"/>
      <c r="Q144" s="47"/>
      <c r="R144" s="47"/>
      <c r="S144" s="48"/>
      <c r="T144" s="49"/>
      <c r="U144" s="49"/>
      <c r="V144" s="47"/>
      <c r="W144" s="47"/>
      <c r="X144" s="48"/>
      <c r="Y144" s="49"/>
      <c r="Z144" s="49"/>
    </row>
    <row r="145" spans="4:26" ht="4.5" customHeight="1"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spans="4:26" ht="15" customHeight="1">
      <c r="D146" s="9" t="str">
        <f>+IF($B$3="esp","Millones de €","€ Millions")</f>
        <v>€ Millions</v>
      </c>
      <c r="F146" s="10">
        <v>2018</v>
      </c>
      <c r="G146" s="10">
        <v>2017</v>
      </c>
      <c r="H146" s="10" t="str">
        <f>+IF($B$3="esp","Var.%","% Chg.")</f>
        <v>% Chg.</v>
      </c>
      <c r="K146" s="10">
        <v>2018</v>
      </c>
      <c r="L146" s="10">
        <v>2017</v>
      </c>
      <c r="M146" s="10" t="str">
        <f>+IF($B$3="esp","Var.%","% Chg.")</f>
        <v>% Chg.</v>
      </c>
      <c r="Q146" s="50"/>
      <c r="R146" s="47"/>
      <c r="S146" s="51"/>
      <c r="T146" s="51"/>
      <c r="U146" s="51"/>
      <c r="V146" s="47"/>
      <c r="W146" s="47"/>
      <c r="X146" s="51"/>
      <c r="Y146" s="51"/>
      <c r="Z146" s="51"/>
    </row>
    <row r="147" spans="4:26" ht="15" customHeight="1">
      <c r="D147" s="11" t="str">
        <f>+IF($B$3="esp","Ingresos de Explotación Ajustados","Operating Adjusted Revenues")</f>
        <v>Operating Adjusted Revenues</v>
      </c>
      <c r="F147" s="12"/>
      <c r="G147" s="12"/>
      <c r="H147" s="12"/>
      <c r="K147" s="12"/>
      <c r="L147" s="12"/>
      <c r="M147" s="12"/>
      <c r="Q147" s="59"/>
      <c r="R147" s="47"/>
      <c r="S147" s="47"/>
      <c r="T147" s="47"/>
      <c r="U147" s="47"/>
      <c r="V147" s="47"/>
      <c r="W147" s="47"/>
      <c r="X147" s="47"/>
      <c r="Y147" s="47"/>
      <c r="Z147" s="47"/>
    </row>
    <row r="148" spans="4:26" ht="15" customHeight="1">
      <c r="D148" s="13" t="str">
        <f>+IF($B$3="esp","GRUPO","GROUP")</f>
        <v>GROUP</v>
      </c>
      <c r="E148" s="13"/>
      <c r="F148" s="14">
        <f>+[1]GRUPO!T128</f>
        <v>956.56642701606654</v>
      </c>
      <c r="G148" s="15">
        <f>+[1]GRUPO!U128</f>
        <v>994.81508180074729</v>
      </c>
      <c r="H148" s="16">
        <f>IF(G148=0,"---",IF(OR(ABS((F148-G148)/ABS(G148))&gt;2,(F148*G148)&lt;0),"---",IF(G148="0","---",((F148-G148)/ABS(G148))*100)))</f>
        <v>-3.8448004543161542</v>
      </c>
      <c r="K148" s="14">
        <f>+[1]GRUPO!X128</f>
        <v>334.86046195715312</v>
      </c>
      <c r="L148" s="15">
        <f>+[1]GRUPO!Y128</f>
        <v>339.79072127746031</v>
      </c>
      <c r="M148" s="16">
        <f>IF(L148=0,"---",IF(OR(ABS((K148-L148)/ABS(L148))&gt;2,(K148*L148)&lt;0),"---",IF(L148="0","---",((K148-L148)/ABS(L148))*100)))</f>
        <v>-1.450969379555636</v>
      </c>
      <c r="Q148" s="52"/>
      <c r="R148" s="52"/>
      <c r="S148" s="53"/>
      <c r="T148" s="53"/>
      <c r="U148" s="54"/>
      <c r="V148" s="47"/>
      <c r="W148" s="47"/>
      <c r="X148" s="53"/>
      <c r="Y148" s="53"/>
      <c r="Z148" s="54"/>
    </row>
    <row r="149" spans="4:26" s="13" customFormat="1" ht="15" customHeight="1">
      <c r="D149" s="17" t="str">
        <f>+IF($B$3="esp","Educación","Education")</f>
        <v>Education</v>
      </c>
      <c r="E149" s="1"/>
      <c r="F149" s="18">
        <f>+[1]GRUPO!T129</f>
        <v>473.67219236606445</v>
      </c>
      <c r="G149" s="19">
        <f>+[1]GRUPO!U129</f>
        <v>513.47072229197829</v>
      </c>
      <c r="H149" s="20">
        <f>IF(G149=0,"---",IF(OR(ABS((F149-G149)/ABS(G149))&gt;2,(F149*G149)&lt;0),"---",IF(G149="0","---",((F149-G149)/ABS(G149))*100)))</f>
        <v>-7.7508859216481163</v>
      </c>
      <c r="K149" s="18">
        <f>+[1]GRUPO!X129</f>
        <v>179.71486221745698</v>
      </c>
      <c r="L149" s="19">
        <f>+[1]GRUPO!Y129</f>
        <v>185.4492388622993</v>
      </c>
      <c r="M149" s="20">
        <f>IF(L149=0,"---",IF(OR(ABS((K149-L149)/ABS(L149))&gt;2,(K149*L149)&lt;0),"---",IF(L149="0","---",((K149-L149)/ABS(L149))*100)))</f>
        <v>-3.0921543167401362</v>
      </c>
      <c r="Q149" s="55"/>
      <c r="R149" s="47"/>
      <c r="S149" s="56"/>
      <c r="T149" s="56"/>
      <c r="U149" s="57"/>
      <c r="V149" s="52"/>
      <c r="W149" s="52"/>
      <c r="X149" s="56"/>
      <c r="Y149" s="56"/>
      <c r="Z149" s="57"/>
    </row>
    <row r="150" spans="4:26" ht="15" customHeight="1">
      <c r="D150" s="17" t="str">
        <f>+IF($B$3="esp","Radio","Radio")</f>
        <v>Radio</v>
      </c>
      <c r="F150" s="18">
        <f>+[1]GRUPO!T130</f>
        <v>206.09591672117401</v>
      </c>
      <c r="G150" s="19">
        <f>+[1]GRUPO!U130</f>
        <v>202.82103665034901</v>
      </c>
      <c r="H150" s="20">
        <f t="shared" ref="H150:H151" si="44">IF(G150=0,"---",IF(OR(ABS((F150-G150)/ABS(G150))&gt;2,(F150*G150)&lt;0),"---",IF(G150="0","---",((F150-G150)/ABS(G150))*100)))</f>
        <v>1.6146648912315165</v>
      </c>
      <c r="K150" s="18">
        <f>+[1]GRUPO!X130</f>
        <v>70.119336433966993</v>
      </c>
      <c r="L150" s="19">
        <f>+[1]GRUPO!Y130</f>
        <v>66.053131958342021</v>
      </c>
      <c r="M150" s="20">
        <f t="shared" ref="M150:M151" si="45">IF(L150=0,"---",IF(OR(ABS((K150-L150)/ABS(L150))&gt;2,(K150*L150)&lt;0),"---",IF(L150="0","---",((K150-L150)/ABS(L150))*100)))</f>
        <v>6.1559601415863519</v>
      </c>
      <c r="Q150" s="58"/>
      <c r="R150" s="47"/>
      <c r="S150" s="56"/>
      <c r="T150" s="56"/>
      <c r="U150" s="57"/>
      <c r="V150" s="47"/>
      <c r="W150" s="47"/>
      <c r="X150" s="56"/>
      <c r="Y150" s="56"/>
      <c r="Z150" s="57"/>
    </row>
    <row r="151" spans="4:26" ht="15" customHeight="1">
      <c r="D151" s="17" t="str">
        <f>+IF($B$3="esp","Prensa","Press")</f>
        <v>Press</v>
      </c>
      <c r="F151" s="18">
        <f>+[1]GRUPO!T131</f>
        <v>144.90139858759801</v>
      </c>
      <c r="G151" s="19">
        <f>+[1]GRUPO!U131</f>
        <v>157.42095472154497</v>
      </c>
      <c r="H151" s="20">
        <f t="shared" si="44"/>
        <v>-7.9529158974370713</v>
      </c>
      <c r="K151" s="18">
        <f>+[1]GRUPO!X131</f>
        <v>44.644046409705012</v>
      </c>
      <c r="L151" s="19">
        <f>+[1]GRUPO!Y131</f>
        <v>48.367039217277977</v>
      </c>
      <c r="M151" s="20">
        <f t="shared" si="45"/>
        <v>-7.6973758737810298</v>
      </c>
      <c r="Q151" s="58"/>
      <c r="R151" s="47"/>
      <c r="S151" s="56"/>
      <c r="T151" s="56"/>
      <c r="U151" s="57"/>
      <c r="V151" s="47"/>
      <c r="W151" s="47"/>
      <c r="X151" s="56"/>
      <c r="Y151" s="56"/>
      <c r="Z151" s="57"/>
    </row>
    <row r="152" spans="4:26" s="13" customFormat="1" ht="15" customHeight="1">
      <c r="D152" s="17" t="str">
        <f>+IF($B$3="esp","Otros","Others")</f>
        <v>Others</v>
      </c>
      <c r="E152" s="1"/>
      <c r="F152" s="18">
        <f>+[1]GRUPO!T132</f>
        <v>131.89691934123005</v>
      </c>
      <c r="G152" s="19">
        <f>+[1]GRUPO!U132</f>
        <v>121.10236813687501</v>
      </c>
      <c r="H152" s="20">
        <f>IF(G152=0,"---",IF(OR(ABS((F152-G152)/ABS(G152))&gt;2,(F152*G152)&lt;0),"---",IF(G152="0","---",((F152-G152)/ABS(G152))*100)))</f>
        <v>8.9135756553947587</v>
      </c>
      <c r="I152" s="1"/>
      <c r="K152" s="18">
        <f>+[1]GRUPO!X132</f>
        <v>40.382216896024104</v>
      </c>
      <c r="L152" s="19">
        <f>+[1]GRUPO!Y132</f>
        <v>39.921311239541012</v>
      </c>
      <c r="M152" s="20">
        <f>IF(L152=0,"---",IF(OR(ABS((K152-L152)/ABS(L152))&gt;2,(K152*L152)&lt;0),"---",IF(L152="0","---",((K152-L152)/ABS(L152))*100)))</f>
        <v>1.154535365127429</v>
      </c>
      <c r="N152" s="1"/>
      <c r="Q152" s="55"/>
      <c r="R152" s="47"/>
      <c r="S152" s="56"/>
      <c r="T152" s="56"/>
      <c r="U152" s="57"/>
      <c r="V152" s="52"/>
      <c r="W152" s="52"/>
      <c r="X152" s="56"/>
      <c r="Y152" s="56"/>
      <c r="Z152" s="57"/>
    </row>
    <row r="153" spans="4:26" ht="15" customHeight="1">
      <c r="D153" s="17"/>
      <c r="F153" s="19"/>
      <c r="G153" s="19"/>
      <c r="H153" s="20"/>
      <c r="K153" s="19"/>
      <c r="L153" s="19"/>
      <c r="M153" s="20"/>
      <c r="Q153" s="55"/>
      <c r="R153" s="47"/>
      <c r="S153" s="56"/>
      <c r="T153" s="56"/>
      <c r="U153" s="57"/>
      <c r="V153" s="47"/>
      <c r="W153" s="47"/>
      <c r="X153" s="56"/>
      <c r="Y153" s="56"/>
      <c r="Z153" s="57"/>
    </row>
    <row r="154" spans="4:26" ht="15" customHeight="1"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spans="4:26" ht="15" customHeight="1">
      <c r="D155" s="17"/>
      <c r="F155" s="19"/>
      <c r="G155" s="19"/>
      <c r="H155" s="20"/>
      <c r="I155" s="13"/>
      <c r="K155" s="19"/>
      <c r="L155" s="19"/>
      <c r="M155" s="20"/>
      <c r="N155" s="13"/>
      <c r="Q155" s="47"/>
      <c r="R155" s="47"/>
      <c r="S155" s="48"/>
      <c r="T155" s="49"/>
      <c r="U155" s="49"/>
      <c r="V155" s="47"/>
      <c r="W155" s="47"/>
      <c r="X155" s="48"/>
      <c r="Y155" s="49"/>
      <c r="Z155" s="49"/>
    </row>
    <row r="156" spans="4:26" s="13" customFormat="1" ht="4.5" customHeight="1">
      <c r="D156" s="17"/>
      <c r="E156" s="1"/>
      <c r="F156" s="19"/>
      <c r="G156" s="19"/>
      <c r="H156" s="20"/>
      <c r="I156" s="1"/>
      <c r="K156" s="19"/>
      <c r="L156" s="19"/>
      <c r="M156" s="20"/>
      <c r="N156" s="1"/>
      <c r="Q156" s="47"/>
      <c r="R156" s="47"/>
      <c r="S156" s="47"/>
      <c r="T156" s="47"/>
      <c r="U156" s="47"/>
      <c r="V156" s="52"/>
      <c r="W156" s="52"/>
      <c r="X156" s="47"/>
      <c r="Y156" s="47"/>
      <c r="Z156" s="47"/>
    </row>
    <row r="157" spans="4:26" ht="15" customHeight="1">
      <c r="Q157" s="50"/>
      <c r="R157" s="47"/>
      <c r="S157" s="51"/>
      <c r="T157" s="51"/>
      <c r="U157" s="51"/>
      <c r="V157" s="47"/>
      <c r="W157" s="47"/>
      <c r="X157" s="51"/>
      <c r="Y157" s="51"/>
      <c r="Z157" s="51"/>
    </row>
    <row r="158" spans="4:26" ht="15" customHeight="1">
      <c r="F158" s="7" t="str">
        <f>+F144</f>
        <v>JANUARY - SEPTEMBER</v>
      </c>
      <c r="G158" s="8"/>
      <c r="H158" s="8"/>
      <c r="K158" s="7" t="str">
        <f>+K144</f>
        <v>JUNE - SEPTEMBER</v>
      </c>
      <c r="L158" s="8"/>
      <c r="M158" s="8"/>
      <c r="Q158" s="59"/>
      <c r="R158" s="47"/>
      <c r="S158" s="47"/>
      <c r="T158" s="47"/>
      <c r="U158" s="47"/>
      <c r="V158" s="47"/>
      <c r="W158" s="47"/>
      <c r="X158" s="47"/>
      <c r="Y158" s="47"/>
      <c r="Z158" s="47"/>
    </row>
    <row r="159" spans="4:26" ht="15" customHeight="1">
      <c r="I159" s="13"/>
      <c r="N159" s="13"/>
      <c r="Q159" s="52"/>
      <c r="R159" s="52"/>
      <c r="S159" s="53"/>
      <c r="T159" s="53"/>
      <c r="U159" s="54"/>
      <c r="V159" s="47"/>
      <c r="W159" s="47"/>
      <c r="X159" s="53"/>
      <c r="Y159" s="53"/>
      <c r="Z159" s="54"/>
    </row>
    <row r="160" spans="4:26" ht="15" customHeight="1">
      <c r="D160" s="9" t="str">
        <f>+IF($B$3="esp","Millones de €","€ Millions")</f>
        <v>€ Millions</v>
      </c>
      <c r="F160" s="10">
        <v>2018</v>
      </c>
      <c r="G160" s="10">
        <v>2017</v>
      </c>
      <c r="H160" s="10" t="str">
        <f>+IF($B$3="esp","Var.%","% Chg.")</f>
        <v>% Chg.</v>
      </c>
      <c r="K160" s="10">
        <v>2018</v>
      </c>
      <c r="L160" s="10">
        <v>2017</v>
      </c>
      <c r="M160" s="10" t="str">
        <f>+IF($B$3="esp","Var.%","% Chg.")</f>
        <v>% Chg.</v>
      </c>
      <c r="Q160" s="55"/>
      <c r="R160" s="47"/>
      <c r="S160" s="56"/>
      <c r="T160" s="56"/>
      <c r="U160" s="57"/>
      <c r="V160" s="47"/>
      <c r="W160" s="47"/>
      <c r="X160" s="56"/>
      <c r="Y160" s="56"/>
      <c r="Z160" s="57"/>
    </row>
    <row r="161" spans="4:26" ht="15" customHeight="1">
      <c r="D161" s="11" t="str">
        <f>+IF($B$3="esp","EBITDA Ajustado","Adjusted EBITDA")</f>
        <v>Adjusted EBITDA</v>
      </c>
      <c r="F161" s="12"/>
      <c r="G161" s="12"/>
      <c r="H161" s="12"/>
      <c r="K161" s="12"/>
      <c r="L161" s="12"/>
      <c r="M161" s="12"/>
      <c r="Q161" s="58"/>
      <c r="R161" s="47"/>
      <c r="S161" s="56"/>
      <c r="T161" s="56"/>
      <c r="U161" s="57"/>
      <c r="V161" s="47"/>
      <c r="W161" s="47"/>
      <c r="X161" s="56"/>
      <c r="Y161" s="56"/>
      <c r="Z161" s="57"/>
    </row>
    <row r="162" spans="4:26" ht="15" customHeight="1">
      <c r="D162" s="13" t="str">
        <f>+IF($B$3="esp","GRUPO","GROUP")</f>
        <v>GROUP</v>
      </c>
      <c r="E162" s="13"/>
      <c r="F162" s="14">
        <f>+[1]GRUPO!T140</f>
        <v>211.47565830088601</v>
      </c>
      <c r="G162" s="15">
        <f>+[1]GRUPO!U140</f>
        <v>211.3833517514673</v>
      </c>
      <c r="H162" s="16">
        <f>IF(G162=0,"---",IF(OR(ABS((F162-G162)/ABS(G162))&gt;2,(F162*G162)&lt;0),"---",IF(G162="0","---",((F162-G162)/ABS(G162))*100)))</f>
        <v>4.3667842644125258E-2</v>
      </c>
      <c r="K162" s="14">
        <f>+[1]GRUPO!X140</f>
        <v>83.255221585995429</v>
      </c>
      <c r="L162" s="15">
        <f>+[1]GRUPO!Y140</f>
        <v>79.583226860163165</v>
      </c>
      <c r="M162" s="16">
        <f>IF(L162=0,"---",IF(OR(ABS((K162-L162)/ABS(L162))&gt;2,(K162*L162)&lt;0),"---",IF(L162="0","---",((K162-L162)/ABS(L162))*100)))</f>
        <v>4.6140309594185949</v>
      </c>
      <c r="Q162" s="58"/>
      <c r="R162" s="47"/>
      <c r="S162" s="56"/>
      <c r="T162" s="56"/>
      <c r="U162" s="57"/>
      <c r="V162" s="47"/>
      <c r="W162" s="47"/>
      <c r="X162" s="56"/>
      <c r="Y162" s="56"/>
      <c r="Z162" s="57"/>
    </row>
    <row r="163" spans="4:26" s="13" customFormat="1" ht="15" customHeight="1">
      <c r="D163" s="17" t="str">
        <f>+IF($B$3="esp","Educación","Education")</f>
        <v>Education</v>
      </c>
      <c r="E163" s="1"/>
      <c r="F163" s="18">
        <f>+[1]GRUPO!T141</f>
        <v>150.83718674471098</v>
      </c>
      <c r="G163" s="19">
        <f>+[1]GRUPO!U141</f>
        <v>165.01028584425259</v>
      </c>
      <c r="H163" s="20">
        <f t="shared" ref="H163:H166" si="46">IF(G163=0,"---",IF(OR(ABS((F163-G163)/ABS(G163))&gt;2,(F163*G163)&lt;0),"---",IF(G163="0","---",((F163-G163)/ABS(G163))*100)))</f>
        <v>-8.5892215912643817</v>
      </c>
      <c r="I163" s="1"/>
      <c r="K163" s="18">
        <f>+[1]GRUPO!X141</f>
        <v>69.688502759640713</v>
      </c>
      <c r="L163" s="19">
        <f>+[1]GRUPO!Y141</f>
        <v>70.806810370322879</v>
      </c>
      <c r="M163" s="20">
        <f t="shared" ref="M163:M166" si="47">IF(L163=0,"---",IF(OR(ABS((K163-L163)/ABS(L163))&gt;2,(K163*L163)&lt;0),"---",IF(L163="0","---",((K163-L163)/ABS(L163))*100)))</f>
        <v>-1.5793786004952994</v>
      </c>
      <c r="N163" s="1"/>
      <c r="Q163" s="55"/>
      <c r="R163" s="47"/>
      <c r="S163" s="56"/>
      <c r="T163" s="56"/>
      <c r="U163" s="57"/>
      <c r="V163" s="52"/>
      <c r="W163" s="52"/>
      <c r="X163" s="56"/>
      <c r="Y163" s="56"/>
      <c r="Z163" s="57"/>
    </row>
    <row r="164" spans="4:26" ht="15" customHeight="1">
      <c r="D164" s="17" t="str">
        <f>+IF($B$3="esp","Radio","Radio")</f>
        <v>Radio</v>
      </c>
      <c r="F164" s="18">
        <f>+[1]GRUPO!T142</f>
        <v>38.436805081268197</v>
      </c>
      <c r="G164" s="19">
        <f>+[1]GRUPO!U142</f>
        <v>28.466654266150478</v>
      </c>
      <c r="H164" s="20">
        <f t="shared" si="46"/>
        <v>35.023964256218072</v>
      </c>
      <c r="K164" s="18">
        <f>+[1]GRUPO!X142</f>
        <v>10.224915043479267</v>
      </c>
      <c r="L164" s="19">
        <f>+[1]GRUPO!Y142</f>
        <v>6.4529485499776769</v>
      </c>
      <c r="M164" s="20">
        <f t="shared" si="47"/>
        <v>58.453379324009013</v>
      </c>
      <c r="Q164" s="55"/>
      <c r="R164" s="47"/>
      <c r="S164" s="56"/>
      <c r="T164" s="56"/>
      <c r="U164" s="57"/>
      <c r="V164" s="47"/>
      <c r="W164" s="47"/>
      <c r="X164" s="56"/>
      <c r="Y164" s="56"/>
      <c r="Z164" s="57"/>
    </row>
    <row r="165" spans="4:26" s="13" customFormat="1" ht="15" customHeight="1">
      <c r="D165" s="17" t="str">
        <f>+IF($B$3="esp","Prensa","Press")</f>
        <v>Press</v>
      </c>
      <c r="E165" s="1"/>
      <c r="F165" s="18">
        <f>+[1]GRUPO!T143</f>
        <v>3.3028916525798699</v>
      </c>
      <c r="G165" s="19">
        <f>+[1]GRUPO!U143</f>
        <v>4.5127304994734292</v>
      </c>
      <c r="H165" s="20">
        <f t="shared" si="46"/>
        <v>-26.809463738965356</v>
      </c>
      <c r="I165" s="1"/>
      <c r="K165" s="18">
        <f>+[1]GRUPO!X143</f>
        <v>-0.7036566008805929</v>
      </c>
      <c r="L165" s="19">
        <f>+[1]GRUPO!Y143</f>
        <v>-1.4468070873487004</v>
      </c>
      <c r="M165" s="20">
        <f t="shared" si="47"/>
        <v>51.364863565186425</v>
      </c>
      <c r="N165" s="1"/>
      <c r="Q165" s="47"/>
      <c r="R165" s="47"/>
      <c r="S165" s="47"/>
      <c r="T165" s="47"/>
      <c r="U165" s="47"/>
      <c r="V165" s="52"/>
      <c r="W165" s="52"/>
      <c r="X165" s="47"/>
      <c r="Y165" s="47"/>
      <c r="Z165" s="47"/>
    </row>
    <row r="166" spans="4:26" ht="15" customHeight="1">
      <c r="D166" s="17" t="str">
        <f>+IF($B$3="esp","Otros","Others")</f>
        <v>Others</v>
      </c>
      <c r="F166" s="18">
        <f>+[1]GRUPO!T144</f>
        <v>18.898774822326967</v>
      </c>
      <c r="G166" s="19">
        <f>+[1]GRUPO!U144</f>
        <v>13.393681141590802</v>
      </c>
      <c r="H166" s="20">
        <f t="shared" si="46"/>
        <v>41.10217066196568</v>
      </c>
      <c r="K166" s="18">
        <f>+[1]GRUPO!X144</f>
        <v>4.0454603837560406</v>
      </c>
      <c r="L166" s="19">
        <f>+[1]GRUPO!Y144</f>
        <v>3.7702750272113104</v>
      </c>
      <c r="M166" s="20">
        <f t="shared" si="47"/>
        <v>7.298813867917521</v>
      </c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spans="4:26" ht="15" customHeight="1">
      <c r="D167" s="17"/>
      <c r="F167" s="19"/>
      <c r="G167" s="19"/>
      <c r="H167" s="20"/>
      <c r="K167" s="19"/>
      <c r="L167" s="19"/>
      <c r="M167" s="20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spans="4:26" ht="15" customHeight="1">
      <c r="Q168" s="47"/>
      <c r="R168" s="47"/>
      <c r="S168" s="48"/>
      <c r="T168" s="49"/>
      <c r="U168" s="49"/>
      <c r="V168" s="47"/>
      <c r="W168" s="47"/>
      <c r="X168" s="48"/>
      <c r="Y168" s="49"/>
      <c r="Z168" s="49"/>
    </row>
    <row r="169" spans="4:26" s="13" customFormat="1" ht="15" customHeight="1">
      <c r="D169" s="17"/>
      <c r="E169" s="1"/>
      <c r="F169" s="19"/>
      <c r="G169" s="19"/>
      <c r="H169" s="20"/>
      <c r="K169" s="19"/>
      <c r="L169" s="19"/>
      <c r="M169" s="20"/>
      <c r="Q169" s="47"/>
      <c r="R169" s="47"/>
      <c r="S169" s="47"/>
      <c r="T169" s="47"/>
      <c r="U169" s="47"/>
      <c r="V169" s="52"/>
      <c r="W169" s="52"/>
      <c r="X169" s="47"/>
      <c r="Y169" s="47"/>
      <c r="Z169" s="47"/>
    </row>
    <row r="170" spans="4:26" ht="15" customHeight="1">
      <c r="D170" s="17"/>
      <c r="F170" s="19"/>
      <c r="G170" s="19"/>
      <c r="H170" s="20"/>
      <c r="K170" s="19"/>
      <c r="L170" s="19"/>
      <c r="M170" s="20"/>
      <c r="Q170" s="50"/>
      <c r="R170" s="47"/>
      <c r="S170" s="51"/>
      <c r="T170" s="51"/>
      <c r="U170" s="51"/>
      <c r="V170" s="47"/>
      <c r="W170" s="47"/>
      <c r="X170" s="51"/>
      <c r="Y170" s="51"/>
      <c r="Z170" s="51"/>
    </row>
    <row r="171" spans="4:26" ht="15" customHeight="1">
      <c r="Q171" s="59"/>
      <c r="R171" s="47"/>
      <c r="S171" s="47"/>
      <c r="T171" s="47"/>
      <c r="U171" s="47"/>
      <c r="V171" s="47"/>
      <c r="W171" s="47"/>
      <c r="X171" s="47"/>
      <c r="Y171" s="47"/>
      <c r="Z171" s="47"/>
    </row>
    <row r="172" spans="4:26" ht="15" customHeight="1">
      <c r="Q172" s="52"/>
      <c r="R172" s="52"/>
      <c r="S172" s="53"/>
      <c r="T172" s="53"/>
      <c r="U172" s="54"/>
      <c r="V172" s="47"/>
      <c r="W172" s="47"/>
      <c r="X172" s="53"/>
      <c r="Y172" s="53"/>
      <c r="Z172" s="54"/>
    </row>
    <row r="173" spans="4:26" ht="15" customHeight="1">
      <c r="Q173" s="55"/>
      <c r="R173" s="47"/>
      <c r="S173" s="56"/>
      <c r="T173" s="56"/>
      <c r="U173" s="57"/>
      <c r="V173" s="47"/>
      <c r="W173" s="47"/>
      <c r="X173" s="56"/>
      <c r="Y173" s="56"/>
      <c r="Z173" s="57"/>
    </row>
    <row r="174" spans="4:26" ht="15" customHeight="1">
      <c r="Q174" s="58"/>
      <c r="R174" s="47"/>
      <c r="S174" s="56"/>
      <c r="T174" s="56"/>
      <c r="U174" s="57"/>
      <c r="V174" s="47"/>
      <c r="W174" s="47"/>
      <c r="X174" s="56"/>
      <c r="Y174" s="56"/>
      <c r="Z174" s="57"/>
    </row>
    <row r="175" spans="4:26" ht="15" customHeight="1">
      <c r="Q175" s="58"/>
      <c r="R175" s="47"/>
      <c r="S175" s="56"/>
      <c r="T175" s="56"/>
      <c r="U175" s="57"/>
      <c r="V175" s="47"/>
      <c r="W175" s="47"/>
      <c r="X175" s="56"/>
      <c r="Y175" s="56"/>
      <c r="Z175" s="57"/>
    </row>
    <row r="176" spans="4:26" ht="15" customHeight="1">
      <c r="Q176" s="55"/>
      <c r="R176" s="47"/>
      <c r="S176" s="56"/>
      <c r="T176" s="56"/>
      <c r="U176" s="57"/>
      <c r="V176" s="47"/>
      <c r="W176" s="47"/>
      <c r="X176" s="56"/>
      <c r="Y176" s="56"/>
      <c r="Z176" s="57"/>
    </row>
    <row r="177" spans="17:27" ht="15" customHeight="1">
      <c r="Q177" s="55"/>
      <c r="R177" s="47"/>
      <c r="S177" s="56"/>
      <c r="T177" s="56"/>
      <c r="U177" s="57"/>
      <c r="V177" s="47"/>
      <c r="W177" s="47"/>
      <c r="X177" s="56"/>
      <c r="Y177" s="56"/>
      <c r="Z177" s="57"/>
    </row>
    <row r="178" spans="17:27" ht="15" customHeight="1"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spans="17:27" ht="15" customHeight="1">
      <c r="Q179" s="47"/>
      <c r="R179" s="47"/>
      <c r="S179" s="48"/>
      <c r="T179" s="49"/>
      <c r="U179" s="49"/>
      <c r="V179" s="47"/>
      <c r="W179" s="47"/>
      <c r="X179" s="48"/>
      <c r="Y179" s="49"/>
      <c r="Z179" s="49"/>
    </row>
    <row r="180" spans="17:27" ht="15" customHeight="1"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spans="17:27" ht="15" customHeight="1">
      <c r="Q181" s="50"/>
      <c r="R181" s="47"/>
      <c r="S181" s="51"/>
      <c r="T181" s="51"/>
      <c r="U181" s="51"/>
      <c r="V181" s="47"/>
      <c r="W181" s="47"/>
      <c r="X181" s="51"/>
      <c r="Y181" s="51"/>
      <c r="Z181" s="51"/>
    </row>
    <row r="182" spans="17:27" ht="15" customHeight="1">
      <c r="Q182" s="59"/>
      <c r="R182" s="47"/>
      <c r="S182" s="47"/>
      <c r="T182" s="47"/>
      <c r="U182" s="47"/>
      <c r="V182" s="47"/>
      <c r="W182" s="47"/>
      <c r="X182" s="47"/>
      <c r="Y182" s="47"/>
      <c r="Z182" s="47"/>
    </row>
    <row r="183" spans="17:27" ht="15" customHeight="1">
      <c r="Q183" s="52"/>
      <c r="R183" s="52"/>
      <c r="S183" s="53"/>
      <c r="T183" s="53"/>
      <c r="U183" s="54"/>
      <c r="V183" s="47"/>
      <c r="W183" s="47"/>
      <c r="X183" s="53"/>
      <c r="Y183" s="53"/>
      <c r="Z183" s="54"/>
      <c r="AA183" s="47"/>
    </row>
    <row r="184" spans="17:27" ht="15" customHeight="1">
      <c r="Q184" s="55"/>
      <c r="R184" s="47"/>
      <c r="S184" s="56"/>
      <c r="T184" s="56"/>
      <c r="U184" s="57"/>
      <c r="V184" s="47"/>
      <c r="W184" s="47"/>
      <c r="X184" s="56"/>
      <c r="Y184" s="56"/>
      <c r="Z184" s="57"/>
      <c r="AA184" s="47"/>
    </row>
    <row r="185" spans="17:27" ht="15" customHeight="1">
      <c r="Q185" s="58"/>
      <c r="R185" s="47"/>
      <c r="S185" s="56"/>
      <c r="T185" s="56"/>
      <c r="U185" s="57"/>
      <c r="V185" s="47"/>
      <c r="W185" s="47"/>
      <c r="X185" s="56"/>
      <c r="Y185" s="56"/>
      <c r="Z185" s="57"/>
      <c r="AA185" s="47"/>
    </row>
    <row r="186" spans="17:27" ht="15" customHeight="1">
      <c r="Q186" s="58"/>
      <c r="R186" s="47"/>
      <c r="S186" s="56"/>
      <c r="T186" s="56"/>
      <c r="U186" s="57"/>
      <c r="V186" s="47"/>
      <c r="W186" s="47"/>
      <c r="X186" s="56"/>
      <c r="Y186" s="56"/>
      <c r="Z186" s="57"/>
      <c r="AA186" s="47"/>
    </row>
    <row r="187" spans="17:27" ht="15" customHeight="1">
      <c r="Q187" s="55"/>
      <c r="R187" s="47"/>
      <c r="S187" s="56"/>
      <c r="T187" s="56"/>
      <c r="U187" s="57"/>
      <c r="V187" s="47"/>
      <c r="W187" s="47"/>
      <c r="X187" s="56"/>
      <c r="Y187" s="56"/>
      <c r="Z187" s="57"/>
      <c r="AA187" s="47"/>
    </row>
    <row r="188" spans="17:27" ht="15" customHeight="1">
      <c r="Q188" s="55"/>
      <c r="R188" s="47"/>
      <c r="S188" s="56"/>
      <c r="T188" s="56"/>
      <c r="U188" s="57"/>
      <c r="V188" s="47"/>
      <c r="W188" s="47"/>
      <c r="X188" s="56"/>
      <c r="Y188" s="56"/>
      <c r="Z188" s="57"/>
      <c r="AA188" s="47"/>
    </row>
    <row r="189" spans="17:27"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</row>
    <row r="190" spans="17:27"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</row>
    <row r="191" spans="17:27"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</row>
    <row r="192" spans="17:27"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</row>
    <row r="193" spans="17:27"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</row>
    <row r="194" spans="17:27"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Guelbenzu Robles, Belen</dc:creator>
  <cp:lastModifiedBy>Guelbenzu Robles, Belen</cp:lastModifiedBy>
  <dcterms:created xsi:type="dcterms:W3CDTF">2018-10-30T10:58:56Z</dcterms:created>
  <dcterms:modified xsi:type="dcterms:W3CDTF">2018-10-30T11:01:37Z</dcterms:modified>
</cp:coreProperties>
</file>