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CIÓN CON INVERSORES\NEW\RESULTS\2018\4T\Doc DEF\"/>
    </mc:Choice>
  </mc:AlternateContent>
  <xr:revisionPtr revIDLastSave="0" documentId="13_ncr:1_{34F21599-8D7B-4142-96DA-1620D09B8567}" xr6:coauthVersionLast="40" xr6:coauthVersionMax="40" xr10:uidLastSave="{00000000-0000-0000-0000-000000000000}"/>
  <bookViews>
    <workbookView xWindow="-120" yWindow="-120" windowWidth="29040" windowHeight="15840" xr2:uid="{D687AA64-0A5D-4537-809D-D3528FBECF07}"/>
  </bookViews>
  <sheets>
    <sheet name="PRISA FY201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87" i="1" l="1"/>
  <c r="X187" i="1"/>
  <c r="T187" i="1"/>
  <c r="S187" i="1"/>
  <c r="Q187" i="1"/>
  <c r="Y186" i="1"/>
  <c r="Z186" i="1" s="1"/>
  <c r="X186" i="1"/>
  <c r="T186" i="1"/>
  <c r="S186" i="1"/>
  <c r="U186" i="1" s="1"/>
  <c r="Q186" i="1"/>
  <c r="Y185" i="1"/>
  <c r="Z185" i="1" s="1"/>
  <c r="X185" i="1"/>
  <c r="T185" i="1"/>
  <c r="S185" i="1"/>
  <c r="Q185" i="1"/>
  <c r="Y184" i="1"/>
  <c r="X184" i="1"/>
  <c r="T184" i="1"/>
  <c r="S184" i="1"/>
  <c r="Q184" i="1"/>
  <c r="Y183" i="1"/>
  <c r="X183" i="1"/>
  <c r="T183" i="1"/>
  <c r="S183" i="1"/>
  <c r="U183" i="1" s="1"/>
  <c r="Q183" i="1"/>
  <c r="Q182" i="1"/>
  <c r="Z181" i="1"/>
  <c r="U181" i="1"/>
  <c r="Q181" i="1"/>
  <c r="Y176" i="1"/>
  <c r="Z176" i="1" s="1"/>
  <c r="X176" i="1"/>
  <c r="T176" i="1"/>
  <c r="S176" i="1"/>
  <c r="Q176" i="1"/>
  <c r="Y175" i="1"/>
  <c r="X175" i="1"/>
  <c r="T175" i="1"/>
  <c r="S175" i="1"/>
  <c r="Q175" i="1"/>
  <c r="Z174" i="1"/>
  <c r="Y174" i="1"/>
  <c r="X174" i="1"/>
  <c r="T174" i="1"/>
  <c r="U174" i="1" s="1"/>
  <c r="S174" i="1"/>
  <c r="Q174" i="1"/>
  <c r="Y173" i="1"/>
  <c r="X173" i="1"/>
  <c r="T173" i="1"/>
  <c r="S173" i="1"/>
  <c r="Q173" i="1"/>
  <c r="Y172" i="1"/>
  <c r="X172" i="1"/>
  <c r="T172" i="1"/>
  <c r="S172" i="1"/>
  <c r="Q172" i="1"/>
  <c r="Q171" i="1"/>
  <c r="Z170" i="1"/>
  <c r="U170" i="1"/>
  <c r="Q170" i="1"/>
  <c r="M166" i="1"/>
  <c r="L166" i="1"/>
  <c r="K166" i="1"/>
  <c r="H166" i="1"/>
  <c r="G166" i="1"/>
  <c r="F166" i="1"/>
  <c r="D166" i="1"/>
  <c r="L165" i="1"/>
  <c r="K165" i="1"/>
  <c r="G165" i="1"/>
  <c r="F165" i="1"/>
  <c r="D165" i="1"/>
  <c r="L164" i="1"/>
  <c r="K164" i="1"/>
  <c r="M164" i="1" s="1"/>
  <c r="G164" i="1"/>
  <c r="F164" i="1"/>
  <c r="D164" i="1"/>
  <c r="Y163" i="1"/>
  <c r="X163" i="1"/>
  <c r="Z163" i="1" s="1"/>
  <c r="T163" i="1"/>
  <c r="U163" i="1" s="1"/>
  <c r="S163" i="1"/>
  <c r="Q163" i="1"/>
  <c r="L163" i="1"/>
  <c r="M163" i="1" s="1"/>
  <c r="K163" i="1"/>
  <c r="G163" i="1"/>
  <c r="F163" i="1"/>
  <c r="D163" i="1"/>
  <c r="Y162" i="1"/>
  <c r="Z162" i="1" s="1"/>
  <c r="X162" i="1"/>
  <c r="T162" i="1"/>
  <c r="S162" i="1"/>
  <c r="U162" i="1" s="1"/>
  <c r="Q162" i="1"/>
  <c r="L162" i="1"/>
  <c r="K162" i="1"/>
  <c r="G162" i="1"/>
  <c r="H162" i="1" s="1"/>
  <c r="F162" i="1"/>
  <c r="D162" i="1"/>
  <c r="Y161" i="1"/>
  <c r="X161" i="1"/>
  <c r="T161" i="1"/>
  <c r="U161" i="1" s="1"/>
  <c r="S161" i="1"/>
  <c r="Q161" i="1"/>
  <c r="D161" i="1"/>
  <c r="Y160" i="1"/>
  <c r="X160" i="1"/>
  <c r="Z160" i="1" s="1"/>
  <c r="T160" i="1"/>
  <c r="S160" i="1"/>
  <c r="U160" i="1" s="1"/>
  <c r="Q160" i="1"/>
  <c r="M160" i="1"/>
  <c r="H160" i="1"/>
  <c r="D160" i="1"/>
  <c r="Y159" i="1"/>
  <c r="Z159" i="1" s="1"/>
  <c r="X159" i="1"/>
  <c r="T159" i="1"/>
  <c r="S159" i="1"/>
  <c r="U159" i="1" s="1"/>
  <c r="Q159" i="1"/>
  <c r="Q158" i="1"/>
  <c r="Z157" i="1"/>
  <c r="U157" i="1"/>
  <c r="Q157" i="1"/>
  <c r="Y152" i="1"/>
  <c r="Z152" i="1" s="1"/>
  <c r="X152" i="1"/>
  <c r="U152" i="1"/>
  <c r="T152" i="1"/>
  <c r="S152" i="1"/>
  <c r="Q152" i="1"/>
  <c r="L152" i="1"/>
  <c r="K152" i="1"/>
  <c r="G152" i="1"/>
  <c r="F152" i="1"/>
  <c r="H152" i="1" s="1"/>
  <c r="D152" i="1"/>
  <c r="Z151" i="1"/>
  <c r="Y151" i="1"/>
  <c r="X151" i="1"/>
  <c r="T151" i="1"/>
  <c r="U151" i="1" s="1"/>
  <c r="S151" i="1"/>
  <c r="Q151" i="1"/>
  <c r="L151" i="1"/>
  <c r="M151" i="1" s="1"/>
  <c r="K151" i="1"/>
  <c r="G151" i="1"/>
  <c r="H151" i="1" s="1"/>
  <c r="F151" i="1"/>
  <c r="D151" i="1"/>
  <c r="Y150" i="1"/>
  <c r="X150" i="1"/>
  <c r="T150" i="1"/>
  <c r="S150" i="1"/>
  <c r="Q150" i="1"/>
  <c r="M150" i="1"/>
  <c r="L150" i="1"/>
  <c r="K150" i="1"/>
  <c r="H150" i="1"/>
  <c r="G150" i="1"/>
  <c r="F150" i="1"/>
  <c r="D150" i="1"/>
  <c r="Y149" i="1"/>
  <c r="Z149" i="1" s="1"/>
  <c r="X149" i="1"/>
  <c r="T149" i="1"/>
  <c r="S149" i="1"/>
  <c r="Q149" i="1"/>
  <c r="L149" i="1"/>
  <c r="K149" i="1"/>
  <c r="G149" i="1"/>
  <c r="F149" i="1"/>
  <c r="H149" i="1" s="1"/>
  <c r="D149" i="1"/>
  <c r="Y148" i="1"/>
  <c r="X148" i="1"/>
  <c r="T148" i="1"/>
  <c r="S148" i="1"/>
  <c r="U148" i="1" s="1"/>
  <c r="Q148" i="1"/>
  <c r="L148" i="1"/>
  <c r="K148" i="1"/>
  <c r="G148" i="1"/>
  <c r="H148" i="1" s="1"/>
  <c r="F148" i="1"/>
  <c r="D148" i="1"/>
  <c r="Q147" i="1"/>
  <c r="D147" i="1"/>
  <c r="Z146" i="1"/>
  <c r="U146" i="1"/>
  <c r="Q146" i="1"/>
  <c r="M146" i="1"/>
  <c r="H146" i="1"/>
  <c r="D146" i="1"/>
  <c r="X144" i="1"/>
  <c r="X155" i="1" s="1"/>
  <c r="X168" i="1" s="1"/>
  <c r="X179" i="1" s="1"/>
  <c r="L138" i="1"/>
  <c r="K138" i="1"/>
  <c r="G138" i="1"/>
  <c r="F138" i="1"/>
  <c r="D138" i="1"/>
  <c r="L137" i="1"/>
  <c r="K137" i="1"/>
  <c r="M137" i="1" s="1"/>
  <c r="G137" i="1"/>
  <c r="F137" i="1"/>
  <c r="D137" i="1"/>
  <c r="L136" i="1"/>
  <c r="K136" i="1"/>
  <c r="G136" i="1"/>
  <c r="F136" i="1"/>
  <c r="H136" i="1" s="1"/>
  <c r="D136" i="1"/>
  <c r="L135" i="1"/>
  <c r="K135" i="1"/>
  <c r="G135" i="1"/>
  <c r="F135" i="1"/>
  <c r="D135" i="1"/>
  <c r="L134" i="1"/>
  <c r="M134" i="1" s="1"/>
  <c r="K134" i="1"/>
  <c r="G134" i="1"/>
  <c r="H134" i="1" s="1"/>
  <c r="F134" i="1"/>
  <c r="D134" i="1"/>
  <c r="L133" i="1"/>
  <c r="M133" i="1" s="1"/>
  <c r="K133" i="1"/>
  <c r="G133" i="1"/>
  <c r="F133" i="1"/>
  <c r="D133" i="1"/>
  <c r="L132" i="1"/>
  <c r="K132" i="1"/>
  <c r="G132" i="1"/>
  <c r="F132" i="1"/>
  <c r="H132" i="1" s="1"/>
  <c r="D132" i="1"/>
  <c r="M130" i="1"/>
  <c r="H130" i="1"/>
  <c r="D130" i="1"/>
  <c r="K128" i="1"/>
  <c r="K144" i="1" s="1"/>
  <c r="K158" i="1" s="1"/>
  <c r="BL125" i="1"/>
  <c r="BK125" i="1"/>
  <c r="BH125" i="1"/>
  <c r="BG125" i="1"/>
  <c r="BF125" i="1"/>
  <c r="BD125" i="1"/>
  <c r="AY125" i="1"/>
  <c r="AX125" i="1"/>
  <c r="AZ125" i="1" s="1"/>
  <c r="AT125" i="1"/>
  <c r="AS125" i="1"/>
  <c r="AQ125" i="1"/>
  <c r="AL125" i="1"/>
  <c r="AK125" i="1"/>
  <c r="AM125" i="1" s="1"/>
  <c r="AG125" i="1"/>
  <c r="AF125" i="1"/>
  <c r="AD125" i="1"/>
  <c r="Y125" i="1"/>
  <c r="X125" i="1"/>
  <c r="T125" i="1"/>
  <c r="U125" i="1" s="1"/>
  <c r="S125" i="1"/>
  <c r="Q125" i="1"/>
  <c r="L125" i="1"/>
  <c r="K125" i="1"/>
  <c r="M125" i="1" s="1"/>
  <c r="G125" i="1"/>
  <c r="F125" i="1"/>
  <c r="H125" i="1" s="1"/>
  <c r="D125" i="1"/>
  <c r="BL124" i="1"/>
  <c r="BK124" i="1"/>
  <c r="BM124" i="1" s="1"/>
  <c r="BG124" i="1"/>
  <c r="BH124" i="1" s="1"/>
  <c r="BF124" i="1"/>
  <c r="BD124" i="1"/>
  <c r="AY124" i="1"/>
  <c r="AZ124" i="1" s="1"/>
  <c r="AX124" i="1"/>
  <c r="AT124" i="1"/>
  <c r="AS124" i="1"/>
  <c r="AQ124" i="1"/>
  <c r="AL124" i="1"/>
  <c r="AM124" i="1" s="1"/>
  <c r="AK124" i="1"/>
  <c r="AG124" i="1"/>
  <c r="AF124" i="1"/>
  <c r="AD124" i="1"/>
  <c r="Y124" i="1"/>
  <c r="X124" i="1"/>
  <c r="T124" i="1"/>
  <c r="U124" i="1" s="1"/>
  <c r="S124" i="1"/>
  <c r="Q124" i="1"/>
  <c r="L124" i="1"/>
  <c r="K124" i="1"/>
  <c r="G124" i="1"/>
  <c r="F124" i="1"/>
  <c r="D124" i="1"/>
  <c r="BM123" i="1"/>
  <c r="BL123" i="1"/>
  <c r="BK123" i="1"/>
  <c r="BG123" i="1"/>
  <c r="BH123" i="1" s="1"/>
  <c r="BF123" i="1"/>
  <c r="BD123" i="1"/>
  <c r="AY123" i="1"/>
  <c r="AZ123" i="1" s="1"/>
  <c r="AX123" i="1"/>
  <c r="AT123" i="1"/>
  <c r="AU123" i="1" s="1"/>
  <c r="AS123" i="1"/>
  <c r="AQ123" i="1"/>
  <c r="AL123" i="1"/>
  <c r="AK123" i="1"/>
  <c r="AG123" i="1"/>
  <c r="AF123" i="1"/>
  <c r="AH123" i="1" s="1"/>
  <c r="AD123" i="1"/>
  <c r="Z123" i="1"/>
  <c r="Y123" i="1"/>
  <c r="X123" i="1"/>
  <c r="U123" i="1"/>
  <c r="T123" i="1"/>
  <c r="S123" i="1"/>
  <c r="Q123" i="1"/>
  <c r="L123" i="1"/>
  <c r="K123" i="1"/>
  <c r="G123" i="1"/>
  <c r="F123" i="1"/>
  <c r="D123" i="1"/>
  <c r="BL122" i="1"/>
  <c r="BM122" i="1" s="1"/>
  <c r="BK122" i="1"/>
  <c r="BG122" i="1"/>
  <c r="BF122" i="1"/>
  <c r="BD122" i="1"/>
  <c r="AY122" i="1"/>
  <c r="AX122" i="1"/>
  <c r="AU122" i="1"/>
  <c r="AT122" i="1"/>
  <c r="AS122" i="1"/>
  <c r="AQ122" i="1"/>
  <c r="AL122" i="1"/>
  <c r="AK122" i="1"/>
  <c r="AM122" i="1" s="1"/>
  <c r="AG122" i="1"/>
  <c r="AF122" i="1"/>
  <c r="AD122" i="1"/>
  <c r="Y122" i="1"/>
  <c r="X122" i="1"/>
  <c r="Z122" i="1" s="1"/>
  <c r="T122" i="1"/>
  <c r="S122" i="1"/>
  <c r="Q122" i="1"/>
  <c r="L122" i="1"/>
  <c r="K122" i="1"/>
  <c r="G122" i="1"/>
  <c r="H122" i="1" s="1"/>
  <c r="F122" i="1"/>
  <c r="D122" i="1"/>
  <c r="BL121" i="1"/>
  <c r="BK121" i="1"/>
  <c r="BM121" i="1" s="1"/>
  <c r="BG121" i="1"/>
  <c r="BF121" i="1"/>
  <c r="BH121" i="1" s="1"/>
  <c r="BD121" i="1"/>
  <c r="AY121" i="1"/>
  <c r="AX121" i="1"/>
  <c r="AZ121" i="1" s="1"/>
  <c r="AT121" i="1"/>
  <c r="AU121" i="1" s="1"/>
  <c r="AS121" i="1"/>
  <c r="AQ121" i="1"/>
  <c r="AL121" i="1"/>
  <c r="AM121" i="1" s="1"/>
  <c r="AK121" i="1"/>
  <c r="AG121" i="1"/>
  <c r="AF121" i="1"/>
  <c r="AD121" i="1"/>
  <c r="Y121" i="1"/>
  <c r="Z121" i="1" s="1"/>
  <c r="X121" i="1"/>
  <c r="T121" i="1"/>
  <c r="S121" i="1"/>
  <c r="Q121" i="1"/>
  <c r="L121" i="1"/>
  <c r="K121" i="1"/>
  <c r="G121" i="1"/>
  <c r="H121" i="1" s="1"/>
  <c r="F121" i="1"/>
  <c r="D121" i="1"/>
  <c r="BL120" i="1"/>
  <c r="BK120" i="1"/>
  <c r="BG120" i="1"/>
  <c r="BF120" i="1"/>
  <c r="BD120" i="1"/>
  <c r="AZ120" i="1"/>
  <c r="AY120" i="1"/>
  <c r="AX120" i="1"/>
  <c r="AT120" i="1"/>
  <c r="AU120" i="1" s="1"/>
  <c r="AS120" i="1"/>
  <c r="AQ120" i="1"/>
  <c r="AL120" i="1"/>
  <c r="AM120" i="1" s="1"/>
  <c r="AK120" i="1"/>
  <c r="AG120" i="1"/>
  <c r="AH120" i="1" s="1"/>
  <c r="AF120" i="1"/>
  <c r="AD120" i="1"/>
  <c r="Y120" i="1"/>
  <c r="X120" i="1"/>
  <c r="T120" i="1"/>
  <c r="S120" i="1"/>
  <c r="U120" i="1" s="1"/>
  <c r="Q120" i="1"/>
  <c r="M120" i="1"/>
  <c r="L120" i="1"/>
  <c r="K120" i="1"/>
  <c r="H120" i="1"/>
  <c r="G120" i="1"/>
  <c r="F120" i="1"/>
  <c r="D120" i="1"/>
  <c r="BL119" i="1"/>
  <c r="BK119" i="1"/>
  <c r="BG119" i="1"/>
  <c r="BF119" i="1"/>
  <c r="BD119" i="1"/>
  <c r="AY119" i="1"/>
  <c r="AZ119" i="1" s="1"/>
  <c r="AX119" i="1"/>
  <c r="AT119" i="1"/>
  <c r="AU119" i="1" s="1"/>
  <c r="AS119" i="1"/>
  <c r="AQ119" i="1"/>
  <c r="AL119" i="1"/>
  <c r="AK119" i="1"/>
  <c r="AH119" i="1"/>
  <c r="AG119" i="1"/>
  <c r="AF119" i="1"/>
  <c r="AD119" i="1"/>
  <c r="Y119" i="1"/>
  <c r="X119" i="1"/>
  <c r="Z119" i="1" s="1"/>
  <c r="T119" i="1"/>
  <c r="S119" i="1"/>
  <c r="Q119" i="1"/>
  <c r="L119" i="1"/>
  <c r="K119" i="1"/>
  <c r="M119" i="1" s="1"/>
  <c r="G119" i="1"/>
  <c r="F119" i="1"/>
  <c r="D119" i="1"/>
  <c r="BM117" i="1"/>
  <c r="BH117" i="1"/>
  <c r="BD117" i="1"/>
  <c r="AZ117" i="1"/>
  <c r="AU117" i="1"/>
  <c r="AQ117" i="1"/>
  <c r="AM117" i="1"/>
  <c r="AH117" i="1"/>
  <c r="AD117" i="1"/>
  <c r="Z117" i="1"/>
  <c r="U117" i="1"/>
  <c r="Q117" i="1"/>
  <c r="M117" i="1"/>
  <c r="H117" i="1"/>
  <c r="D117" i="1"/>
  <c r="AQ115" i="1"/>
  <c r="AF115" i="1"/>
  <c r="AD115" i="1"/>
  <c r="Q115" i="1"/>
  <c r="D115" i="1"/>
  <c r="BM102" i="1"/>
  <c r="BH102" i="1"/>
  <c r="BD102" i="1"/>
  <c r="AY102" i="1"/>
  <c r="AX102" i="1"/>
  <c r="AT102" i="1"/>
  <c r="AS102" i="1"/>
  <c r="AQ102" i="1"/>
  <c r="AL102" i="1"/>
  <c r="AK102" i="1"/>
  <c r="AG102" i="1"/>
  <c r="AF102" i="1"/>
  <c r="AD102" i="1"/>
  <c r="Z102" i="1"/>
  <c r="Y102" i="1"/>
  <c r="X102" i="1"/>
  <c r="U102" i="1"/>
  <c r="T102" i="1"/>
  <c r="S102" i="1"/>
  <c r="Q102" i="1"/>
  <c r="M102" i="1"/>
  <c r="H102" i="1"/>
  <c r="BM101" i="1"/>
  <c r="BL101" i="1"/>
  <c r="BK101" i="1"/>
  <c r="BG101" i="1"/>
  <c r="BH101" i="1" s="1"/>
  <c r="BF101" i="1"/>
  <c r="BD101" i="1"/>
  <c r="AY101" i="1"/>
  <c r="AZ101" i="1" s="1"/>
  <c r="AX101" i="1"/>
  <c r="AT101" i="1"/>
  <c r="AU101" i="1" s="1"/>
  <c r="AS101" i="1"/>
  <c r="AQ101" i="1"/>
  <c r="AL101" i="1"/>
  <c r="AK101" i="1"/>
  <c r="AG101" i="1"/>
  <c r="AH101" i="1" s="1"/>
  <c r="AF101" i="1"/>
  <c r="AD101" i="1"/>
  <c r="Y101" i="1"/>
  <c r="Z101" i="1" s="1"/>
  <c r="X101" i="1"/>
  <c r="T101" i="1"/>
  <c r="S101" i="1"/>
  <c r="Q101" i="1"/>
  <c r="L101" i="1"/>
  <c r="K101" i="1"/>
  <c r="G101" i="1"/>
  <c r="H101" i="1" s="1"/>
  <c r="F101" i="1"/>
  <c r="D101" i="1"/>
  <c r="BM100" i="1"/>
  <c r="BH100" i="1"/>
  <c r="L100" i="1"/>
  <c r="M100" i="1" s="1"/>
  <c r="K100" i="1"/>
  <c r="G100" i="1"/>
  <c r="F100" i="1"/>
  <c r="H100" i="1" s="1"/>
  <c r="D100" i="1"/>
  <c r="BM99" i="1"/>
  <c r="BH99" i="1"/>
  <c r="L99" i="1"/>
  <c r="K99" i="1"/>
  <c r="G99" i="1"/>
  <c r="H99" i="1" s="1"/>
  <c r="F99" i="1"/>
  <c r="D99" i="1"/>
  <c r="BM98" i="1"/>
  <c r="BH98" i="1"/>
  <c r="L98" i="1"/>
  <c r="M98" i="1" s="1"/>
  <c r="K98" i="1"/>
  <c r="G98" i="1"/>
  <c r="F98" i="1"/>
  <c r="H98" i="1" s="1"/>
  <c r="D98" i="1"/>
  <c r="BM97" i="1"/>
  <c r="BH97" i="1"/>
  <c r="Y97" i="1"/>
  <c r="X97" i="1"/>
  <c r="Z97" i="1" s="1"/>
  <c r="T97" i="1"/>
  <c r="S97" i="1"/>
  <c r="Q97" i="1"/>
  <c r="M97" i="1"/>
  <c r="H97" i="1"/>
  <c r="BL96" i="1"/>
  <c r="BK96" i="1"/>
  <c r="BG96" i="1"/>
  <c r="BF96" i="1"/>
  <c r="BD96" i="1"/>
  <c r="AY96" i="1"/>
  <c r="AX96" i="1"/>
  <c r="AT96" i="1"/>
  <c r="AS96" i="1"/>
  <c r="AQ96" i="1"/>
  <c r="AM96" i="1"/>
  <c r="AL96" i="1"/>
  <c r="AK96" i="1"/>
  <c r="AH96" i="1"/>
  <c r="AG96" i="1"/>
  <c r="AF96" i="1"/>
  <c r="AD96" i="1"/>
  <c r="Y96" i="1"/>
  <c r="Z96" i="1" s="1"/>
  <c r="X96" i="1"/>
  <c r="T96" i="1"/>
  <c r="S96" i="1"/>
  <c r="Q96" i="1"/>
  <c r="M96" i="1"/>
  <c r="H96" i="1"/>
  <c r="BL95" i="1"/>
  <c r="BM95" i="1" s="1"/>
  <c r="BK95" i="1"/>
  <c r="BG95" i="1"/>
  <c r="BH95" i="1" s="1"/>
  <c r="BF95" i="1"/>
  <c r="BD95" i="1"/>
  <c r="AY95" i="1"/>
  <c r="AX95" i="1"/>
  <c r="AT95" i="1"/>
  <c r="AU95" i="1" s="1"/>
  <c r="AS95" i="1"/>
  <c r="AQ95" i="1"/>
  <c r="AL95" i="1"/>
  <c r="AM95" i="1" s="1"/>
  <c r="AK95" i="1"/>
  <c r="AG95" i="1"/>
  <c r="AF95" i="1"/>
  <c r="AD95" i="1"/>
  <c r="Y95" i="1"/>
  <c r="X95" i="1"/>
  <c r="T95" i="1"/>
  <c r="U95" i="1" s="1"/>
  <c r="S95" i="1"/>
  <c r="Q95" i="1"/>
  <c r="L95" i="1"/>
  <c r="K95" i="1"/>
  <c r="G95" i="1"/>
  <c r="H95" i="1" s="1"/>
  <c r="F95" i="1"/>
  <c r="D95" i="1"/>
  <c r="BM94" i="1"/>
  <c r="BH94" i="1"/>
  <c r="L94" i="1"/>
  <c r="K94" i="1"/>
  <c r="G94" i="1"/>
  <c r="H94" i="1" s="1"/>
  <c r="F94" i="1"/>
  <c r="D94" i="1"/>
  <c r="BM93" i="1"/>
  <c r="BH93" i="1"/>
  <c r="L93" i="1"/>
  <c r="M93" i="1" s="1"/>
  <c r="K93" i="1"/>
  <c r="G93" i="1"/>
  <c r="F93" i="1"/>
  <c r="D93" i="1"/>
  <c r="BM92" i="1"/>
  <c r="BH92" i="1"/>
  <c r="M92" i="1"/>
  <c r="H92" i="1"/>
  <c r="BM91" i="1"/>
  <c r="BH91" i="1"/>
  <c r="M91" i="1"/>
  <c r="L91" i="1"/>
  <c r="K91" i="1"/>
  <c r="H91" i="1"/>
  <c r="G91" i="1"/>
  <c r="F91" i="1"/>
  <c r="D91" i="1"/>
  <c r="BM90" i="1"/>
  <c r="BH90" i="1"/>
  <c r="X90" i="1"/>
  <c r="Q90" i="1"/>
  <c r="L90" i="1"/>
  <c r="M90" i="1" s="1"/>
  <c r="K90" i="1"/>
  <c r="G90" i="1"/>
  <c r="F90" i="1"/>
  <c r="D90" i="1"/>
  <c r="BL89" i="1"/>
  <c r="BM89" i="1" s="1"/>
  <c r="BK89" i="1"/>
  <c r="BG89" i="1"/>
  <c r="BH89" i="1" s="1"/>
  <c r="BF89" i="1"/>
  <c r="BD89" i="1"/>
  <c r="AY89" i="1"/>
  <c r="AZ89" i="1" s="1"/>
  <c r="AX89" i="1"/>
  <c r="AT89" i="1"/>
  <c r="AU89" i="1" s="1"/>
  <c r="AS89" i="1"/>
  <c r="AQ89" i="1"/>
  <c r="AL89" i="1"/>
  <c r="AM89" i="1" s="1"/>
  <c r="AK89" i="1"/>
  <c r="AG89" i="1"/>
  <c r="AH89" i="1" s="1"/>
  <c r="AF89" i="1"/>
  <c r="AD89" i="1"/>
  <c r="Y89" i="1"/>
  <c r="Y90" i="1" s="1"/>
  <c r="X89" i="1"/>
  <c r="T89" i="1"/>
  <c r="U89" i="1" s="1"/>
  <c r="S89" i="1"/>
  <c r="S90" i="1" s="1"/>
  <c r="Q89" i="1"/>
  <c r="M89" i="1"/>
  <c r="L89" i="1"/>
  <c r="K89" i="1"/>
  <c r="G89" i="1"/>
  <c r="F89" i="1"/>
  <c r="D89" i="1"/>
  <c r="BD88" i="1"/>
  <c r="AQ88" i="1"/>
  <c r="AD88" i="1"/>
  <c r="Q88" i="1"/>
  <c r="D88" i="1"/>
  <c r="BM87" i="1"/>
  <c r="BH87" i="1"/>
  <c r="BD87" i="1"/>
  <c r="AZ87" i="1"/>
  <c r="AU87" i="1"/>
  <c r="AQ87" i="1"/>
  <c r="AM87" i="1"/>
  <c r="AH87" i="1"/>
  <c r="AD87" i="1"/>
  <c r="Z87" i="1"/>
  <c r="U87" i="1"/>
  <c r="Q87" i="1"/>
  <c r="M87" i="1"/>
  <c r="H87" i="1"/>
  <c r="D87" i="1"/>
  <c r="L80" i="1"/>
  <c r="M80" i="1" s="1"/>
  <c r="K80" i="1"/>
  <c r="G80" i="1"/>
  <c r="F80" i="1"/>
  <c r="D80" i="1"/>
  <c r="L79" i="1"/>
  <c r="M79" i="1" s="1"/>
  <c r="K79" i="1"/>
  <c r="G79" i="1"/>
  <c r="F79" i="1"/>
  <c r="D79" i="1"/>
  <c r="AK78" i="1"/>
  <c r="AF78" i="1"/>
  <c r="AD78" i="1"/>
  <c r="L78" i="1"/>
  <c r="M78" i="1" s="1"/>
  <c r="K78" i="1"/>
  <c r="G78" i="1"/>
  <c r="F78" i="1"/>
  <c r="D78" i="1"/>
  <c r="AL77" i="1"/>
  <c r="AK77" i="1"/>
  <c r="AG77" i="1"/>
  <c r="AH77" i="1" s="1"/>
  <c r="AF77" i="1"/>
  <c r="AD77" i="1"/>
  <c r="L77" i="1"/>
  <c r="K77" i="1"/>
  <c r="G77" i="1"/>
  <c r="H77" i="1" s="1"/>
  <c r="F77" i="1"/>
  <c r="D77" i="1"/>
  <c r="AL76" i="1"/>
  <c r="AK76" i="1"/>
  <c r="AM76" i="1" s="1"/>
  <c r="AG76" i="1"/>
  <c r="AF76" i="1"/>
  <c r="AD76" i="1"/>
  <c r="L76" i="1"/>
  <c r="K76" i="1"/>
  <c r="G76" i="1"/>
  <c r="F76" i="1"/>
  <c r="D76" i="1"/>
  <c r="AL75" i="1"/>
  <c r="AK75" i="1"/>
  <c r="AG75" i="1"/>
  <c r="AF75" i="1"/>
  <c r="AD75" i="1"/>
  <c r="L75" i="1"/>
  <c r="K75" i="1"/>
  <c r="M75" i="1" s="1"/>
  <c r="G75" i="1"/>
  <c r="H75" i="1" s="1"/>
  <c r="F75" i="1"/>
  <c r="D75" i="1"/>
  <c r="AM74" i="1"/>
  <c r="AL74" i="1"/>
  <c r="AK74" i="1"/>
  <c r="AG74" i="1"/>
  <c r="AH74" i="1" s="1"/>
  <c r="AF74" i="1"/>
  <c r="AD74" i="1"/>
  <c r="L74" i="1"/>
  <c r="M74" i="1" s="1"/>
  <c r="K74" i="1"/>
  <c r="G74" i="1"/>
  <c r="F74" i="1"/>
  <c r="D74" i="1"/>
  <c r="AL73" i="1"/>
  <c r="AK73" i="1"/>
  <c r="AG73" i="1"/>
  <c r="AH73" i="1" s="1"/>
  <c r="AF73" i="1"/>
  <c r="AD73" i="1"/>
  <c r="L73" i="1"/>
  <c r="K73" i="1"/>
  <c r="H73" i="1"/>
  <c r="G73" i="1"/>
  <c r="F73" i="1"/>
  <c r="D73" i="1"/>
  <c r="AL72" i="1"/>
  <c r="AK72" i="1"/>
  <c r="AG72" i="1"/>
  <c r="AF72" i="1"/>
  <c r="AD72" i="1"/>
  <c r="L72" i="1"/>
  <c r="M72" i="1" s="1"/>
  <c r="K72" i="1"/>
  <c r="G72" i="1"/>
  <c r="H72" i="1" s="1"/>
  <c r="F72" i="1"/>
  <c r="D72" i="1"/>
  <c r="AM71" i="1"/>
  <c r="AL71" i="1"/>
  <c r="AK71" i="1"/>
  <c r="AG71" i="1"/>
  <c r="AH71" i="1" s="1"/>
  <c r="AF71" i="1"/>
  <c r="AD71" i="1"/>
  <c r="Y71" i="1"/>
  <c r="X71" i="1"/>
  <c r="T71" i="1"/>
  <c r="S71" i="1"/>
  <c r="Q71" i="1"/>
  <c r="L71" i="1"/>
  <c r="K71" i="1"/>
  <c r="G71" i="1"/>
  <c r="F71" i="1"/>
  <c r="D71" i="1"/>
  <c r="AM70" i="1"/>
  <c r="AL70" i="1"/>
  <c r="AK70" i="1"/>
  <c r="AG70" i="1"/>
  <c r="AF70" i="1"/>
  <c r="AH70" i="1" s="1"/>
  <c r="AD70" i="1"/>
  <c r="Y70" i="1"/>
  <c r="X70" i="1"/>
  <c r="T70" i="1"/>
  <c r="S70" i="1"/>
  <c r="Q70" i="1"/>
  <c r="L70" i="1"/>
  <c r="K70" i="1"/>
  <c r="G70" i="1"/>
  <c r="H70" i="1" s="1"/>
  <c r="F70" i="1"/>
  <c r="D70" i="1"/>
  <c r="AL69" i="1"/>
  <c r="AK69" i="1"/>
  <c r="AG69" i="1"/>
  <c r="AF69" i="1"/>
  <c r="AH69" i="1" s="1"/>
  <c r="AD69" i="1"/>
  <c r="Y69" i="1"/>
  <c r="X69" i="1"/>
  <c r="T69" i="1"/>
  <c r="S69" i="1"/>
  <c r="Q69" i="1"/>
  <c r="L69" i="1"/>
  <c r="M69" i="1" s="1"/>
  <c r="K69" i="1"/>
  <c r="G69" i="1"/>
  <c r="F69" i="1"/>
  <c r="D69" i="1"/>
  <c r="AL68" i="1"/>
  <c r="AK68" i="1"/>
  <c r="AG68" i="1"/>
  <c r="AF68" i="1"/>
  <c r="AD68" i="1"/>
  <c r="Y68" i="1"/>
  <c r="X68" i="1"/>
  <c r="T68" i="1"/>
  <c r="S68" i="1"/>
  <c r="Q68" i="1"/>
  <c r="L68" i="1"/>
  <c r="M68" i="1" s="1"/>
  <c r="K68" i="1"/>
  <c r="G68" i="1"/>
  <c r="H68" i="1" s="1"/>
  <c r="F68" i="1"/>
  <c r="D68" i="1"/>
  <c r="AL67" i="1"/>
  <c r="AM67" i="1" s="1"/>
  <c r="AK67" i="1"/>
  <c r="AG67" i="1"/>
  <c r="AH67" i="1" s="1"/>
  <c r="AF67" i="1"/>
  <c r="AD67" i="1"/>
  <c r="Y67" i="1"/>
  <c r="Z67" i="1" s="1"/>
  <c r="X67" i="1"/>
  <c r="T67" i="1"/>
  <c r="S67" i="1"/>
  <c r="Q67" i="1"/>
  <c r="L67" i="1"/>
  <c r="K67" i="1"/>
  <c r="G67" i="1"/>
  <c r="H67" i="1" s="1"/>
  <c r="F67" i="1"/>
  <c r="D67" i="1"/>
  <c r="AL66" i="1"/>
  <c r="AK66" i="1"/>
  <c r="AG66" i="1"/>
  <c r="AH66" i="1" s="1"/>
  <c r="AF66" i="1"/>
  <c r="AD66" i="1"/>
  <c r="Z66" i="1"/>
  <c r="Y66" i="1"/>
  <c r="X66" i="1"/>
  <c r="T66" i="1"/>
  <c r="U66" i="1" s="1"/>
  <c r="S66" i="1"/>
  <c r="Q66" i="1"/>
  <c r="L66" i="1"/>
  <c r="M66" i="1" s="1"/>
  <c r="K66" i="1"/>
  <c r="G66" i="1"/>
  <c r="H66" i="1" s="1"/>
  <c r="F66" i="1"/>
  <c r="D66" i="1"/>
  <c r="AL65" i="1"/>
  <c r="AK65" i="1"/>
  <c r="AG65" i="1"/>
  <c r="AF65" i="1"/>
  <c r="AD65" i="1"/>
  <c r="Y65" i="1"/>
  <c r="X65" i="1"/>
  <c r="T65" i="1"/>
  <c r="S65" i="1"/>
  <c r="Q65" i="1"/>
  <c r="L65" i="1"/>
  <c r="K65" i="1"/>
  <c r="G65" i="1"/>
  <c r="F65" i="1"/>
  <c r="D65" i="1"/>
  <c r="AL64" i="1"/>
  <c r="AK64" i="1"/>
  <c r="AG64" i="1"/>
  <c r="AF64" i="1"/>
  <c r="AD64" i="1"/>
  <c r="Y64" i="1"/>
  <c r="X64" i="1"/>
  <c r="Z64" i="1" s="1"/>
  <c r="T64" i="1"/>
  <c r="S64" i="1"/>
  <c r="U64" i="1" s="1"/>
  <c r="Q64" i="1"/>
  <c r="L64" i="1"/>
  <c r="M64" i="1" s="1"/>
  <c r="K64" i="1"/>
  <c r="G64" i="1"/>
  <c r="H64" i="1" s="1"/>
  <c r="F64" i="1"/>
  <c r="D64" i="1"/>
  <c r="AL63" i="1"/>
  <c r="AM63" i="1" s="1"/>
  <c r="AK63" i="1"/>
  <c r="AG63" i="1"/>
  <c r="AH63" i="1" s="1"/>
  <c r="AF63" i="1"/>
  <c r="AD63" i="1"/>
  <c r="Y63" i="1"/>
  <c r="Z63" i="1" s="1"/>
  <c r="X63" i="1"/>
  <c r="T63" i="1"/>
  <c r="S63" i="1"/>
  <c r="U63" i="1" s="1"/>
  <c r="Q63" i="1"/>
  <c r="L63" i="1"/>
  <c r="K63" i="1"/>
  <c r="G63" i="1"/>
  <c r="H63" i="1" s="1"/>
  <c r="F63" i="1"/>
  <c r="D63" i="1"/>
  <c r="AL62" i="1"/>
  <c r="AK62" i="1"/>
  <c r="AG62" i="1"/>
  <c r="AH62" i="1" s="1"/>
  <c r="AF62" i="1"/>
  <c r="AD62" i="1"/>
  <c r="Z62" i="1"/>
  <c r="Y62" i="1"/>
  <c r="X62" i="1"/>
  <c r="T62" i="1"/>
  <c r="U62" i="1" s="1"/>
  <c r="S62" i="1"/>
  <c r="Q62" i="1"/>
  <c r="L62" i="1"/>
  <c r="M62" i="1" s="1"/>
  <c r="K62" i="1"/>
  <c r="G62" i="1"/>
  <c r="H62" i="1" s="1"/>
  <c r="F62" i="1"/>
  <c r="D62" i="1"/>
  <c r="AL61" i="1"/>
  <c r="AK61" i="1"/>
  <c r="AG61" i="1"/>
  <c r="AF61" i="1"/>
  <c r="AD61" i="1"/>
  <c r="Z61" i="1"/>
  <c r="Y61" i="1"/>
  <c r="X61" i="1"/>
  <c r="T61" i="1"/>
  <c r="S61" i="1"/>
  <c r="U61" i="1" s="1"/>
  <c r="Q61" i="1"/>
  <c r="L61" i="1"/>
  <c r="K61" i="1"/>
  <c r="G61" i="1"/>
  <c r="F61" i="1"/>
  <c r="D61" i="1"/>
  <c r="AL60" i="1"/>
  <c r="AK60" i="1"/>
  <c r="AG60" i="1"/>
  <c r="AF60" i="1"/>
  <c r="AD60" i="1"/>
  <c r="Y60" i="1"/>
  <c r="X60" i="1"/>
  <c r="T60" i="1"/>
  <c r="S60" i="1"/>
  <c r="U60" i="1" s="1"/>
  <c r="Q60" i="1"/>
  <c r="L60" i="1"/>
  <c r="K60" i="1"/>
  <c r="G60" i="1"/>
  <c r="F60" i="1"/>
  <c r="D60" i="1"/>
  <c r="AL59" i="1"/>
  <c r="AM59" i="1" s="1"/>
  <c r="AK59" i="1"/>
  <c r="AG59" i="1"/>
  <c r="AF59" i="1"/>
  <c r="AD59" i="1"/>
  <c r="Y59" i="1"/>
  <c r="X59" i="1"/>
  <c r="T59" i="1"/>
  <c r="S59" i="1"/>
  <c r="Q59" i="1"/>
  <c r="L59" i="1"/>
  <c r="K59" i="1"/>
  <c r="M59" i="1" s="1"/>
  <c r="G59" i="1"/>
  <c r="F59" i="1"/>
  <c r="H59" i="1" s="1"/>
  <c r="D59" i="1"/>
  <c r="AY58" i="1"/>
  <c r="AX58" i="1"/>
  <c r="AT58" i="1"/>
  <c r="AS58" i="1"/>
  <c r="AQ58" i="1"/>
  <c r="AL58" i="1"/>
  <c r="AK58" i="1"/>
  <c r="AG58" i="1"/>
  <c r="AF58" i="1"/>
  <c r="AH58" i="1" s="1"/>
  <c r="AD58" i="1"/>
  <c r="Y58" i="1"/>
  <c r="X58" i="1"/>
  <c r="Z58" i="1" s="1"/>
  <c r="T58" i="1"/>
  <c r="S58" i="1"/>
  <c r="Q58" i="1"/>
  <c r="L58" i="1"/>
  <c r="M58" i="1" s="1"/>
  <c r="K58" i="1"/>
  <c r="G58" i="1"/>
  <c r="H58" i="1" s="1"/>
  <c r="F58" i="1"/>
  <c r="D58" i="1"/>
  <c r="BL57" i="1"/>
  <c r="BK57" i="1"/>
  <c r="BG57" i="1"/>
  <c r="BF57" i="1"/>
  <c r="BD57" i="1"/>
  <c r="AY57" i="1"/>
  <c r="AZ57" i="1" s="1"/>
  <c r="AX57" i="1"/>
  <c r="AT57" i="1"/>
  <c r="AS57" i="1"/>
  <c r="AQ57" i="1"/>
  <c r="AL57" i="1"/>
  <c r="AM57" i="1" s="1"/>
  <c r="AK57" i="1"/>
  <c r="AG57" i="1"/>
  <c r="AF57" i="1"/>
  <c r="AD57" i="1"/>
  <c r="Y57" i="1"/>
  <c r="X57" i="1"/>
  <c r="T57" i="1"/>
  <c r="U57" i="1" s="1"/>
  <c r="S57" i="1"/>
  <c r="Q57" i="1"/>
  <c r="L57" i="1"/>
  <c r="K57" i="1"/>
  <c r="G57" i="1"/>
  <c r="F57" i="1"/>
  <c r="D57" i="1"/>
  <c r="BM56" i="1"/>
  <c r="BL56" i="1"/>
  <c r="BK56" i="1"/>
  <c r="BH56" i="1"/>
  <c r="BG56" i="1"/>
  <c r="BF56" i="1"/>
  <c r="BD56" i="1"/>
  <c r="AY56" i="1"/>
  <c r="AX56" i="1"/>
  <c r="AT56" i="1"/>
  <c r="AS56" i="1"/>
  <c r="AQ56" i="1"/>
  <c r="AL56" i="1"/>
  <c r="AK56" i="1"/>
  <c r="AG56" i="1"/>
  <c r="AF56" i="1"/>
  <c r="AD56" i="1"/>
  <c r="Y56" i="1"/>
  <c r="Z56" i="1" s="1"/>
  <c r="X56" i="1"/>
  <c r="T56" i="1"/>
  <c r="S56" i="1"/>
  <c r="Q56" i="1"/>
  <c r="L56" i="1"/>
  <c r="K56" i="1"/>
  <c r="H56" i="1"/>
  <c r="G56" i="1"/>
  <c r="F56" i="1"/>
  <c r="D56" i="1"/>
  <c r="BL55" i="1"/>
  <c r="BK55" i="1"/>
  <c r="BG55" i="1"/>
  <c r="BF55" i="1"/>
  <c r="BD55" i="1"/>
  <c r="AY55" i="1"/>
  <c r="AZ55" i="1" s="1"/>
  <c r="AX55" i="1"/>
  <c r="AT55" i="1"/>
  <c r="AS55" i="1"/>
  <c r="AQ55" i="1"/>
  <c r="AD55" i="1"/>
  <c r="Y55" i="1"/>
  <c r="X55" i="1"/>
  <c r="T55" i="1"/>
  <c r="S55" i="1"/>
  <c r="Q55" i="1"/>
  <c r="L55" i="1"/>
  <c r="M55" i="1" s="1"/>
  <c r="K55" i="1"/>
  <c r="G55" i="1"/>
  <c r="H55" i="1" s="1"/>
  <c r="F55" i="1"/>
  <c r="D55" i="1"/>
  <c r="BL54" i="1"/>
  <c r="BM54" i="1" s="1"/>
  <c r="BK54" i="1"/>
  <c r="BG54" i="1"/>
  <c r="BF54" i="1"/>
  <c r="BD54" i="1"/>
  <c r="AZ54" i="1"/>
  <c r="AY54" i="1"/>
  <c r="AX54" i="1"/>
  <c r="AT54" i="1"/>
  <c r="AS54" i="1"/>
  <c r="AQ54" i="1"/>
  <c r="AM54" i="1"/>
  <c r="AH54" i="1"/>
  <c r="Z54" i="1"/>
  <c r="Y54" i="1"/>
  <c r="X54" i="1"/>
  <c r="T54" i="1"/>
  <c r="U54" i="1" s="1"/>
  <c r="S54" i="1"/>
  <c r="Q54" i="1"/>
  <c r="L54" i="1"/>
  <c r="M54" i="1" s="1"/>
  <c r="K54" i="1"/>
  <c r="G54" i="1"/>
  <c r="F54" i="1"/>
  <c r="D54" i="1"/>
  <c r="BL53" i="1"/>
  <c r="BM53" i="1" s="1"/>
  <c r="BK53" i="1"/>
  <c r="BG53" i="1"/>
  <c r="BH53" i="1" s="1"/>
  <c r="BF53" i="1"/>
  <c r="BD53" i="1"/>
  <c r="AY53" i="1"/>
  <c r="AX53" i="1"/>
  <c r="AU53" i="1"/>
  <c r="AT53" i="1"/>
  <c r="AS53" i="1"/>
  <c r="AQ53" i="1"/>
  <c r="Y53" i="1"/>
  <c r="Z53" i="1" s="1"/>
  <c r="X53" i="1"/>
  <c r="T53" i="1"/>
  <c r="S53" i="1"/>
  <c r="Q53" i="1"/>
  <c r="L53" i="1"/>
  <c r="K53" i="1"/>
  <c r="G53" i="1"/>
  <c r="F53" i="1"/>
  <c r="D53" i="1"/>
  <c r="BL52" i="1"/>
  <c r="BK52" i="1"/>
  <c r="BG52" i="1"/>
  <c r="BF52" i="1"/>
  <c r="BH52" i="1" s="1"/>
  <c r="BD52" i="1"/>
  <c r="AY52" i="1"/>
  <c r="AZ52" i="1" s="1"/>
  <c r="AX52" i="1"/>
  <c r="AT52" i="1"/>
  <c r="AU52" i="1" s="1"/>
  <c r="AS52" i="1"/>
  <c r="AQ52" i="1"/>
  <c r="AL52" i="1"/>
  <c r="AK52" i="1"/>
  <c r="AM52" i="1" s="1"/>
  <c r="AG52" i="1"/>
  <c r="AH52" i="1" s="1"/>
  <c r="AF52" i="1"/>
  <c r="AD52" i="1"/>
  <c r="Y52" i="1"/>
  <c r="X52" i="1"/>
  <c r="T52" i="1"/>
  <c r="S52" i="1"/>
  <c r="Q52" i="1"/>
  <c r="L52" i="1"/>
  <c r="M52" i="1" s="1"/>
  <c r="K52" i="1"/>
  <c r="H52" i="1"/>
  <c r="G52" i="1"/>
  <c r="F52" i="1"/>
  <c r="D52" i="1"/>
  <c r="BL51" i="1"/>
  <c r="BK51" i="1"/>
  <c r="BM51" i="1" s="1"/>
  <c r="BG51" i="1"/>
  <c r="BF51" i="1"/>
  <c r="BH51" i="1" s="1"/>
  <c r="BD51" i="1"/>
  <c r="AY51" i="1"/>
  <c r="AZ51" i="1" s="1"/>
  <c r="AX51" i="1"/>
  <c r="AT51" i="1"/>
  <c r="AU51" i="1" s="1"/>
  <c r="AS51" i="1"/>
  <c r="AQ51" i="1"/>
  <c r="AL51" i="1"/>
  <c r="AK51" i="1"/>
  <c r="AG51" i="1"/>
  <c r="AF51" i="1"/>
  <c r="AD51" i="1"/>
  <c r="Z51" i="1"/>
  <c r="Y51" i="1"/>
  <c r="X51" i="1"/>
  <c r="T51" i="1"/>
  <c r="U51" i="1" s="1"/>
  <c r="S51" i="1"/>
  <c r="Q51" i="1"/>
  <c r="L51" i="1"/>
  <c r="M51" i="1" s="1"/>
  <c r="K51" i="1"/>
  <c r="G51" i="1"/>
  <c r="F51" i="1"/>
  <c r="D51" i="1"/>
  <c r="BL50" i="1"/>
  <c r="BM50" i="1" s="1"/>
  <c r="BK50" i="1"/>
  <c r="BG50" i="1"/>
  <c r="BH50" i="1" s="1"/>
  <c r="BF50" i="1"/>
  <c r="BD50" i="1"/>
  <c r="AY50" i="1"/>
  <c r="AX50" i="1"/>
  <c r="AU50" i="1"/>
  <c r="AT50" i="1"/>
  <c r="AS50" i="1"/>
  <c r="AQ50" i="1"/>
  <c r="AL50" i="1"/>
  <c r="AM50" i="1" s="1"/>
  <c r="AK50" i="1"/>
  <c r="AG50" i="1"/>
  <c r="AF50" i="1"/>
  <c r="AD50" i="1"/>
  <c r="Y50" i="1"/>
  <c r="X50" i="1"/>
  <c r="T50" i="1"/>
  <c r="S50" i="1"/>
  <c r="Q50" i="1"/>
  <c r="L50" i="1"/>
  <c r="K50" i="1"/>
  <c r="M50" i="1" s="1"/>
  <c r="G50" i="1"/>
  <c r="F50" i="1"/>
  <c r="D50" i="1"/>
  <c r="BD49" i="1"/>
  <c r="AQ49" i="1"/>
  <c r="AL49" i="1"/>
  <c r="AM49" i="1" s="1"/>
  <c r="AK49" i="1"/>
  <c r="AG49" i="1"/>
  <c r="AF49" i="1"/>
  <c r="AD49" i="1"/>
  <c r="Q49" i="1"/>
  <c r="D49" i="1"/>
  <c r="BM48" i="1"/>
  <c r="BH48" i="1"/>
  <c r="AZ48" i="1"/>
  <c r="AU48" i="1"/>
  <c r="AL48" i="1"/>
  <c r="AK48" i="1"/>
  <c r="AG48" i="1"/>
  <c r="AH48" i="1" s="1"/>
  <c r="AF48" i="1"/>
  <c r="AD48" i="1"/>
  <c r="Z48" i="1"/>
  <c r="U48" i="1"/>
  <c r="M48" i="1"/>
  <c r="H48" i="1"/>
  <c r="AL47" i="1"/>
  <c r="AK47" i="1"/>
  <c r="AG47" i="1"/>
  <c r="AF47" i="1"/>
  <c r="AD47" i="1"/>
  <c r="AL46" i="1"/>
  <c r="AK46" i="1"/>
  <c r="AM46" i="1" s="1"/>
  <c r="AG46" i="1"/>
  <c r="AF46" i="1"/>
  <c r="AD46" i="1"/>
  <c r="Y46" i="1"/>
  <c r="X46" i="1"/>
  <c r="T46" i="1"/>
  <c r="S46" i="1"/>
  <c r="Q46" i="1"/>
  <c r="L46" i="1"/>
  <c r="K46" i="1"/>
  <c r="G46" i="1"/>
  <c r="F46" i="1"/>
  <c r="D46" i="1"/>
  <c r="AL45" i="1"/>
  <c r="AM45" i="1" s="1"/>
  <c r="AK45" i="1"/>
  <c r="AG45" i="1"/>
  <c r="AF45" i="1"/>
  <c r="AD45" i="1"/>
  <c r="Y45" i="1"/>
  <c r="X45" i="1"/>
  <c r="T45" i="1"/>
  <c r="S45" i="1"/>
  <c r="Q45" i="1"/>
  <c r="M45" i="1"/>
  <c r="L45" i="1"/>
  <c r="K45" i="1"/>
  <c r="G45" i="1"/>
  <c r="F45" i="1"/>
  <c r="H45" i="1" s="1"/>
  <c r="D45" i="1"/>
  <c r="AL44" i="1"/>
  <c r="AK44" i="1"/>
  <c r="AG44" i="1"/>
  <c r="AF44" i="1"/>
  <c r="AD44" i="1"/>
  <c r="Y44" i="1"/>
  <c r="X44" i="1"/>
  <c r="Z44" i="1" s="1"/>
  <c r="T44" i="1"/>
  <c r="S44" i="1"/>
  <c r="U44" i="1" s="1"/>
  <c r="Q44" i="1"/>
  <c r="L44" i="1"/>
  <c r="M44" i="1" s="1"/>
  <c r="K44" i="1"/>
  <c r="G44" i="1"/>
  <c r="H44" i="1" s="1"/>
  <c r="F44" i="1"/>
  <c r="D44" i="1"/>
  <c r="AL43" i="1"/>
  <c r="AM43" i="1" s="1"/>
  <c r="AK43" i="1"/>
  <c r="AG43" i="1"/>
  <c r="AF43" i="1"/>
  <c r="AD43" i="1"/>
  <c r="Y43" i="1"/>
  <c r="X43" i="1"/>
  <c r="T43" i="1"/>
  <c r="S43" i="1"/>
  <c r="U43" i="1" s="1"/>
  <c r="Q43" i="1"/>
  <c r="L43" i="1"/>
  <c r="M43" i="1" s="1"/>
  <c r="K43" i="1"/>
  <c r="H43" i="1"/>
  <c r="G43" i="1"/>
  <c r="F43" i="1"/>
  <c r="D43" i="1"/>
  <c r="AL42" i="1"/>
  <c r="AM42" i="1" s="1"/>
  <c r="AK42" i="1"/>
  <c r="AG42" i="1"/>
  <c r="AF42" i="1"/>
  <c r="AD42" i="1"/>
  <c r="Y42" i="1"/>
  <c r="X42" i="1"/>
  <c r="T42" i="1"/>
  <c r="S42" i="1"/>
  <c r="U42" i="1" s="1"/>
  <c r="Q42" i="1"/>
  <c r="L42" i="1"/>
  <c r="K42" i="1"/>
  <c r="G42" i="1"/>
  <c r="F42" i="1"/>
  <c r="H42" i="1" s="1"/>
  <c r="D42" i="1"/>
  <c r="AL41" i="1"/>
  <c r="AK41" i="1"/>
  <c r="AM41" i="1" s="1"/>
  <c r="AG41" i="1"/>
  <c r="AH41" i="1" s="1"/>
  <c r="AF41" i="1"/>
  <c r="AD41" i="1"/>
  <c r="Z41" i="1"/>
  <c r="Y41" i="1"/>
  <c r="X41" i="1"/>
  <c r="T41" i="1"/>
  <c r="U41" i="1" s="1"/>
  <c r="S41" i="1"/>
  <c r="Q41" i="1"/>
  <c r="L41" i="1"/>
  <c r="M41" i="1" s="1"/>
  <c r="K41" i="1"/>
  <c r="G41" i="1"/>
  <c r="F41" i="1"/>
  <c r="D41" i="1"/>
  <c r="AL40" i="1"/>
  <c r="AK40" i="1"/>
  <c r="AG40" i="1"/>
  <c r="AF40" i="1"/>
  <c r="AD40" i="1"/>
  <c r="Y40" i="1"/>
  <c r="X40" i="1"/>
  <c r="T40" i="1"/>
  <c r="S40" i="1"/>
  <c r="Q40" i="1"/>
  <c r="L40" i="1"/>
  <c r="K40" i="1"/>
  <c r="G40" i="1"/>
  <c r="F40" i="1"/>
  <c r="D40" i="1"/>
  <c r="AL39" i="1"/>
  <c r="AK39" i="1"/>
  <c r="AG39" i="1"/>
  <c r="AF39" i="1"/>
  <c r="AD39" i="1"/>
  <c r="Y39" i="1"/>
  <c r="X39" i="1"/>
  <c r="Z39" i="1" s="1"/>
  <c r="T39" i="1"/>
  <c r="S39" i="1"/>
  <c r="U39" i="1" s="1"/>
  <c r="Q39" i="1"/>
  <c r="L39" i="1"/>
  <c r="M39" i="1" s="1"/>
  <c r="K39" i="1"/>
  <c r="G39" i="1"/>
  <c r="H39" i="1" s="1"/>
  <c r="F39" i="1"/>
  <c r="D39" i="1"/>
  <c r="AL38" i="1"/>
  <c r="AK38" i="1"/>
  <c r="AM38" i="1" s="1"/>
  <c r="AG38" i="1"/>
  <c r="AH38" i="1" s="1"/>
  <c r="AF38" i="1"/>
  <c r="AD38" i="1"/>
  <c r="Y38" i="1"/>
  <c r="X38" i="1"/>
  <c r="T38" i="1"/>
  <c r="S38" i="1"/>
  <c r="Q38" i="1"/>
  <c r="L38" i="1"/>
  <c r="M38" i="1" s="1"/>
  <c r="K38" i="1"/>
  <c r="H38" i="1"/>
  <c r="G38" i="1"/>
  <c r="F38" i="1"/>
  <c r="D38" i="1"/>
  <c r="AL37" i="1"/>
  <c r="AK37" i="1"/>
  <c r="AG37" i="1"/>
  <c r="AF37" i="1"/>
  <c r="AH37" i="1" s="1"/>
  <c r="AD37" i="1"/>
  <c r="Y37" i="1"/>
  <c r="Z37" i="1" s="1"/>
  <c r="X37" i="1"/>
  <c r="T37" i="1"/>
  <c r="U37" i="1" s="1"/>
  <c r="S37" i="1"/>
  <c r="Q37" i="1"/>
  <c r="L37" i="1"/>
  <c r="M37" i="1" s="1"/>
  <c r="K37" i="1"/>
  <c r="G37" i="1"/>
  <c r="F37" i="1"/>
  <c r="D37" i="1"/>
  <c r="AL36" i="1"/>
  <c r="AK36" i="1"/>
  <c r="AG36" i="1"/>
  <c r="AF36" i="1"/>
  <c r="AD36" i="1"/>
  <c r="Y36" i="1"/>
  <c r="Z36" i="1" s="1"/>
  <c r="X36" i="1"/>
  <c r="U36" i="1"/>
  <c r="T36" i="1"/>
  <c r="S36" i="1"/>
  <c r="Q36" i="1"/>
  <c r="L36" i="1"/>
  <c r="M36" i="1" s="1"/>
  <c r="K36" i="1"/>
  <c r="G36" i="1"/>
  <c r="F36" i="1"/>
  <c r="D36" i="1"/>
  <c r="AL35" i="1"/>
  <c r="AK35" i="1"/>
  <c r="AG35" i="1"/>
  <c r="AF35" i="1"/>
  <c r="AH35" i="1" s="1"/>
  <c r="AD35" i="1"/>
  <c r="Y35" i="1"/>
  <c r="X35" i="1"/>
  <c r="T35" i="1"/>
  <c r="S35" i="1"/>
  <c r="U35" i="1" s="1"/>
  <c r="Q35" i="1"/>
  <c r="L35" i="1"/>
  <c r="K35" i="1"/>
  <c r="M35" i="1" s="1"/>
  <c r="G35" i="1"/>
  <c r="H35" i="1" s="1"/>
  <c r="F35" i="1"/>
  <c r="D35" i="1"/>
  <c r="AM34" i="1"/>
  <c r="AL34" i="1"/>
  <c r="AK34" i="1"/>
  <c r="AG34" i="1"/>
  <c r="AH34" i="1" s="1"/>
  <c r="AF34" i="1"/>
  <c r="AD34" i="1"/>
  <c r="Y34" i="1"/>
  <c r="Z34" i="1" s="1"/>
  <c r="X34" i="1"/>
  <c r="T34" i="1"/>
  <c r="S34" i="1"/>
  <c r="Q34" i="1"/>
  <c r="L34" i="1"/>
  <c r="K34" i="1"/>
  <c r="G34" i="1"/>
  <c r="F34" i="1"/>
  <c r="D34" i="1"/>
  <c r="AM33" i="1"/>
  <c r="AL33" i="1"/>
  <c r="AK33" i="1"/>
  <c r="AG33" i="1"/>
  <c r="AF33" i="1"/>
  <c r="AH33" i="1" s="1"/>
  <c r="AD33" i="1"/>
  <c r="Y33" i="1"/>
  <c r="Z33" i="1" s="1"/>
  <c r="X33" i="1"/>
  <c r="T33" i="1"/>
  <c r="S33" i="1"/>
  <c r="Q33" i="1"/>
  <c r="L33" i="1"/>
  <c r="M33" i="1" s="1"/>
  <c r="K33" i="1"/>
  <c r="G33" i="1"/>
  <c r="F33" i="1"/>
  <c r="H33" i="1" s="1"/>
  <c r="D33" i="1"/>
  <c r="AD32" i="1"/>
  <c r="Y32" i="1"/>
  <c r="Z32" i="1" s="1"/>
  <c r="X32" i="1"/>
  <c r="T32" i="1"/>
  <c r="S32" i="1"/>
  <c r="Q32" i="1"/>
  <c r="L32" i="1"/>
  <c r="K32" i="1"/>
  <c r="G32" i="1"/>
  <c r="H32" i="1" s="1"/>
  <c r="F32" i="1"/>
  <c r="D32" i="1"/>
  <c r="AM31" i="1"/>
  <c r="AH31" i="1"/>
  <c r="Y31" i="1"/>
  <c r="Z31" i="1" s="1"/>
  <c r="X31" i="1"/>
  <c r="T31" i="1"/>
  <c r="S31" i="1"/>
  <c r="U31" i="1" s="1"/>
  <c r="Q31" i="1"/>
  <c r="L31" i="1"/>
  <c r="K31" i="1"/>
  <c r="G31" i="1"/>
  <c r="H31" i="1" s="1"/>
  <c r="F31" i="1"/>
  <c r="D31" i="1"/>
  <c r="Y30" i="1"/>
  <c r="X30" i="1"/>
  <c r="T30" i="1"/>
  <c r="U30" i="1" s="1"/>
  <c r="S30" i="1"/>
  <c r="Q30" i="1"/>
  <c r="M30" i="1"/>
  <c r="L30" i="1"/>
  <c r="K30" i="1"/>
  <c r="G30" i="1"/>
  <c r="F30" i="1"/>
  <c r="H30" i="1" s="1"/>
  <c r="D30" i="1"/>
  <c r="AL29" i="1"/>
  <c r="AK29" i="1"/>
  <c r="AG29" i="1"/>
  <c r="AF29" i="1"/>
  <c r="AD29" i="1"/>
  <c r="Q29" i="1"/>
  <c r="D29" i="1"/>
  <c r="BL28" i="1"/>
  <c r="BK28" i="1"/>
  <c r="BG28" i="1"/>
  <c r="BF28" i="1"/>
  <c r="BD28" i="1"/>
  <c r="AL28" i="1"/>
  <c r="AK28" i="1"/>
  <c r="AG28" i="1"/>
  <c r="AF28" i="1"/>
  <c r="AD28" i="1"/>
  <c r="Z28" i="1"/>
  <c r="U28" i="1"/>
  <c r="M28" i="1"/>
  <c r="H28" i="1"/>
  <c r="BL27" i="1"/>
  <c r="BK27" i="1"/>
  <c r="BM27" i="1" s="1"/>
  <c r="BG27" i="1"/>
  <c r="BF27" i="1"/>
  <c r="BD27" i="1"/>
  <c r="AL27" i="1"/>
  <c r="AK27" i="1"/>
  <c r="AM27" i="1" s="1"/>
  <c r="AG27" i="1"/>
  <c r="AH27" i="1" s="1"/>
  <c r="AF27" i="1"/>
  <c r="AD27" i="1"/>
  <c r="BL26" i="1"/>
  <c r="BK26" i="1"/>
  <c r="BG26" i="1"/>
  <c r="BF26" i="1"/>
  <c r="BD26" i="1"/>
  <c r="AL26" i="1"/>
  <c r="AK26" i="1"/>
  <c r="AG26" i="1"/>
  <c r="AH26" i="1" s="1"/>
  <c r="AF26" i="1"/>
  <c r="AD26" i="1"/>
  <c r="Y26" i="1"/>
  <c r="X26" i="1"/>
  <c r="T26" i="1"/>
  <c r="S26" i="1"/>
  <c r="Q26" i="1"/>
  <c r="L26" i="1"/>
  <c r="K26" i="1"/>
  <c r="G26" i="1"/>
  <c r="F26" i="1"/>
  <c r="D26" i="1"/>
  <c r="BL25" i="1"/>
  <c r="BK25" i="1"/>
  <c r="BG25" i="1"/>
  <c r="BH25" i="1" s="1"/>
  <c r="BF25" i="1"/>
  <c r="BD25" i="1"/>
  <c r="AL25" i="1"/>
  <c r="AK25" i="1"/>
  <c r="AG25" i="1"/>
  <c r="AH25" i="1" s="1"/>
  <c r="AF25" i="1"/>
  <c r="AD25" i="1"/>
  <c r="Z25" i="1"/>
  <c r="Y25" i="1"/>
  <c r="X25" i="1"/>
  <c r="T25" i="1"/>
  <c r="U25" i="1" s="1"/>
  <c r="S25" i="1"/>
  <c r="Q25" i="1"/>
  <c r="L25" i="1"/>
  <c r="M25" i="1" s="1"/>
  <c r="K25" i="1"/>
  <c r="G25" i="1"/>
  <c r="F25" i="1"/>
  <c r="D25" i="1"/>
  <c r="BL24" i="1"/>
  <c r="BK24" i="1"/>
  <c r="BG24" i="1"/>
  <c r="BF24" i="1"/>
  <c r="BD24" i="1"/>
  <c r="AM24" i="1"/>
  <c r="AL24" i="1"/>
  <c r="AK24" i="1"/>
  <c r="AG24" i="1"/>
  <c r="AF24" i="1"/>
  <c r="AH24" i="1" s="1"/>
  <c r="AD24" i="1"/>
  <c r="Y24" i="1"/>
  <c r="X24" i="1"/>
  <c r="T24" i="1"/>
  <c r="U24" i="1" s="1"/>
  <c r="S24" i="1"/>
  <c r="Q24" i="1"/>
  <c r="L24" i="1"/>
  <c r="M24" i="1" s="1"/>
  <c r="K24" i="1"/>
  <c r="G24" i="1"/>
  <c r="F24" i="1"/>
  <c r="D24" i="1"/>
  <c r="BL23" i="1"/>
  <c r="BK23" i="1"/>
  <c r="BG23" i="1"/>
  <c r="BH23" i="1" s="1"/>
  <c r="BF23" i="1"/>
  <c r="BD23" i="1"/>
  <c r="AL23" i="1"/>
  <c r="AK23" i="1"/>
  <c r="AG23" i="1"/>
  <c r="AF23" i="1"/>
  <c r="AD23" i="1"/>
  <c r="Z23" i="1"/>
  <c r="Y23" i="1"/>
  <c r="X23" i="1"/>
  <c r="T23" i="1"/>
  <c r="U23" i="1" s="1"/>
  <c r="S23" i="1"/>
  <c r="Q23" i="1"/>
  <c r="L23" i="1"/>
  <c r="M23" i="1" s="1"/>
  <c r="K23" i="1"/>
  <c r="G23" i="1"/>
  <c r="F23" i="1"/>
  <c r="D23" i="1"/>
  <c r="BL22" i="1"/>
  <c r="BK22" i="1"/>
  <c r="BG22" i="1"/>
  <c r="BF22" i="1"/>
  <c r="BH22" i="1" s="1"/>
  <c r="BD22" i="1"/>
  <c r="AM22" i="1"/>
  <c r="AL22" i="1"/>
  <c r="AK22" i="1"/>
  <c r="AH22" i="1"/>
  <c r="AG22" i="1"/>
  <c r="AF22" i="1"/>
  <c r="AD22" i="1"/>
  <c r="Y22" i="1"/>
  <c r="X22" i="1"/>
  <c r="T22" i="1"/>
  <c r="U22" i="1" s="1"/>
  <c r="S22" i="1"/>
  <c r="Q22" i="1"/>
  <c r="L22" i="1"/>
  <c r="K22" i="1"/>
  <c r="M22" i="1" s="1"/>
  <c r="G22" i="1"/>
  <c r="F22" i="1"/>
  <c r="D22" i="1"/>
  <c r="BL21" i="1"/>
  <c r="BK21" i="1"/>
  <c r="BG21" i="1"/>
  <c r="BF21" i="1"/>
  <c r="BH21" i="1" s="1"/>
  <c r="BD21" i="1"/>
  <c r="AL21" i="1"/>
  <c r="AK21" i="1"/>
  <c r="AG21" i="1"/>
  <c r="AF21" i="1"/>
  <c r="AD21" i="1"/>
  <c r="Y21" i="1"/>
  <c r="X21" i="1"/>
  <c r="T21" i="1"/>
  <c r="S21" i="1"/>
  <c r="Q21" i="1"/>
  <c r="L21" i="1"/>
  <c r="M21" i="1" s="1"/>
  <c r="K21" i="1"/>
  <c r="G21" i="1"/>
  <c r="H21" i="1" s="1"/>
  <c r="F21" i="1"/>
  <c r="D21" i="1"/>
  <c r="BD20" i="1"/>
  <c r="AL20" i="1"/>
  <c r="AM20" i="1" s="1"/>
  <c r="AK20" i="1"/>
  <c r="AG20" i="1"/>
  <c r="AH20" i="1" s="1"/>
  <c r="AF20" i="1"/>
  <c r="AD20" i="1"/>
  <c r="Y20" i="1"/>
  <c r="X20" i="1"/>
  <c r="T20" i="1"/>
  <c r="S20" i="1"/>
  <c r="Q20" i="1"/>
  <c r="L20" i="1"/>
  <c r="K20" i="1"/>
  <c r="G20" i="1"/>
  <c r="F20" i="1"/>
  <c r="D20" i="1"/>
  <c r="BM19" i="1"/>
  <c r="BH19" i="1"/>
  <c r="BD19" i="1"/>
  <c r="AL19" i="1"/>
  <c r="AK19" i="1"/>
  <c r="AH19" i="1"/>
  <c r="AG19" i="1"/>
  <c r="AF19" i="1"/>
  <c r="AD19" i="1"/>
  <c r="Y19" i="1"/>
  <c r="X19" i="1"/>
  <c r="Z19" i="1" s="1"/>
  <c r="T19" i="1"/>
  <c r="S19" i="1"/>
  <c r="Q19" i="1"/>
  <c r="L19" i="1"/>
  <c r="K19" i="1"/>
  <c r="G19" i="1"/>
  <c r="F19" i="1"/>
  <c r="D19" i="1"/>
  <c r="AL18" i="1"/>
  <c r="AK18" i="1"/>
  <c r="AG18" i="1"/>
  <c r="AF18" i="1"/>
  <c r="AD18" i="1"/>
  <c r="Y18" i="1"/>
  <c r="X18" i="1"/>
  <c r="Z18" i="1" s="1"/>
  <c r="T18" i="1"/>
  <c r="U18" i="1" s="1"/>
  <c r="S18" i="1"/>
  <c r="Q18" i="1"/>
  <c r="M18" i="1"/>
  <c r="L18" i="1"/>
  <c r="K18" i="1"/>
  <c r="G18" i="1"/>
  <c r="H18" i="1" s="1"/>
  <c r="F18" i="1"/>
  <c r="D18" i="1"/>
  <c r="AY17" i="1"/>
  <c r="AX17" i="1"/>
  <c r="AT17" i="1"/>
  <c r="AS17" i="1"/>
  <c r="AQ17" i="1"/>
  <c r="AL17" i="1"/>
  <c r="AK17" i="1"/>
  <c r="AM17" i="1" s="1"/>
  <c r="AG17" i="1"/>
  <c r="AF17" i="1"/>
  <c r="AD17" i="1"/>
  <c r="Y17" i="1"/>
  <c r="Z17" i="1" s="1"/>
  <c r="X17" i="1"/>
  <c r="T17" i="1"/>
  <c r="U17" i="1" s="1"/>
  <c r="S17" i="1"/>
  <c r="Q17" i="1"/>
  <c r="L17" i="1"/>
  <c r="K17" i="1"/>
  <c r="G17" i="1"/>
  <c r="F17" i="1"/>
  <c r="D17" i="1"/>
  <c r="BL16" i="1"/>
  <c r="BK16" i="1"/>
  <c r="BG16" i="1"/>
  <c r="BF16" i="1"/>
  <c r="BD16" i="1"/>
  <c r="AY16" i="1"/>
  <c r="AX16" i="1"/>
  <c r="AT16" i="1"/>
  <c r="AU16" i="1" s="1"/>
  <c r="AS16" i="1"/>
  <c r="AQ16" i="1"/>
  <c r="AL16" i="1"/>
  <c r="AK16" i="1"/>
  <c r="AG16" i="1"/>
  <c r="AH16" i="1" s="1"/>
  <c r="AF16" i="1"/>
  <c r="AD16" i="1"/>
  <c r="Y16" i="1"/>
  <c r="X16" i="1"/>
  <c r="Z16" i="1" s="1"/>
  <c r="T16" i="1"/>
  <c r="S16" i="1"/>
  <c r="U16" i="1" s="1"/>
  <c r="Q16" i="1"/>
  <c r="L16" i="1"/>
  <c r="K16" i="1"/>
  <c r="G16" i="1"/>
  <c r="F16" i="1"/>
  <c r="D16" i="1"/>
  <c r="BL15" i="1"/>
  <c r="BK15" i="1"/>
  <c r="BM15" i="1" s="1"/>
  <c r="BG15" i="1"/>
  <c r="BF15" i="1"/>
  <c r="BD15" i="1"/>
  <c r="AY15" i="1"/>
  <c r="AX15" i="1"/>
  <c r="AT15" i="1"/>
  <c r="AS15" i="1"/>
  <c r="AQ15" i="1"/>
  <c r="AL15" i="1"/>
  <c r="AK15" i="1"/>
  <c r="AG15" i="1"/>
  <c r="AF15" i="1"/>
  <c r="AH15" i="1" s="1"/>
  <c r="AD15" i="1"/>
  <c r="Y15" i="1"/>
  <c r="X15" i="1"/>
  <c r="Z15" i="1" s="1"/>
  <c r="T15" i="1"/>
  <c r="U15" i="1" s="1"/>
  <c r="S15" i="1"/>
  <c r="Q15" i="1"/>
  <c r="L15" i="1"/>
  <c r="M15" i="1" s="1"/>
  <c r="K15" i="1"/>
  <c r="G15" i="1"/>
  <c r="F15" i="1"/>
  <c r="D15" i="1"/>
  <c r="BL14" i="1"/>
  <c r="BK14" i="1"/>
  <c r="BG14" i="1"/>
  <c r="BF14" i="1"/>
  <c r="BD14" i="1"/>
  <c r="AY14" i="1"/>
  <c r="AX14" i="1"/>
  <c r="AT14" i="1"/>
  <c r="AU14" i="1" s="1"/>
  <c r="AS14" i="1"/>
  <c r="AQ14" i="1"/>
  <c r="AL14" i="1"/>
  <c r="AK14" i="1"/>
  <c r="AG14" i="1"/>
  <c r="AF14" i="1"/>
  <c r="AD14" i="1"/>
  <c r="Y14" i="1"/>
  <c r="X14" i="1"/>
  <c r="T14" i="1"/>
  <c r="S14" i="1"/>
  <c r="U14" i="1" s="1"/>
  <c r="Q14" i="1"/>
  <c r="L14" i="1"/>
  <c r="K14" i="1"/>
  <c r="M14" i="1" s="1"/>
  <c r="G14" i="1"/>
  <c r="H14" i="1" s="1"/>
  <c r="F14" i="1"/>
  <c r="D14" i="1"/>
  <c r="BL13" i="1"/>
  <c r="BM13" i="1" s="1"/>
  <c r="BK13" i="1"/>
  <c r="BG13" i="1"/>
  <c r="BF13" i="1"/>
  <c r="BD13" i="1"/>
  <c r="AY13" i="1"/>
  <c r="AX13" i="1"/>
  <c r="AT13" i="1"/>
  <c r="AS13" i="1"/>
  <c r="AQ13" i="1"/>
  <c r="AL13" i="1"/>
  <c r="AK13" i="1"/>
  <c r="AM13" i="1" s="1"/>
  <c r="AG13" i="1"/>
  <c r="AF13" i="1"/>
  <c r="AD13" i="1"/>
  <c r="Y13" i="1"/>
  <c r="Z13" i="1" s="1"/>
  <c r="X13" i="1"/>
  <c r="T13" i="1"/>
  <c r="U13" i="1" s="1"/>
  <c r="S13" i="1"/>
  <c r="Q13" i="1"/>
  <c r="L13" i="1"/>
  <c r="M13" i="1" s="1"/>
  <c r="K13" i="1"/>
  <c r="G13" i="1"/>
  <c r="H13" i="1" s="1"/>
  <c r="F13" i="1"/>
  <c r="D13" i="1"/>
  <c r="BL12" i="1"/>
  <c r="BM12" i="1" s="1"/>
  <c r="BK12" i="1"/>
  <c r="BG12" i="1"/>
  <c r="BF12" i="1"/>
  <c r="BH12" i="1" s="1"/>
  <c r="BD12" i="1"/>
  <c r="AY12" i="1"/>
  <c r="AX12" i="1"/>
  <c r="AT12" i="1"/>
  <c r="AU12" i="1" s="1"/>
  <c r="AS12" i="1"/>
  <c r="AQ12" i="1"/>
  <c r="AL12" i="1"/>
  <c r="AK12" i="1"/>
  <c r="AG12" i="1"/>
  <c r="AH12" i="1" s="1"/>
  <c r="AF12" i="1"/>
  <c r="AD12" i="1"/>
  <c r="Z12" i="1"/>
  <c r="Y12" i="1"/>
  <c r="X12" i="1"/>
  <c r="T12" i="1"/>
  <c r="U12" i="1" s="1"/>
  <c r="S12" i="1"/>
  <c r="Q12" i="1"/>
  <c r="L12" i="1"/>
  <c r="M12" i="1" s="1"/>
  <c r="K12" i="1"/>
  <c r="G12" i="1"/>
  <c r="H12" i="1" s="1"/>
  <c r="F12" i="1"/>
  <c r="D12" i="1"/>
  <c r="BL11" i="1"/>
  <c r="BK11" i="1"/>
  <c r="BG11" i="1"/>
  <c r="BF11" i="1"/>
  <c r="BD11" i="1"/>
  <c r="AZ11" i="1"/>
  <c r="AY11" i="1"/>
  <c r="AX11" i="1"/>
  <c r="AT11" i="1"/>
  <c r="AS11" i="1"/>
  <c r="AU11" i="1" s="1"/>
  <c r="AQ11" i="1"/>
  <c r="AL11" i="1"/>
  <c r="AK11" i="1"/>
  <c r="AG11" i="1"/>
  <c r="AH11" i="1" s="1"/>
  <c r="AF11" i="1"/>
  <c r="AD11" i="1"/>
  <c r="Y11" i="1"/>
  <c r="X11" i="1"/>
  <c r="T11" i="1"/>
  <c r="S11" i="1"/>
  <c r="Q11" i="1"/>
  <c r="L11" i="1"/>
  <c r="K11" i="1"/>
  <c r="G11" i="1"/>
  <c r="F11" i="1"/>
  <c r="H11" i="1" s="1"/>
  <c r="D11" i="1"/>
  <c r="BL10" i="1"/>
  <c r="BK10" i="1"/>
  <c r="BM10" i="1" s="1"/>
  <c r="BG10" i="1"/>
  <c r="BH10" i="1" s="1"/>
  <c r="BF10" i="1"/>
  <c r="BD10" i="1"/>
  <c r="AY10" i="1"/>
  <c r="AZ10" i="1" s="1"/>
  <c r="AX10" i="1"/>
  <c r="AT10" i="1"/>
  <c r="AS10" i="1"/>
  <c r="AQ10" i="1"/>
  <c r="AL10" i="1"/>
  <c r="AK10" i="1"/>
  <c r="AG10" i="1"/>
  <c r="AF10" i="1"/>
  <c r="AD10" i="1"/>
  <c r="Y10" i="1"/>
  <c r="X10" i="1"/>
  <c r="Z10" i="1" s="1"/>
  <c r="T10" i="1"/>
  <c r="S10" i="1"/>
  <c r="Q10" i="1"/>
  <c r="L10" i="1"/>
  <c r="M10" i="1" s="1"/>
  <c r="K10" i="1"/>
  <c r="G10" i="1"/>
  <c r="H10" i="1" s="1"/>
  <c r="F10" i="1"/>
  <c r="D10" i="1"/>
  <c r="BD9" i="1"/>
  <c r="AQ9" i="1"/>
  <c r="AD9" i="1"/>
  <c r="Q9" i="1"/>
  <c r="D9" i="1"/>
  <c r="BM8" i="1"/>
  <c r="BH8" i="1"/>
  <c r="BD8" i="1"/>
  <c r="AZ8" i="1"/>
  <c r="AU8" i="1"/>
  <c r="AQ8" i="1"/>
  <c r="AM8" i="1"/>
  <c r="AH8" i="1"/>
  <c r="AD8" i="1"/>
  <c r="Z8" i="1"/>
  <c r="U8" i="1"/>
  <c r="Q8" i="1"/>
  <c r="M8" i="1"/>
  <c r="H8" i="1"/>
  <c r="D8" i="1"/>
  <c r="AS6" i="1"/>
  <c r="AS115" i="1" s="1"/>
  <c r="AF6" i="1"/>
  <c r="X6" i="1"/>
  <c r="X115" i="1" s="1"/>
  <c r="S6" i="1"/>
  <c r="K6" i="1"/>
  <c r="K85" i="1" s="1"/>
  <c r="K115" i="1" s="1"/>
  <c r="F6" i="1"/>
  <c r="F85" i="1" s="1"/>
  <c r="F115" i="1" s="1"/>
  <c r="F128" i="1" s="1"/>
  <c r="F144" i="1" s="1"/>
  <c r="F158" i="1" s="1"/>
  <c r="BD3" i="1"/>
  <c r="AQ3" i="1"/>
  <c r="AD3" i="1"/>
  <c r="Q3" i="1"/>
  <c r="D3" i="1"/>
  <c r="AH10" i="1" l="1"/>
  <c r="Z11" i="1"/>
  <c r="BM11" i="1"/>
  <c r="AM12" i="1"/>
  <c r="AU13" i="1"/>
  <c r="AM14" i="1"/>
  <c r="AM18" i="1"/>
  <c r="U19" i="1"/>
  <c r="Z22" i="1"/>
  <c r="AM25" i="1"/>
  <c r="M34" i="1"/>
  <c r="Z35" i="1"/>
  <c r="H36" i="1"/>
  <c r="U38" i="1"/>
  <c r="AM40" i="1"/>
  <c r="M42" i="1"/>
  <c r="AH42" i="1"/>
  <c r="Z45" i="1"/>
  <c r="U59" i="1"/>
  <c r="AM60" i="1"/>
  <c r="AM61" i="1"/>
  <c r="AH64" i="1"/>
  <c r="AM66" i="1"/>
  <c r="AH68" i="1"/>
  <c r="M70" i="1"/>
  <c r="AH75" i="1"/>
  <c r="M76" i="1"/>
  <c r="H90" i="1"/>
  <c r="H93" i="1"/>
  <c r="M99" i="1"/>
  <c r="U121" i="1"/>
  <c r="M122" i="1"/>
  <c r="AH124" i="1"/>
  <c r="Z125" i="1"/>
  <c r="H135" i="1"/>
  <c r="Z148" i="1"/>
  <c r="U149" i="1"/>
  <c r="M165" i="1"/>
  <c r="Z172" i="1"/>
  <c r="Z183" i="1"/>
  <c r="U185" i="1"/>
  <c r="AH95" i="1"/>
  <c r="AZ95" i="1"/>
  <c r="BM96" i="1"/>
  <c r="U101" i="1"/>
  <c r="AM101" i="1"/>
  <c r="AH102" i="1"/>
  <c r="AZ102" i="1"/>
  <c r="U119" i="1"/>
  <c r="BH119" i="1"/>
  <c r="AH122" i="1"/>
  <c r="H123" i="1"/>
  <c r="AU125" i="1"/>
  <c r="M135" i="1"/>
  <c r="H138" i="1"/>
  <c r="M148" i="1"/>
  <c r="Z175" i="1"/>
  <c r="AM10" i="1"/>
  <c r="AH13" i="1"/>
  <c r="AZ13" i="1"/>
  <c r="M16" i="1"/>
  <c r="AH23" i="1"/>
  <c r="U33" i="1"/>
  <c r="AM39" i="1"/>
  <c r="AM47" i="1"/>
  <c r="Z50" i="1"/>
  <c r="M53" i="1"/>
  <c r="BH54" i="1"/>
  <c r="H57" i="1"/>
  <c r="AU57" i="1"/>
  <c r="Z59" i="1"/>
  <c r="AM64" i="1"/>
  <c r="U67" i="1"/>
  <c r="AM68" i="1"/>
  <c r="AM77" i="1"/>
  <c r="H80" i="1"/>
  <c r="AM23" i="1"/>
  <c r="Z38" i="1"/>
  <c r="AM48" i="1"/>
  <c r="Z52" i="1"/>
  <c r="AU55" i="1"/>
  <c r="AM56" i="1"/>
  <c r="M57" i="1"/>
  <c r="U58" i="1"/>
  <c r="H60" i="1"/>
  <c r="H61" i="1"/>
  <c r="U69" i="1"/>
  <c r="U70" i="1"/>
  <c r="AM75" i="1"/>
  <c r="AH76" i="1"/>
  <c r="M77" i="1"/>
  <c r="AZ96" i="1"/>
  <c r="AM102" i="1"/>
  <c r="BM119" i="1"/>
  <c r="BH122" i="1"/>
  <c r="M123" i="1"/>
  <c r="M138" i="1"/>
  <c r="U173" i="1"/>
  <c r="U11" i="1"/>
  <c r="AM11" i="1"/>
  <c r="AH14" i="1"/>
  <c r="AZ14" i="1"/>
  <c r="H15" i="1"/>
  <c r="M17" i="1"/>
  <c r="AH18" i="1"/>
  <c r="M19" i="1"/>
  <c r="Z24" i="1"/>
  <c r="BH27" i="1"/>
  <c r="AM29" i="1"/>
  <c r="AM35" i="1"/>
  <c r="AH50" i="1"/>
  <c r="BM52" i="1"/>
  <c r="U53" i="1"/>
  <c r="AZ53" i="1"/>
  <c r="U55" i="1"/>
  <c r="AH60" i="1"/>
  <c r="M61" i="1"/>
  <c r="H69" i="1"/>
  <c r="Z70" i="1"/>
  <c r="M73" i="1"/>
  <c r="T90" i="1"/>
  <c r="U90" i="1" s="1"/>
  <c r="U96" i="1"/>
  <c r="BH120" i="1"/>
  <c r="AH121" i="1"/>
  <c r="H124" i="1"/>
  <c r="AU124" i="1"/>
  <c r="M162" i="1"/>
  <c r="H163" i="1"/>
  <c r="Z173" i="1"/>
  <c r="Z184" i="1"/>
  <c r="BH11" i="1"/>
  <c r="BH24" i="1"/>
  <c r="AM26" i="1"/>
  <c r="U32" i="1"/>
  <c r="H34" i="1"/>
  <c r="AM36" i="1"/>
  <c r="AH40" i="1"/>
  <c r="Z43" i="1"/>
  <c r="AH61" i="1"/>
  <c r="BM120" i="1"/>
  <c r="AM123" i="1"/>
  <c r="M124" i="1"/>
  <c r="Z150" i="1"/>
  <c r="Z161" i="1"/>
  <c r="U175" i="1"/>
  <c r="AH56" i="1"/>
  <c r="AG78" i="1"/>
  <c r="H119" i="1"/>
  <c r="U122" i="1"/>
  <c r="AH125" i="1"/>
  <c r="Z42" i="1"/>
  <c r="AH59" i="1"/>
  <c r="M149" i="1"/>
  <c r="AL78" i="1"/>
  <c r="AM73" i="1"/>
  <c r="AU10" i="1"/>
  <c r="BH13" i="1"/>
  <c r="AH17" i="1"/>
  <c r="M11" i="1"/>
  <c r="AZ12" i="1"/>
  <c r="AM16" i="1"/>
  <c r="M63" i="1"/>
  <c r="M101" i="1"/>
  <c r="AM119" i="1"/>
  <c r="M121" i="1"/>
  <c r="AZ122" i="1"/>
  <c r="Z124" i="1"/>
  <c r="H16" i="1"/>
  <c r="BM21" i="1"/>
  <c r="BM22" i="1"/>
  <c r="BM23" i="1"/>
  <c r="BM24" i="1"/>
  <c r="BM25" i="1"/>
  <c r="AM37" i="1"/>
  <c r="AH45" i="1"/>
  <c r="H50" i="1"/>
  <c r="U56" i="1"/>
  <c r="AU96" i="1"/>
  <c r="M132" i="1"/>
  <c r="M136" i="1"/>
  <c r="U150" i="1"/>
  <c r="H165" i="1"/>
  <c r="U172" i="1"/>
  <c r="U176" i="1"/>
  <c r="U184" i="1"/>
  <c r="M31" i="1"/>
  <c r="U34" i="1"/>
  <c r="H37" i="1"/>
  <c r="AH39" i="1"/>
  <c r="AH49" i="1"/>
  <c r="U52" i="1"/>
  <c r="H53" i="1"/>
  <c r="H54" i="1"/>
  <c r="Z57" i="1"/>
  <c r="M60" i="1"/>
  <c r="AM62" i="1"/>
  <c r="AH65" i="1"/>
  <c r="U68" i="1"/>
  <c r="H74" i="1"/>
  <c r="H76" i="1"/>
  <c r="H78" i="1"/>
  <c r="AU102" i="1"/>
  <c r="Z120" i="1"/>
  <c r="H25" i="1"/>
  <c r="U45" i="1"/>
  <c r="AM65" i="1"/>
  <c r="M67" i="1"/>
  <c r="Z68" i="1"/>
  <c r="AM69" i="1"/>
  <c r="H79" i="1"/>
  <c r="H89" i="1"/>
  <c r="Z90" i="1"/>
  <c r="Z95" i="1"/>
  <c r="H133" i="1"/>
  <c r="H137" i="1"/>
  <c r="H164" i="1"/>
  <c r="U187" i="1"/>
  <c r="Z14" i="1"/>
  <c r="M32" i="1"/>
  <c r="BM125" i="1"/>
  <c r="BH15" i="1"/>
  <c r="U21" i="1"/>
  <c r="H22" i="1"/>
  <c r="H23" i="1"/>
  <c r="H24" i="1"/>
  <c r="AH36" i="1"/>
  <c r="AH47" i="1"/>
  <c r="AZ50" i="1"/>
  <c r="Z55" i="1"/>
  <c r="AH57" i="1"/>
  <c r="Z89" i="1"/>
  <c r="U97" i="1"/>
  <c r="M152" i="1"/>
  <c r="AH46" i="1"/>
  <c r="AU54" i="1"/>
  <c r="Z60" i="1"/>
  <c r="S115" i="1"/>
  <c r="S144" i="1"/>
  <c r="S155" i="1" s="1"/>
  <c r="S168" i="1" s="1"/>
  <c r="S179" i="1" s="1"/>
  <c r="AM15" i="1"/>
  <c r="Z30" i="1"/>
  <c r="AM19" i="1"/>
  <c r="AH29" i="1"/>
  <c r="AK6" i="1"/>
  <c r="U10" i="1"/>
  <c r="AZ16" i="1"/>
  <c r="H17" i="1"/>
  <c r="H19" i="1"/>
  <c r="Z21" i="1"/>
  <c r="H41" i="1"/>
  <c r="AH43" i="1"/>
  <c r="U50" i="1"/>
  <c r="H51" i="1"/>
  <c r="M56" i="1"/>
  <c r="AM58" i="1"/>
  <c r="Z69" i="1"/>
  <c r="M94" i="1"/>
  <c r="M95" i="1"/>
  <c r="BH96" i="1"/>
  <c r="Z187" i="1"/>
  <c r="BF6" i="1"/>
  <c r="BF115" i="1" s="1"/>
  <c r="AX6" i="1" l="1"/>
  <c r="AK115" i="1"/>
  <c r="AX115" i="1" l="1"/>
  <c r="BK6" i="1"/>
  <c r="BK115" i="1" s="1"/>
</calcChain>
</file>

<file path=xl/sharedStrings.xml><?xml version="1.0" encoding="utf-8"?>
<sst xmlns="http://schemas.openxmlformats.org/spreadsheetml/2006/main" count="7" uniqueCount="6">
  <si>
    <t>idioma</t>
  </si>
  <si>
    <t>English</t>
  </si>
  <si>
    <t>ESP</t>
  </si>
  <si>
    <t>Español</t>
  </si>
  <si>
    <t>ENG</t>
  </si>
  <si>
    <t>Millones de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</si>
</sst>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;\(#,##0.0\)"/>
    <numFmt numFmtId="166" formatCode="0.0;\ \(0.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i/>
      <sz val="8"/>
      <color rgb="FFFF0000"/>
      <name val="Neo Sans Pro"/>
      <family val="2"/>
    </font>
    <font>
      <b/>
      <sz val="11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0" fontId="2" fillId="2" borderId="3" xfId="0" applyFont="1" applyFill="1" applyBorder="1"/>
    <xf numFmtId="0" fontId="7" fillId="2" borderId="0" xfId="0" applyFont="1" applyFill="1"/>
    <xf numFmtId="165" fontId="7" fillId="4" borderId="0" xfId="0" applyNumberFormat="1" applyFont="1" applyFill="1" applyAlignment="1">
      <alignment horizontal="right" indent="1"/>
    </xf>
    <xf numFmtId="165" fontId="7" fillId="2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2"/>
    </xf>
    <xf numFmtId="165" fontId="2" fillId="4" borderId="0" xfId="0" applyNumberFormat="1" applyFont="1" applyFill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5" fontId="8" fillId="4" borderId="0" xfId="0" applyNumberFormat="1" applyFont="1" applyFill="1" applyAlignment="1">
      <alignment horizontal="right" indent="1"/>
    </xf>
    <xf numFmtId="165" fontId="8" fillId="2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7" fillId="2" borderId="3" xfId="0" applyFont="1" applyFill="1" applyBorder="1"/>
    <xf numFmtId="165" fontId="7" fillId="4" borderId="3" xfId="0" applyNumberFormat="1" applyFont="1" applyFill="1" applyBorder="1" applyAlignment="1">
      <alignment horizontal="right" indent="1"/>
    </xf>
    <xf numFmtId="165" fontId="7" fillId="2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4"/>
    </xf>
    <xf numFmtId="0" fontId="2" fillId="2" borderId="4" xfId="0" applyFont="1" applyFill="1" applyBorder="1"/>
    <xf numFmtId="0" fontId="2" fillId="5" borderId="0" xfId="0" applyFont="1" applyFill="1"/>
    <xf numFmtId="0" fontId="9" fillId="2" borderId="0" xfId="0" applyFont="1" applyFill="1"/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uelbenzu\AppData\Local\Microsoft\Windows\Temporary%20Internet%20Files\Content.Outlook\H760CWSF\TABLAS%20NOTA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ABEZADOS"/>
      <sheetName val="GRUPO"/>
      <sheetName val="SANTILLANA"/>
      <sheetName val="RADIO"/>
      <sheetName val="NOTICIAS"/>
      <sheetName val="MEDIA CAPITAL"/>
      <sheetName val="TRANSFORMACIÓN"/>
      <sheetName val="To Publish"/>
      <sheetName val="New EBITDA &amp; IFRS16"/>
      <sheetName val="Hoja1"/>
    </sheetNames>
    <sheetDataSet>
      <sheetData sheetId="0"/>
      <sheetData sheetId="1">
        <row r="10">
          <cell r="AC10">
            <v>1280.473916982623</v>
          </cell>
          <cell r="AD10">
            <v>1319.9833654474487</v>
          </cell>
          <cell r="AG10">
            <v>323.90748996655645</v>
          </cell>
          <cell r="AH10">
            <v>325.16828364670141</v>
          </cell>
        </row>
        <row r="11">
          <cell r="AC11">
            <v>513.3753496683355</v>
          </cell>
          <cell r="AD11">
            <v>523.3281650599971</v>
          </cell>
          <cell r="AG11">
            <v>101.27625039476828</v>
          </cell>
          <cell r="AH11">
            <v>97.060579432996235</v>
          </cell>
        </row>
        <row r="12">
          <cell r="AC12">
            <v>767.09856731428749</v>
          </cell>
          <cell r="AD12">
            <v>796.65520038745171</v>
          </cell>
          <cell r="AG12">
            <v>222.63123957178823</v>
          </cell>
          <cell r="AH12">
            <v>228.10770421370535</v>
          </cell>
        </row>
        <row r="13">
          <cell r="AC13">
            <v>582.11448124428762</v>
          </cell>
          <cell r="AD13">
            <v>628.42263597745171</v>
          </cell>
          <cell r="AG13">
            <v>166.73747600178825</v>
          </cell>
          <cell r="AH13">
            <v>178.37230149370527</v>
          </cell>
        </row>
        <row r="14">
          <cell r="AC14">
            <v>184.98408606999999</v>
          </cell>
          <cell r="AD14">
            <v>168.23256441000001</v>
          </cell>
          <cell r="AG14">
            <v>55.893763570000004</v>
          </cell>
          <cell r="AH14">
            <v>49.73540272000001</v>
          </cell>
        </row>
        <row r="15">
          <cell r="AC15">
            <v>276.34772081244421</v>
          </cell>
          <cell r="AD15">
            <v>270.42781165274812</v>
          </cell>
          <cell r="AG15">
            <v>64.872062511558198</v>
          </cell>
          <cell r="AH15">
            <v>59.044459901280817</v>
          </cell>
        </row>
        <row r="16">
          <cell r="AC16">
            <v>68.177012687801493</v>
          </cell>
          <cell r="AD16">
            <v>50.727046063139333</v>
          </cell>
          <cell r="AG16">
            <v>-6.8362148621960159</v>
          </cell>
          <cell r="AH16">
            <v>-21.337427169999437</v>
          </cell>
        </row>
        <row r="17">
          <cell r="AC17">
            <v>208.17070812464272</v>
          </cell>
          <cell r="AD17">
            <v>219.70076558960881</v>
          </cell>
          <cell r="AG17">
            <v>71.708277373754214</v>
          </cell>
          <cell r="AH17">
            <v>80.381887071280261</v>
          </cell>
        </row>
        <row r="18">
          <cell r="AC18">
            <v>165.85478946069441</v>
          </cell>
          <cell r="AD18">
            <v>177.76059024263753</v>
          </cell>
          <cell r="AG18">
            <v>55.618010786137191</v>
          </cell>
          <cell r="AH18">
            <v>62.506521497237387</v>
          </cell>
        </row>
        <row r="19">
          <cell r="AC19">
            <v>42.31591866394831</v>
          </cell>
          <cell r="AD19">
            <v>41.940175346971301</v>
          </cell>
          <cell r="AG19">
            <v>16.090266587617009</v>
          </cell>
          <cell r="AH19">
            <v>17.875365574042899</v>
          </cell>
        </row>
        <row r="20">
          <cell r="AC20">
            <v>0.21581675124132532</v>
          </cell>
          <cell r="AD20">
            <v>0.20487213606747109</v>
          </cell>
          <cell r="AG20">
            <v>0.20027959995076453</v>
          </cell>
          <cell r="AH20">
            <v>0.18158123922514291</v>
          </cell>
        </row>
        <row r="21">
          <cell r="AC21">
            <v>188.02676878115571</v>
          </cell>
          <cell r="AD21">
            <v>174.90274842396508</v>
          </cell>
          <cell r="AG21">
            <v>48.22576485479172</v>
          </cell>
          <cell r="AH21">
            <v>44.685542770568787</v>
          </cell>
        </row>
        <row r="22">
          <cell r="AC22">
            <v>42.46062019780156</v>
          </cell>
          <cell r="AD22">
            <v>18.931557569763971</v>
          </cell>
          <cell r="AG22">
            <v>1.8500332278039266</v>
          </cell>
          <cell r="AH22">
            <v>-11.604045279999717</v>
          </cell>
        </row>
        <row r="23">
          <cell r="AC23">
            <v>145.56614858335413</v>
          </cell>
          <cell r="AD23">
            <v>155.9711908542011</v>
          </cell>
          <cell r="AG23">
            <v>46.375731626987786</v>
          </cell>
          <cell r="AH23">
            <v>56.289588050568497</v>
          </cell>
        </row>
        <row r="24">
          <cell r="AC24">
            <v>110.23119142940584</v>
          </cell>
          <cell r="AD24">
            <v>121.9105574972298</v>
          </cell>
          <cell r="AG24">
            <v>32.319532889370791</v>
          </cell>
          <cell r="AH24">
            <v>41.035892326525598</v>
          </cell>
        </row>
        <row r="25">
          <cell r="AC25">
            <v>35.334957153948302</v>
          </cell>
          <cell r="AD25">
            <v>34.060633356971302</v>
          </cell>
          <cell r="AG25">
            <v>14.056198737616999</v>
          </cell>
          <cell r="AH25">
            <v>15.253695724042899</v>
          </cell>
        </row>
        <row r="26">
          <cell r="AC26">
            <v>0.14684154537425645</v>
          </cell>
          <cell r="AD26">
            <v>0.13250375194287123</v>
          </cell>
          <cell r="AG26">
            <v>0.14888746431819483</v>
          </cell>
          <cell r="AH26">
            <v>0.13742282079121859</v>
          </cell>
        </row>
        <row r="30">
          <cell r="AC30">
            <v>1361.5895715532536</v>
          </cell>
          <cell r="AD30">
            <v>1319.9833654474487</v>
          </cell>
          <cell r="AG30">
            <v>341.62306509300811</v>
          </cell>
          <cell r="AH30">
            <v>325.16828364670141</v>
          </cell>
        </row>
        <row r="31">
          <cell r="AC31">
            <v>513.3753496683355</v>
          </cell>
          <cell r="AD31">
            <v>523.3281650599971</v>
          </cell>
          <cell r="AG31">
            <v>101.27625039476828</v>
          </cell>
          <cell r="AH31">
            <v>97.060579432996235</v>
          </cell>
        </row>
        <row r="32">
          <cell r="AC32">
            <v>848.21422188491817</v>
          </cell>
          <cell r="AD32">
            <v>796.65520038745171</v>
          </cell>
          <cell r="AG32">
            <v>240.34681469823988</v>
          </cell>
          <cell r="AH32">
            <v>228.10770421370535</v>
          </cell>
        </row>
        <row r="33">
          <cell r="AC33">
            <v>663.23013581491819</v>
          </cell>
          <cell r="AD33">
            <v>628.42263597745171</v>
          </cell>
          <cell r="AG33">
            <v>184.45305112823979</v>
          </cell>
          <cell r="AH33">
            <v>178.37230149370527</v>
          </cell>
        </row>
        <row r="34">
          <cell r="AC34">
            <v>184.98408606999999</v>
          </cell>
          <cell r="AD34">
            <v>168.23256441000001</v>
          </cell>
          <cell r="AG34">
            <v>55.893763570000004</v>
          </cell>
          <cell r="AH34">
            <v>49.73540272000001</v>
          </cell>
        </row>
        <row r="35">
          <cell r="AC35">
            <v>295.95838731016778</v>
          </cell>
          <cell r="AD35">
            <v>270.42781165274812</v>
          </cell>
          <cell r="AG35">
            <v>68.756418642293369</v>
          </cell>
          <cell r="AH35">
            <v>59.044459901280817</v>
          </cell>
        </row>
        <row r="36">
          <cell r="AC36">
            <v>68.177012687801493</v>
          </cell>
          <cell r="AD36">
            <v>50.727046063139333</v>
          </cell>
          <cell r="AG36">
            <v>-6.8362148621960159</v>
          </cell>
          <cell r="AH36">
            <v>-21.337427169999437</v>
          </cell>
        </row>
        <row r="37">
          <cell r="AC37">
            <v>227.78137462236629</v>
          </cell>
          <cell r="AD37">
            <v>219.70076558960881</v>
          </cell>
          <cell r="AG37">
            <v>75.592633504489385</v>
          </cell>
          <cell r="AH37">
            <v>80.381887071280261</v>
          </cell>
        </row>
        <row r="38">
          <cell r="AC38">
            <v>185.46545595841798</v>
          </cell>
          <cell r="AD38">
            <v>177.76059024263753</v>
          </cell>
          <cell r="AG38">
            <v>59.50236691687239</v>
          </cell>
          <cell r="AH38">
            <v>62.506521497237387</v>
          </cell>
        </row>
        <row r="39">
          <cell r="AC39">
            <v>42.31591866394831</v>
          </cell>
          <cell r="AD39">
            <v>41.940175346971301</v>
          </cell>
          <cell r="AG39">
            <v>16.090266587617009</v>
          </cell>
          <cell r="AH39">
            <v>17.875365574042899</v>
          </cell>
        </row>
        <row r="40">
          <cell r="AC40">
            <v>0.21736240750768152</v>
          </cell>
          <cell r="AD40">
            <v>0.20487213606747109</v>
          </cell>
          <cell r="AG40">
            <v>0.20126398263997247</v>
          </cell>
          <cell r="AH40">
            <v>0.18158123922514291</v>
          </cell>
        </row>
        <row r="41">
          <cell r="AC41">
            <v>200.86192027660238</v>
          </cell>
          <cell r="AD41">
            <v>174.90274842396508</v>
          </cell>
          <cell r="AG41">
            <v>51.198309750170836</v>
          </cell>
          <cell r="AH41">
            <v>44.685542770568787</v>
          </cell>
        </row>
        <row r="42">
          <cell r="AC42">
            <v>42.46062019780156</v>
          </cell>
          <cell r="AD42">
            <v>18.931557569763971</v>
          </cell>
          <cell r="AG42">
            <v>1.8500332278039266</v>
          </cell>
          <cell r="AH42">
            <v>-11.604045279999717</v>
          </cell>
        </row>
        <row r="43">
          <cell r="AC43">
            <v>158.40130007880083</v>
          </cell>
          <cell r="AD43">
            <v>155.9711908542011</v>
          </cell>
          <cell r="AG43">
            <v>49.348276522366916</v>
          </cell>
          <cell r="AH43">
            <v>56.289588050568497</v>
          </cell>
        </row>
        <row r="44">
          <cell r="AC44">
            <v>123.06634292485252</v>
          </cell>
          <cell r="AD44">
            <v>121.9105574972298</v>
          </cell>
          <cell r="AG44">
            <v>35.292077784749907</v>
          </cell>
          <cell r="AH44">
            <v>41.035892326525598</v>
          </cell>
        </row>
        <row r="45">
          <cell r="AC45">
            <v>35.334957153948302</v>
          </cell>
          <cell r="AD45">
            <v>34.060633356971302</v>
          </cell>
          <cell r="AG45">
            <v>14.056198737616999</v>
          </cell>
          <cell r="AH45">
            <v>15.253695724042899</v>
          </cell>
        </row>
        <row r="46">
          <cell r="AC46">
            <v>0.14752016648266933</v>
          </cell>
          <cell r="AD46">
            <v>0.13250375194287123</v>
          </cell>
          <cell r="AG46">
            <v>0.14986783675227525</v>
          </cell>
          <cell r="AH46">
            <v>0.13742282079121859</v>
          </cell>
        </row>
        <row r="64">
          <cell r="AC64">
            <v>1280.28846650694</v>
          </cell>
          <cell r="AD64">
            <v>1335.7395865590699</v>
          </cell>
          <cell r="AG64">
            <v>331.11478090347407</v>
          </cell>
          <cell r="AH64">
            <v>327.15206865573987</v>
          </cell>
        </row>
        <row r="65">
          <cell r="AC65">
            <v>513.37534966833562</v>
          </cell>
          <cell r="AD65">
            <v>527.96216505999712</v>
          </cell>
          <cell r="AG65">
            <v>101.2762503947684</v>
          </cell>
          <cell r="AH65">
            <v>97.060579432996235</v>
          </cell>
        </row>
        <row r="66">
          <cell r="AC66">
            <v>766.91311683860442</v>
          </cell>
          <cell r="AD66">
            <v>807.77742149907294</v>
          </cell>
          <cell r="AG66">
            <v>229.83853050870562</v>
          </cell>
          <cell r="AH66">
            <v>230.0914892227438</v>
          </cell>
        </row>
        <row r="67">
          <cell r="AC67">
            <v>581.92903076860443</v>
          </cell>
          <cell r="AD67">
            <v>639.54485708907293</v>
          </cell>
          <cell r="AG67">
            <v>173.94476693870558</v>
          </cell>
          <cell r="AH67">
            <v>180.35608650274378</v>
          </cell>
        </row>
        <row r="68">
          <cell r="AC68">
            <v>184.98408606999999</v>
          </cell>
          <cell r="AD68">
            <v>168.23256441000001</v>
          </cell>
          <cell r="AG68">
            <v>55.893763570000004</v>
          </cell>
          <cell r="AH68">
            <v>49.73540272000001</v>
          </cell>
        </row>
        <row r="69">
          <cell r="AC69">
            <v>1027.3201889299389</v>
          </cell>
          <cell r="AD69">
            <v>1087.557910527986</v>
          </cell>
          <cell r="AG69">
            <v>268.00387598990096</v>
          </cell>
          <cell r="AH69">
            <v>280.35373392325187</v>
          </cell>
        </row>
        <row r="70">
          <cell r="AC70">
            <v>464.36523146865062</v>
          </cell>
          <cell r="AD70">
            <v>494.28132466302094</v>
          </cell>
          <cell r="AG70">
            <v>108.89871178508093</v>
          </cell>
          <cell r="AH70">
            <v>128.34979887299573</v>
          </cell>
        </row>
        <row r="71">
          <cell r="AC71">
            <v>562.95495746128836</v>
          </cell>
          <cell r="AD71">
            <v>593.27658586496511</v>
          </cell>
          <cell r="AG71">
            <v>159.10516420482003</v>
          </cell>
          <cell r="AH71">
            <v>152.0039350502563</v>
          </cell>
        </row>
        <row r="72">
          <cell r="AC72">
            <v>418.67761472523671</v>
          </cell>
          <cell r="AD72">
            <v>465.85230194193639</v>
          </cell>
          <cell r="AG72">
            <v>119.14473783243704</v>
          </cell>
          <cell r="AH72">
            <v>120.01032816429915</v>
          </cell>
        </row>
        <row r="73">
          <cell r="AC73">
            <v>144.27734273605168</v>
          </cell>
          <cell r="AD73">
            <v>127.42428392302871</v>
          </cell>
          <cell r="AG73">
            <v>39.960426372382997</v>
          </cell>
          <cell r="AH73">
            <v>31.993606885957107</v>
          </cell>
        </row>
        <row r="74">
          <cell r="AC74">
            <v>252.968277577001</v>
          </cell>
          <cell r="AD74">
            <v>248.18167603108401</v>
          </cell>
          <cell r="AG74">
            <v>63.110904913573023</v>
          </cell>
          <cell r="AH74">
            <v>46.798334732488001</v>
          </cell>
        </row>
        <row r="75">
          <cell r="AC75">
            <v>49.010118199684975</v>
          </cell>
          <cell r="AD75">
            <v>33.680840396976187</v>
          </cell>
          <cell r="AG75">
            <v>-7.6224613903125302</v>
          </cell>
          <cell r="AH75">
            <v>-31.289219439999492</v>
          </cell>
        </row>
        <row r="76">
          <cell r="AC76">
            <v>203.95815937731601</v>
          </cell>
          <cell r="AD76">
            <v>214.50083563410783</v>
          </cell>
          <cell r="AG76">
            <v>70.733366303885532</v>
          </cell>
          <cell r="AH76">
            <v>78.087554172487501</v>
          </cell>
        </row>
        <row r="77">
          <cell r="AC77">
            <v>163.2514160433677</v>
          </cell>
          <cell r="AD77">
            <v>173.69255514713655</v>
          </cell>
          <cell r="AG77">
            <v>54.800029106268511</v>
          </cell>
          <cell r="AH77">
            <v>60.345758338444611</v>
          </cell>
        </row>
        <row r="78">
          <cell r="AC78">
            <v>40.70674333394831</v>
          </cell>
          <cell r="AD78">
            <v>40.808280486971299</v>
          </cell>
          <cell r="AG78">
            <v>15.933337197617011</v>
          </cell>
          <cell r="AH78">
            <v>17.741795834042897</v>
          </cell>
        </row>
        <row r="79">
          <cell r="AC79">
            <v>0.19758693778378245</v>
          </cell>
          <cell r="AD79">
            <v>0.18580094393280061</v>
          </cell>
          <cell r="AG79">
            <v>0.1906012916166705</v>
          </cell>
          <cell r="AH79">
            <v>0.1430476503626624</v>
          </cell>
        </row>
        <row r="80">
          <cell r="AC80">
            <v>85.328178512892094</v>
          </cell>
          <cell r="AD80">
            <v>52.640916778721468</v>
          </cell>
          <cell r="AG80">
            <v>-33.441163530707939</v>
          </cell>
          <cell r="AH80">
            <v>6.2630934220744052</v>
          </cell>
        </row>
        <row r="81">
          <cell r="AC81">
            <v>-55.687274290314946</v>
          </cell>
          <cell r="AD81">
            <v>-96.105159096399206</v>
          </cell>
          <cell r="AG81">
            <v>-77.917213300312596</v>
          </cell>
          <cell r="AH81">
            <v>-45.992348549999811</v>
          </cell>
        </row>
        <row r="82">
          <cell r="AC82">
            <v>141.01545280320704</v>
          </cell>
          <cell r="AD82">
            <v>148.74607587512068</v>
          </cell>
          <cell r="AG82">
            <v>44.476049769604657</v>
          </cell>
          <cell r="AH82">
            <v>52.255441972074223</v>
          </cell>
        </row>
        <row r="83">
          <cell r="AC83">
            <v>107.28967097925874</v>
          </cell>
          <cell r="AD83">
            <v>115.81733737814938</v>
          </cell>
          <cell r="AG83">
            <v>30.576780421987664</v>
          </cell>
          <cell r="AH83">
            <v>37.135315988031323</v>
          </cell>
        </row>
        <row r="84">
          <cell r="AC84">
            <v>33.725781823948303</v>
          </cell>
          <cell r="AD84">
            <v>32.928738496971299</v>
          </cell>
          <cell r="AG84">
            <v>13.899269347617</v>
          </cell>
          <cell r="AH84">
            <v>15.120125984042897</v>
          </cell>
        </row>
        <row r="85">
          <cell r="AC85">
            <v>6.6647619458524238E-2</v>
          </cell>
          <cell r="AD85">
            <v>3.9409565538389882E-2</v>
          </cell>
          <cell r="AG85">
            <v>-0.10099568324754624</v>
          </cell>
          <cell r="AH85">
            <v>1.9144287999795655E-2</v>
          </cell>
        </row>
        <row r="86">
          <cell r="AC86">
            <v>-85.579592177397004</v>
          </cell>
          <cell r="AD86">
            <v>-69.151449704683998</v>
          </cell>
          <cell r="AG86">
            <v>-21.069146674855403</v>
          </cell>
          <cell r="AH86">
            <v>-28.731669632776196</v>
          </cell>
        </row>
        <row r="87">
          <cell r="AC87">
            <v>-52.985602591597598</v>
          </cell>
          <cell r="AD87">
            <v>-52.793500243514103</v>
          </cell>
          <cell r="AG87">
            <v>-13.682407743213801</v>
          </cell>
          <cell r="AH87">
            <v>-12.814852814476502</v>
          </cell>
        </row>
        <row r="88">
          <cell r="AC88">
            <v>-32.593989585799406</v>
          </cell>
          <cell r="AD88">
            <v>-16.357949461169895</v>
          </cell>
          <cell r="AG88">
            <v>-7.3867389316416023</v>
          </cell>
          <cell r="AH88">
            <v>-15.916816818299694</v>
          </cell>
        </row>
        <row r="89">
          <cell r="AC89">
            <v>3.8298239088826098</v>
          </cell>
          <cell r="AD89">
            <v>3.6567800838288198</v>
          </cell>
          <cell r="AG89">
            <v>0.76748546965497999</v>
          </cell>
          <cell r="AH89">
            <v>2.0364633459382997</v>
          </cell>
        </row>
        <row r="90">
          <cell r="AC90">
            <v>3.5784102443777006</v>
          </cell>
          <cell r="AD90">
            <v>-12.853752842133709</v>
          </cell>
          <cell r="AG90">
            <v>-53.742824735908364</v>
          </cell>
          <cell r="AH90">
            <v>-20.432112864763489</v>
          </cell>
        </row>
        <row r="91">
          <cell r="AC91">
            <v>240.15153522372029</v>
          </cell>
          <cell r="AD91">
            <v>61.559345703595817</v>
          </cell>
          <cell r="AG91">
            <v>202.92692474052029</v>
          </cell>
          <cell r="AH91">
            <v>19.408578206328819</v>
          </cell>
        </row>
        <row r="92">
          <cell r="AC92">
            <v>0</v>
          </cell>
          <cell r="AD92">
            <v>-0.98472851000000106</v>
          </cell>
          <cell r="AG92">
            <v>0</v>
          </cell>
          <cell r="AH92">
            <v>1.4500000005024383E-5</v>
          </cell>
        </row>
        <row r="93">
          <cell r="AC93">
            <v>32.7724083772301</v>
          </cell>
          <cell r="AD93">
            <v>27.1681582724474</v>
          </cell>
          <cell r="AG93">
            <v>9.7084073170736005</v>
          </cell>
          <cell r="AH93">
            <v>7.1059425665993992</v>
          </cell>
        </row>
        <row r="94">
          <cell r="AC94">
            <v>-269.34553435656738</v>
          </cell>
          <cell r="AD94">
            <v>-102.56614004480481</v>
          </cell>
          <cell r="AG94">
            <v>-266.37815779349808</v>
          </cell>
          <cell r="AH94">
            <v>-46.946773727692076</v>
          </cell>
        </row>
        <row r="107">
          <cell r="AC107">
            <v>-0.18545047568297157</v>
          </cell>
          <cell r="AD107">
            <v>15.75622111162132</v>
          </cell>
          <cell r="AG107">
            <v>7.2072909369174738</v>
          </cell>
          <cell r="AH107">
            <v>1.9837850090386002</v>
          </cell>
        </row>
        <row r="108">
          <cell r="AC108">
            <v>7.12672389184503</v>
          </cell>
          <cell r="AD108">
            <v>11.12222111162132</v>
          </cell>
          <cell r="AG108">
            <v>-0.25113496392750001</v>
          </cell>
          <cell r="AH108">
            <v>1.9837850090386002</v>
          </cell>
        </row>
        <row r="109">
          <cell r="AD109">
            <v>4.6340000000000003</v>
          </cell>
          <cell r="AG109">
            <v>0</v>
          </cell>
          <cell r="AH109">
            <v>0</v>
          </cell>
        </row>
        <row r="111">
          <cell r="AC111">
            <v>-23.193992759760249</v>
          </cell>
          <cell r="AD111">
            <v>-38.002356733285438</v>
          </cell>
          <cell r="AG111">
            <v>-8.968448534902663</v>
          </cell>
          <cell r="AH111">
            <v>-14.229910177831421</v>
          </cell>
        </row>
        <row r="112">
          <cell r="AC112">
            <v>-26.746813054287855</v>
          </cell>
          <cell r="AD112">
            <v>-29.434454900601047</v>
          </cell>
          <cell r="AG112">
            <v>-3.8928446490233597</v>
          </cell>
          <cell r="AH112">
            <v>-12.22060508053211</v>
          </cell>
        </row>
        <row r="113">
          <cell r="AD113">
            <v>-8.5679018326843899</v>
          </cell>
          <cell r="AG113">
            <v>0</v>
          </cell>
          <cell r="AH113">
            <v>-2.0093050972993094</v>
          </cell>
        </row>
        <row r="116">
          <cell r="AC116">
            <v>-79.319147032820396</v>
          </cell>
          <cell r="AD116">
            <v>-100.01569602357949</v>
          </cell>
          <cell r="AG116">
            <v>-79.905770787514484</v>
          </cell>
          <cell r="AH116">
            <v>-26.176324179701538</v>
          </cell>
        </row>
        <row r="117">
          <cell r="AC117">
            <v>-78.980999999999995</v>
          </cell>
          <cell r="AD117">
            <v>-86.754480999999998</v>
          </cell>
          <cell r="AG117">
            <v>-78.980999999999995</v>
          </cell>
          <cell r="AH117">
            <v>-13.200480999999996</v>
          </cell>
        </row>
        <row r="118">
          <cell r="AC118">
            <v>0</v>
          </cell>
          <cell r="AD118">
            <v>-2.0251850235794939</v>
          </cell>
          <cell r="AG118">
            <v>0</v>
          </cell>
          <cell r="AH118">
            <v>-1.7398131797015428</v>
          </cell>
        </row>
        <row r="119">
          <cell r="AC119">
            <v>0</v>
          </cell>
          <cell r="AD119">
            <v>-11.236030000000001</v>
          </cell>
          <cell r="AG119">
            <v>0</v>
          </cell>
          <cell r="AH119">
            <v>-11.236030000000001</v>
          </cell>
        </row>
        <row r="130">
          <cell r="AC130">
            <v>1280.473916982623</v>
          </cell>
          <cell r="AD130">
            <v>1319.9833654474487</v>
          </cell>
          <cell r="AG130">
            <v>323.90748996655645</v>
          </cell>
          <cell r="AH130">
            <v>325.16828364670141</v>
          </cell>
        </row>
        <row r="131">
          <cell r="AC131">
            <v>600.23322580258809</v>
          </cell>
          <cell r="AD131">
            <v>645.08058953155455</v>
          </cell>
          <cell r="AG131">
            <v>126.56103343652364</v>
          </cell>
          <cell r="AH131">
            <v>131.60986723957626</v>
          </cell>
        </row>
        <row r="132">
          <cell r="AC132">
            <v>288.07418471024204</v>
          </cell>
          <cell r="AD132">
            <v>280.66641862949501</v>
          </cell>
          <cell r="AG132">
            <v>81.97826798906803</v>
          </cell>
          <cell r="AH132">
            <v>77.845381979145998</v>
          </cell>
        </row>
        <row r="133">
          <cell r="AC133">
            <v>203.15950386693001</v>
          </cell>
          <cell r="AD133">
            <v>220.57753956794599</v>
          </cell>
          <cell r="AG133">
            <v>58.258105279332</v>
          </cell>
          <cell r="AH133">
            <v>63.156584846401017</v>
          </cell>
        </row>
        <row r="134">
          <cell r="AC134">
            <v>189.00700260286285</v>
          </cell>
          <cell r="AD134">
            <v>173.65881771845315</v>
          </cell>
          <cell r="AG134">
            <v>57.110083261632809</v>
          </cell>
          <cell r="AH134">
            <v>52.556449581578136</v>
          </cell>
        </row>
        <row r="142">
          <cell r="AC142">
            <v>276.34772081244421</v>
          </cell>
          <cell r="AD142">
            <v>270.42781165274812</v>
          </cell>
          <cell r="AG142">
            <v>64.872062511558198</v>
          </cell>
          <cell r="AH142">
            <v>59.044459901280817</v>
          </cell>
        </row>
        <row r="143">
          <cell r="AC143">
            <v>168.66654263345805</v>
          </cell>
          <cell r="AD143">
            <v>184.57032667491131</v>
          </cell>
          <cell r="AG143">
            <v>17.829355888747074</v>
          </cell>
          <cell r="AH143">
            <v>19.560040830658721</v>
          </cell>
        </row>
        <row r="144">
          <cell r="AC144">
            <v>61.801997257676831</v>
          </cell>
          <cell r="AD144">
            <v>46.556025480226296</v>
          </cell>
          <cell r="AG144">
            <v>23.365192176408634</v>
          </cell>
          <cell r="AH144">
            <v>18.089371214075818</v>
          </cell>
        </row>
        <row r="145">
          <cell r="AC145">
            <v>13.669252290183699</v>
          </cell>
          <cell r="AD145">
            <v>12.478501778196689</v>
          </cell>
          <cell r="AG145">
            <v>10.36636063760383</v>
          </cell>
          <cell r="AH145">
            <v>7.9657712787232597</v>
          </cell>
        </row>
        <row r="146">
          <cell r="AC146">
            <v>32.209928631125628</v>
          </cell>
          <cell r="AD146">
            <v>26.822957719413822</v>
          </cell>
          <cell r="AG146">
            <v>13.311153808798661</v>
          </cell>
          <cell r="AH146">
            <v>13.429276577823019</v>
          </cell>
        </row>
        <row r="158">
          <cell r="AC158">
            <v>252.968277577001</v>
          </cell>
          <cell r="AD158">
            <v>248.18167603108401</v>
          </cell>
          <cell r="AG158">
            <v>63.110904913573023</v>
          </cell>
          <cell r="AH158">
            <v>46.798334732488001</v>
          </cell>
        </row>
        <row r="159">
          <cell r="AC159">
            <v>23.379443235443205</v>
          </cell>
          <cell r="AD159">
            <v>22.246135621664109</v>
          </cell>
          <cell r="AG159">
            <v>1.761157597985175</v>
          </cell>
          <cell r="AH159">
            <v>12.246125168792815</v>
          </cell>
        </row>
        <row r="160">
          <cell r="AC160">
            <v>276.34772081244421</v>
          </cell>
          <cell r="AD160">
            <v>270.42781165274812</v>
          </cell>
          <cell r="AG160">
            <v>64.872062511558198</v>
          </cell>
          <cell r="AH160">
            <v>59.044459901280817</v>
          </cell>
        </row>
        <row r="161">
          <cell r="AC161">
            <v>65.474889258695399</v>
          </cell>
          <cell r="AD161">
            <v>77.555572972308795</v>
          </cell>
          <cell r="AG161">
            <v>17.3394039079135</v>
          </cell>
          <cell r="AH161">
            <v>19.812551956489393</v>
          </cell>
        </row>
        <row r="162">
          <cell r="AC162">
            <v>20.650613952638199</v>
          </cell>
          <cell r="AD162">
            <v>18.1213474006681</v>
          </cell>
          <cell r="AG162">
            <v>-1.6764422726830013</v>
          </cell>
          <cell r="AH162">
            <v>-3.4545356497994995</v>
          </cell>
        </row>
        <row r="163">
          <cell r="AC163">
            <v>2.1954488199549012</v>
          </cell>
          <cell r="AD163">
            <v>-0.15185714419385477</v>
          </cell>
          <cell r="AG163">
            <v>0.98333602153597965</v>
          </cell>
          <cell r="AH163">
            <v>-1.9990991759778645</v>
          </cell>
        </row>
        <row r="164">
          <cell r="AC164">
            <v>188.02676878115571</v>
          </cell>
          <cell r="AD164">
            <v>174.90274842396508</v>
          </cell>
          <cell r="AG164">
            <v>48.22576485479172</v>
          </cell>
          <cell r="AH164">
            <v>44.685542770568787</v>
          </cell>
        </row>
        <row r="171">
          <cell r="AC171">
            <v>-15.238957936363214</v>
          </cell>
          <cell r="AD171">
            <v>-17.148466382420523</v>
          </cell>
          <cell r="AG171">
            <v>-1.813854956140565</v>
          </cell>
          <cell r="AH171">
            <v>-5.7151111810553896</v>
          </cell>
        </row>
        <row r="172">
          <cell r="AC172">
            <v>5.9887943735405411</v>
          </cell>
          <cell r="AD172">
            <v>2.2320071648630471</v>
          </cell>
          <cell r="AG172">
            <v>-1.2157726126777746</v>
          </cell>
          <cell r="AH172">
            <v>1.1833390048355117</v>
          </cell>
        </row>
        <row r="173">
          <cell r="AC173">
            <v>-9.2501635628226708</v>
          </cell>
          <cell r="AD173">
            <v>-14.916459217557474</v>
          </cell>
          <cell r="AG173">
            <v>-3.0296275688183378</v>
          </cell>
          <cell r="AH173">
            <v>-4.5317721762198762</v>
          </cell>
        </row>
        <row r="174">
          <cell r="AC174">
            <v>0.7573283563288058</v>
          </cell>
          <cell r="AD174">
            <v>0.93407084783322336</v>
          </cell>
          <cell r="AG174">
            <v>0.17223890602383651</v>
          </cell>
          <cell r="AH174">
            <v>0.1958817026700812</v>
          </cell>
        </row>
        <row r="175">
          <cell r="AC175">
            <v>1.3826227088842797</v>
          </cell>
          <cell r="AD175">
            <v>0.32713511722135097</v>
          </cell>
          <cell r="AG175">
            <v>1.13300058290232</v>
          </cell>
          <cell r="AH175">
            <v>7.4548561127002533E-2</v>
          </cell>
        </row>
        <row r="176">
          <cell r="AC176">
            <v>0.10195511000002438</v>
          </cell>
          <cell r="AD176">
            <v>9.6728181020466764E-13</v>
          </cell>
          <cell r="AG176">
            <v>3.8288816561760086E-13</v>
          </cell>
          <cell r="AH176">
            <v>4.7534198799326077E-13</v>
          </cell>
        </row>
        <row r="177">
          <cell r="AC177">
            <v>-11.492069738035781</v>
          </cell>
          <cell r="AD177">
            <v>-16.177665182613019</v>
          </cell>
          <cell r="AG177">
            <v>-4.3348670577448765</v>
          </cell>
          <cell r="AH177">
            <v>-4.8022024400174388</v>
          </cell>
        </row>
      </sheetData>
      <sheetData sheetId="2">
        <row r="10">
          <cell r="AC10">
            <v>600.23322580258809</v>
          </cell>
          <cell r="AD10">
            <v>645.08058953155455</v>
          </cell>
          <cell r="AG10">
            <v>126.56103343652364</v>
          </cell>
          <cell r="AH10">
            <v>131.60986723957626</v>
          </cell>
        </row>
        <row r="11">
          <cell r="AC11">
            <v>115.08397865701687</v>
          </cell>
          <cell r="AD11">
            <v>121.03364661603962</v>
          </cell>
          <cell r="AG11">
            <v>-12.730797823080991</v>
          </cell>
          <cell r="AH11">
            <v>-18.030538212708052</v>
          </cell>
        </row>
        <row r="12">
          <cell r="AC12">
            <v>485.14924714557122</v>
          </cell>
          <cell r="AD12">
            <v>524.04694291551493</v>
          </cell>
          <cell r="AG12">
            <v>139.29183125960463</v>
          </cell>
          <cell r="AH12">
            <v>149.64040545228431</v>
          </cell>
        </row>
        <row r="13">
          <cell r="AC13">
            <v>481.4726321455712</v>
          </cell>
          <cell r="AD13">
            <v>520.24879091551497</v>
          </cell>
          <cell r="AG13">
            <v>139.15197325960463</v>
          </cell>
          <cell r="AH13">
            <v>149.59074545228435</v>
          </cell>
        </row>
        <row r="14">
          <cell r="AC14">
            <v>3.676615</v>
          </cell>
          <cell r="AD14">
            <v>3.798152</v>
          </cell>
          <cell r="AG14">
            <v>0.13985799999999982</v>
          </cell>
          <cell r="AH14">
            <v>4.9659999999999815E-2</v>
          </cell>
        </row>
        <row r="15">
          <cell r="AC15">
            <v>168.66654263345805</v>
          </cell>
          <cell r="AD15">
            <v>184.57032667491131</v>
          </cell>
          <cell r="AG15">
            <v>17.829355888747074</v>
          </cell>
          <cell r="AH15">
            <v>19.560040830658721</v>
          </cell>
        </row>
        <row r="16">
          <cell r="AC16">
            <v>20.530338111354951</v>
          </cell>
          <cell r="AD16">
            <v>25.397423876975722</v>
          </cell>
          <cell r="AG16">
            <v>-30.544043688644734</v>
          </cell>
          <cell r="AH16">
            <v>-35.595048139999534</v>
          </cell>
        </row>
        <row r="17">
          <cell r="AC17">
            <v>148.1362045221031</v>
          </cell>
          <cell r="AD17">
            <v>159.17290279793559</v>
          </cell>
          <cell r="AG17">
            <v>48.373399577391808</v>
          </cell>
          <cell r="AH17">
            <v>55.155088970658255</v>
          </cell>
        </row>
        <row r="18">
          <cell r="AC18">
            <v>146.9700725221031</v>
          </cell>
          <cell r="AD18">
            <v>159.11255279793559</v>
          </cell>
          <cell r="AG18">
            <v>48.563002577391799</v>
          </cell>
          <cell r="AH18">
            <v>55.65174197065825</v>
          </cell>
        </row>
        <row r="19">
          <cell r="AC19">
            <v>1.1661320000000002</v>
          </cell>
          <cell r="AD19">
            <v>6.0349999999999508E-2</v>
          </cell>
          <cell r="AG19">
            <v>-0.18960300000000085</v>
          </cell>
          <cell r="AH19">
            <v>-0.4966530000000014</v>
          </cell>
        </row>
        <row r="20">
          <cell r="AC20">
            <v>0.28100167631994954</v>
          </cell>
          <cell r="AD20">
            <v>0.28611979599160292</v>
          </cell>
          <cell r="AG20">
            <v>0.14087555548990788</v>
          </cell>
          <cell r="AH20">
            <v>0.14862138562188931</v>
          </cell>
        </row>
        <row r="21">
          <cell r="AC21">
            <v>105.72563844802613</v>
          </cell>
          <cell r="AD21">
            <v>117.4606874726408</v>
          </cell>
          <cell r="AG21">
            <v>9.0708447510090764</v>
          </cell>
          <cell r="AH21">
            <v>11.781260654064241</v>
          </cell>
        </row>
        <row r="22">
          <cell r="AC22">
            <v>5.5062221913550786</v>
          </cell>
          <cell r="AD22">
            <v>7.7884945969760651</v>
          </cell>
          <cell r="AG22">
            <v>-21.005926888644566</v>
          </cell>
          <cell r="AH22">
            <v>-24.272338319999562</v>
          </cell>
        </row>
        <row r="23">
          <cell r="AC23">
            <v>100.21941625667105</v>
          </cell>
          <cell r="AD23">
            <v>109.67219287566473</v>
          </cell>
          <cell r="AG23">
            <v>30.076771639653643</v>
          </cell>
          <cell r="AH23">
            <v>36.053598974063803</v>
          </cell>
        </row>
        <row r="24">
          <cell r="AC24">
            <v>99.474347256671052</v>
          </cell>
          <cell r="AD24">
            <v>110.41362087566473</v>
          </cell>
          <cell r="AG24">
            <v>30.347269639653646</v>
          </cell>
          <cell r="AH24">
            <v>36.908982974063804</v>
          </cell>
        </row>
        <row r="25">
          <cell r="AC25">
            <v>0.74506900000000009</v>
          </cell>
          <cell r="AD25">
            <v>-0.74142800000000098</v>
          </cell>
          <cell r="AG25">
            <v>-0.27049800000000002</v>
          </cell>
          <cell r="AH25">
            <v>-0.85538400000000214</v>
          </cell>
        </row>
        <row r="26">
          <cell r="AC26">
            <v>0.17614092973053519</v>
          </cell>
          <cell r="AD26">
            <v>0.18208684213849707</v>
          </cell>
          <cell r="AG26">
            <v>7.1671702614205773E-2</v>
          </cell>
          <cell r="AH26">
            <v>8.9516545386511187E-2</v>
          </cell>
        </row>
        <row r="30">
          <cell r="AC30">
            <v>673.37919122136475</v>
          </cell>
          <cell r="AD30">
            <v>645.08058953155455</v>
          </cell>
          <cell r="AG30">
            <v>142.08235970169358</v>
          </cell>
          <cell r="AH30">
            <v>131.60986723957626</v>
          </cell>
        </row>
        <row r="31">
          <cell r="AC31">
            <v>115.0839786570167</v>
          </cell>
          <cell r="AD31">
            <v>121.03364661603962</v>
          </cell>
          <cell r="AG31">
            <v>-12.730797823081161</v>
          </cell>
          <cell r="AH31">
            <v>-18.030538212708052</v>
          </cell>
        </row>
        <row r="32">
          <cell r="AC32">
            <v>558.29521256434805</v>
          </cell>
          <cell r="AD32">
            <v>524.04694291551493</v>
          </cell>
          <cell r="AG32">
            <v>154.81315752477474</v>
          </cell>
          <cell r="AH32">
            <v>149.64040545228431</v>
          </cell>
        </row>
        <row r="33">
          <cell r="AC33">
            <v>554.61859756434808</v>
          </cell>
          <cell r="AD33">
            <v>520.24879091551497</v>
          </cell>
          <cell r="AG33">
            <v>154.67329952477479</v>
          </cell>
          <cell r="AH33">
            <v>149.59074545228435</v>
          </cell>
        </row>
        <row r="34">
          <cell r="AC34">
            <v>3.676615</v>
          </cell>
          <cell r="AD34">
            <v>3.798152</v>
          </cell>
          <cell r="AG34">
            <v>0.13985799999999982</v>
          </cell>
          <cell r="AH34">
            <v>4.9659999999999815E-2</v>
          </cell>
        </row>
        <row r="35">
          <cell r="AC35">
            <v>188.55911069215003</v>
          </cell>
          <cell r="AD35">
            <v>184.57032667491131</v>
          </cell>
          <cell r="AG35">
            <v>21.280826933322544</v>
          </cell>
          <cell r="AH35">
            <v>19.560040830658721</v>
          </cell>
        </row>
        <row r="36">
          <cell r="AC36">
            <v>20.530338111354979</v>
          </cell>
          <cell r="AD36">
            <v>25.397423876975722</v>
          </cell>
          <cell r="AG36">
            <v>-30.544043688644706</v>
          </cell>
          <cell r="AH36">
            <v>-35.595048139999534</v>
          </cell>
        </row>
        <row r="37">
          <cell r="AC37">
            <v>168.02877258079505</v>
          </cell>
          <cell r="AD37">
            <v>159.17290279793559</v>
          </cell>
          <cell r="AG37">
            <v>51.82487062196725</v>
          </cell>
          <cell r="AH37">
            <v>55.155088970658255</v>
          </cell>
        </row>
        <row r="38">
          <cell r="AC38">
            <v>166.86264058079504</v>
          </cell>
          <cell r="AD38">
            <v>159.11255279793559</v>
          </cell>
          <cell r="AG38">
            <v>52.014473621967241</v>
          </cell>
          <cell r="AH38">
            <v>55.65174197065825</v>
          </cell>
        </row>
        <row r="39">
          <cell r="AC39">
            <v>1.1661320000000002</v>
          </cell>
          <cell r="AD39">
            <v>6.0349999999999508E-2</v>
          </cell>
          <cell r="AG39">
            <v>-0.18960300000000085</v>
          </cell>
          <cell r="AH39">
            <v>-0.4966530000000014</v>
          </cell>
        </row>
        <row r="40">
          <cell r="AC40">
            <v>0.28001921228089099</v>
          </cell>
          <cell r="AD40">
            <v>0.28611979599160292</v>
          </cell>
          <cell r="AG40">
            <v>0.14977810741602487</v>
          </cell>
          <cell r="AH40">
            <v>0.14862138562188931</v>
          </cell>
        </row>
        <row r="41">
          <cell r="AC41">
            <v>119.18555081330743</v>
          </cell>
          <cell r="AD41">
            <v>117.4606874726408</v>
          </cell>
          <cell r="AG41">
            <v>10.522161627482731</v>
          </cell>
          <cell r="AH41">
            <v>11.781260654064241</v>
          </cell>
        </row>
        <row r="42">
          <cell r="AC42">
            <v>5.5062221913550786</v>
          </cell>
          <cell r="AD42">
            <v>7.7884945969760651</v>
          </cell>
          <cell r="AG42">
            <v>-21.005926888644566</v>
          </cell>
          <cell r="AH42">
            <v>-24.272338319999562</v>
          </cell>
        </row>
        <row r="43">
          <cell r="AC43">
            <v>113.67932862195235</v>
          </cell>
          <cell r="AD43">
            <v>109.67219287566473</v>
          </cell>
          <cell r="AG43">
            <v>31.528088516127298</v>
          </cell>
          <cell r="AH43">
            <v>36.053598974063803</v>
          </cell>
        </row>
        <row r="44">
          <cell r="AC44">
            <v>112.93425962195235</v>
          </cell>
          <cell r="AD44">
            <v>110.41362087566473</v>
          </cell>
          <cell r="AG44">
            <v>31.798586516127301</v>
          </cell>
          <cell r="AH44">
            <v>36.908982974063804</v>
          </cell>
        </row>
        <row r="45">
          <cell r="AC45">
            <v>0.74506900000000009</v>
          </cell>
          <cell r="AD45">
            <v>-0.74142800000000098</v>
          </cell>
          <cell r="AG45">
            <v>-0.27049800000000002</v>
          </cell>
          <cell r="AH45">
            <v>-0.85538400000000214</v>
          </cell>
        </row>
        <row r="46">
          <cell r="AC46">
            <v>0.17699618931961728</v>
          </cell>
          <cell r="AD46">
            <v>0.18208684213849707</v>
          </cell>
          <cell r="AG46">
            <v>7.4056776995922252E-2</v>
          </cell>
          <cell r="AH46">
            <v>8.9516545386511187E-2</v>
          </cell>
        </row>
        <row r="64">
          <cell r="AC64">
            <v>600.54234219334398</v>
          </cell>
          <cell r="AD64">
            <v>656.20281064317601</v>
          </cell>
          <cell r="AG64">
            <v>132.94418191445095</v>
          </cell>
          <cell r="AH64">
            <v>133.59365224861506</v>
          </cell>
        </row>
        <row r="65">
          <cell r="AC65">
            <v>115.0839786570167</v>
          </cell>
          <cell r="AD65">
            <v>121.03364661603973</v>
          </cell>
          <cell r="AG65">
            <v>-12.730797823081218</v>
          </cell>
          <cell r="AH65">
            <v>-18.030538212707881</v>
          </cell>
        </row>
        <row r="66">
          <cell r="AC66">
            <v>485.45836353632728</v>
          </cell>
          <cell r="AD66">
            <v>535.16916402713628</v>
          </cell>
          <cell r="AG66">
            <v>145.67497973753217</v>
          </cell>
          <cell r="AH66">
            <v>151.62419046132294</v>
          </cell>
        </row>
        <row r="67">
          <cell r="AC67">
            <v>481.78174853632726</v>
          </cell>
          <cell r="AD67">
            <v>531.37101202713632</v>
          </cell>
          <cell r="AG67">
            <v>145.53512173753217</v>
          </cell>
          <cell r="AH67">
            <v>151.57453046132298</v>
          </cell>
        </row>
        <row r="68">
          <cell r="AC68">
            <v>3.676615</v>
          </cell>
          <cell r="AD68">
            <v>3.798152</v>
          </cell>
          <cell r="AG68">
            <v>0.13985799999999982</v>
          </cell>
          <cell r="AH68">
            <v>4.9659999999999815E-2</v>
          </cell>
        </row>
        <row r="69">
          <cell r="AC69">
            <v>433.28711298431597</v>
          </cell>
          <cell r="AD69">
            <v>476.87518325750301</v>
          </cell>
          <cell r="AG69">
            <v>114.26529383725693</v>
          </cell>
          <cell r="AH69">
            <v>118.15944022585501</v>
          </cell>
        </row>
        <row r="70">
          <cell r="AC70">
            <v>95.55233307566175</v>
          </cell>
          <cell r="AD70">
            <v>99.288226069064024</v>
          </cell>
          <cell r="AG70">
            <v>18.553050495563539</v>
          </cell>
          <cell r="AH70">
            <v>20.450145067291658</v>
          </cell>
        </row>
        <row r="71">
          <cell r="AC71">
            <v>337.73477990865422</v>
          </cell>
          <cell r="AD71">
            <v>377.58695718843899</v>
          </cell>
          <cell r="AG71">
            <v>95.712243341693409</v>
          </cell>
          <cell r="AH71">
            <v>97.70929515856335</v>
          </cell>
        </row>
        <row r="72">
          <cell r="AC72">
            <v>334.30717890865418</v>
          </cell>
          <cell r="AD72">
            <v>373.70163018843903</v>
          </cell>
          <cell r="AG72">
            <v>95.359886341693368</v>
          </cell>
          <cell r="AH72">
            <v>97.162982158563409</v>
          </cell>
        </row>
        <row r="73">
          <cell r="AC73">
            <v>3.4276010000000001</v>
          </cell>
          <cell r="AD73">
            <v>3.8853270000000006</v>
          </cell>
          <cell r="AG73">
            <v>0.35235700000000092</v>
          </cell>
          <cell r="AH73">
            <v>0.54631300000000138</v>
          </cell>
        </row>
        <row r="74">
          <cell r="AC74">
            <v>167.25522920902802</v>
          </cell>
          <cell r="AD74">
            <v>179.327627385673</v>
          </cell>
          <cell r="AG74">
            <v>18.678888077194017</v>
          </cell>
          <cell r="AH74">
            <v>15.434212022760022</v>
          </cell>
        </row>
        <row r="75">
          <cell r="AC75">
            <v>19.531645581354951</v>
          </cell>
          <cell r="AD75">
            <v>21.745420546975708</v>
          </cell>
          <cell r="AG75">
            <v>-31.283848318644758</v>
          </cell>
          <cell r="AH75">
            <v>-38.480683279999539</v>
          </cell>
        </row>
        <row r="76">
          <cell r="AC76">
            <v>147.72358362767307</v>
          </cell>
          <cell r="AD76">
            <v>157.58220683869729</v>
          </cell>
          <cell r="AG76">
            <v>49.962736395838775</v>
          </cell>
          <cell r="AH76">
            <v>53.914895302759561</v>
          </cell>
        </row>
        <row r="77">
          <cell r="AC77">
            <v>147.47456962767308</v>
          </cell>
          <cell r="AD77">
            <v>157.66938183869729</v>
          </cell>
          <cell r="AG77">
            <v>50.175235395838783</v>
          </cell>
          <cell r="AH77">
            <v>54.41154830275957</v>
          </cell>
        </row>
        <row r="78">
          <cell r="AC78">
            <v>0.24901400000000001</v>
          </cell>
          <cell r="AD78">
            <v>-8.7175000000000488E-2</v>
          </cell>
          <cell r="AG78">
            <v>-0.21249900000000099</v>
          </cell>
          <cell r="AH78">
            <v>-0.49665300000000145</v>
          </cell>
        </row>
        <row r="79">
          <cell r="AC79">
            <v>0.27850697187839651</v>
          </cell>
          <cell r="AD79">
            <v>0.27328079745636163</v>
          </cell>
          <cell r="AG79">
            <v>0.14050173394736301</v>
          </cell>
          <cell r="AH79">
            <v>0.1155310283308766</v>
          </cell>
        </row>
        <row r="80">
          <cell r="AC80">
            <v>104.04308265610199</v>
          </cell>
          <cell r="AD80">
            <v>110.192803159823</v>
          </cell>
          <cell r="AG80">
            <v>9.0984881621784837</v>
          </cell>
          <cell r="AH80">
            <v>5.9156186664639989</v>
          </cell>
        </row>
        <row r="81">
          <cell r="AC81">
            <v>4.5075296613550648</v>
          </cell>
          <cell r="AD81">
            <v>4.1364912669760514</v>
          </cell>
          <cell r="AG81">
            <v>-21.745731518644575</v>
          </cell>
          <cell r="AH81">
            <v>-27.157973459999567</v>
          </cell>
        </row>
        <row r="82">
          <cell r="AC82">
            <v>99.535552994746922</v>
          </cell>
          <cell r="AD82">
            <v>106.05631189284695</v>
          </cell>
          <cell r="AG82">
            <v>30.844219680823059</v>
          </cell>
          <cell r="AH82">
            <v>33.073592126463566</v>
          </cell>
        </row>
        <row r="83">
          <cell r="AC83">
            <v>99.707601994746923</v>
          </cell>
          <cell r="AD83">
            <v>106.94526489284695</v>
          </cell>
          <cell r="AG83">
            <v>31.137613680823065</v>
          </cell>
          <cell r="AH83">
            <v>33.928976126463567</v>
          </cell>
        </row>
        <row r="84">
          <cell r="AC84">
            <v>-0.17204900000000001</v>
          </cell>
          <cell r="AD84">
            <v>-0.88895300000000099</v>
          </cell>
          <cell r="AG84">
            <v>-0.29339399999999999</v>
          </cell>
          <cell r="AH84">
            <v>-0.85538400000000214</v>
          </cell>
        </row>
        <row r="85">
          <cell r="AC85">
            <v>0.17324853777355373</v>
          </cell>
          <cell r="AD85">
            <v>0.16792491798658668</v>
          </cell>
          <cell r="AG85">
            <v>6.8438407993163058E-2</v>
          </cell>
          <cell r="AH85">
            <v>4.4280686745917786E-2</v>
          </cell>
        </row>
        <row r="93">
          <cell r="AC93">
            <v>0.30911639075603947</v>
          </cell>
          <cell r="AD93">
            <v>11.12222111162132</v>
          </cell>
          <cell r="AG93">
            <v>6.3831484779274907</v>
          </cell>
          <cell r="AH93">
            <v>1.9837850090386002</v>
          </cell>
        </row>
        <row r="99">
          <cell r="AC99">
            <v>-7.621022488504428</v>
          </cell>
          <cell r="AD99">
            <v>-14.35416040085962</v>
          </cell>
          <cell r="AG99">
            <v>2.5793750383436045</v>
          </cell>
          <cell r="AH99">
            <v>-4.0988538169373001</v>
          </cell>
        </row>
        <row r="100">
          <cell r="AC100">
            <v>-4.6707261518452494</v>
          </cell>
          <cell r="AD100">
            <v>-5.7862585681752297</v>
          </cell>
          <cell r="AG100">
            <v>-1.4771206255684595</v>
          </cell>
          <cell r="AH100">
            <v>-2.0895487196379898</v>
          </cell>
        </row>
        <row r="101">
          <cell r="AD101">
            <v>-8.5679018326843899</v>
          </cell>
          <cell r="AG101">
            <v>0</v>
          </cell>
          <cell r="AH101">
            <v>-2.0093050972993094</v>
          </cell>
        </row>
        <row r="103">
          <cell r="AC103">
            <v>0.27124236749410896</v>
          </cell>
          <cell r="AD103">
            <v>-2.0251850235794939</v>
          </cell>
          <cell r="AG103">
            <v>0.82188877727756071</v>
          </cell>
          <cell r="AH103">
            <v>-1.7398131797015428</v>
          </cell>
        </row>
        <row r="104">
          <cell r="AD104">
            <v>-2.0251850235794939</v>
          </cell>
          <cell r="AG104">
            <v>0</v>
          </cell>
          <cell r="AH104">
            <v>-1.7398131797015428</v>
          </cell>
        </row>
        <row r="118">
          <cell r="AC118">
            <v>600.23322580258809</v>
          </cell>
          <cell r="AD118">
            <v>645.08058953155455</v>
          </cell>
          <cell r="AG118">
            <v>126.56103343652364</v>
          </cell>
          <cell r="AH118">
            <v>131.60986723957626</v>
          </cell>
        </row>
        <row r="119">
          <cell r="AC119">
            <v>355.62874283656089</v>
          </cell>
          <cell r="AD119">
            <v>387.08496306732582</v>
          </cell>
          <cell r="AG119">
            <v>132.95268366503586</v>
          </cell>
          <cell r="AH119">
            <v>139.96686927318245</v>
          </cell>
        </row>
        <row r="120">
          <cell r="AC120">
            <v>171.18137449951283</v>
          </cell>
          <cell r="AD120">
            <v>202.59278017353157</v>
          </cell>
          <cell r="AG120">
            <v>85.00680906441022</v>
          </cell>
          <cell r="AH120">
            <v>100.87626451927385</v>
          </cell>
        </row>
        <row r="121">
          <cell r="AC121">
            <v>184.44736833704806</v>
          </cell>
          <cell r="AD121">
            <v>184.49218289379425</v>
          </cell>
          <cell r="AG121">
            <v>47.945874600625643</v>
          </cell>
          <cell r="AH121">
            <v>39.090604753908593</v>
          </cell>
        </row>
        <row r="122">
          <cell r="AC122">
            <v>244.58358432907289</v>
          </cell>
          <cell r="AD122">
            <v>257.995474269044</v>
          </cell>
          <cell r="AG122">
            <v>-6.3490091941907565</v>
          </cell>
          <cell r="AH122">
            <v>-8.35713722141071</v>
          </cell>
        </row>
        <row r="131">
          <cell r="AC131">
            <v>673.37919122136475</v>
          </cell>
          <cell r="AD131">
            <v>645.08058953155455</v>
          </cell>
          <cell r="AG131">
            <v>142.08235970169358</v>
          </cell>
          <cell r="AH131">
            <v>131.60986723957626</v>
          </cell>
        </row>
        <row r="132">
          <cell r="AC132">
            <v>419.00524126995327</v>
          </cell>
          <cell r="AD132">
            <v>387.08496306732582</v>
          </cell>
          <cell r="AG132">
            <v>148.6870473517717</v>
          </cell>
          <cell r="AH132">
            <v>139.96686927318245</v>
          </cell>
        </row>
        <row r="133">
          <cell r="AC133">
            <v>199.95517226781288</v>
          </cell>
          <cell r="AD133">
            <v>202.59278017353157</v>
          </cell>
          <cell r="AG133">
            <v>95.951936096663758</v>
          </cell>
          <cell r="AH133">
            <v>100.87626451927385</v>
          </cell>
        </row>
        <row r="134">
          <cell r="AC134">
            <v>219.05006900214039</v>
          </cell>
          <cell r="AD134">
            <v>184.49218289379425</v>
          </cell>
          <cell r="AG134">
            <v>52.735111255107938</v>
          </cell>
          <cell r="AH134">
            <v>39.090604753908593</v>
          </cell>
        </row>
        <row r="135">
          <cell r="AC135">
            <v>254.35305131445733</v>
          </cell>
          <cell r="AD135">
            <v>257.995474269044</v>
          </cell>
          <cell r="AG135">
            <v>-6.5620466157564579</v>
          </cell>
          <cell r="AH135">
            <v>-8.35713722141071</v>
          </cell>
        </row>
        <row r="159">
          <cell r="AC159">
            <v>168.66654263345805</v>
          </cell>
          <cell r="AD159">
            <v>184.57032667491131</v>
          </cell>
          <cell r="AG159">
            <v>17.829355888747074</v>
          </cell>
          <cell r="AH159">
            <v>19.560040830658721</v>
          </cell>
        </row>
        <row r="160">
          <cell r="AC160">
            <v>114.68649941724661</v>
          </cell>
          <cell r="AD160">
            <v>126.2295086842704</v>
          </cell>
          <cell r="AG160">
            <v>57.042774377066927</v>
          </cell>
          <cell r="AH160">
            <v>59.858055635894758</v>
          </cell>
        </row>
        <row r="161">
          <cell r="AC161">
            <v>53.276361997577538</v>
          </cell>
          <cell r="AD161">
            <v>69.314048221977515</v>
          </cell>
          <cell r="AG161">
            <v>41.44385572107042</v>
          </cell>
          <cell r="AH161">
            <v>50.638907656600963</v>
          </cell>
        </row>
        <row r="162">
          <cell r="AC162">
            <v>61.41013741966907</v>
          </cell>
          <cell r="AD162">
            <v>56.915460462292884</v>
          </cell>
          <cell r="AG162">
            <v>15.598918655996506</v>
          </cell>
          <cell r="AH162">
            <v>9.219147979293794</v>
          </cell>
        </row>
        <row r="163">
          <cell r="AC163">
            <v>53.972186384565703</v>
          </cell>
          <cell r="AD163">
            <v>58.337793250205507</v>
          </cell>
          <cell r="AG163">
            <v>-39.231234465892143</v>
          </cell>
          <cell r="AH163">
            <v>-40.311012646638304</v>
          </cell>
        </row>
        <row r="172">
          <cell r="AC172">
            <v>188.55911069215003</v>
          </cell>
          <cell r="AD172">
            <v>184.57032667491131</v>
          </cell>
          <cell r="AG172">
            <v>21.280826933322544</v>
          </cell>
          <cell r="AH172">
            <v>19.560040830658721</v>
          </cell>
        </row>
        <row r="173">
          <cell r="AC173">
            <v>131.72580851757985</v>
          </cell>
          <cell r="AD173">
            <v>126.2295086842704</v>
          </cell>
          <cell r="AG173">
            <v>60.629653062388229</v>
          </cell>
          <cell r="AH173">
            <v>59.858055635894758</v>
          </cell>
        </row>
        <row r="174">
          <cell r="AC174">
            <v>59.916224816594692</v>
          </cell>
          <cell r="AD174">
            <v>69.314048221977515</v>
          </cell>
          <cell r="AG174">
            <v>46.692444307189916</v>
          </cell>
          <cell r="AH174">
            <v>50.638907656600963</v>
          </cell>
        </row>
        <row r="175">
          <cell r="AC175">
            <v>71.809583700985158</v>
          </cell>
          <cell r="AD175">
            <v>56.915460462292884</v>
          </cell>
          <cell r="AG175">
            <v>13.937208755198313</v>
          </cell>
          <cell r="AH175">
            <v>9.219147979293794</v>
          </cell>
        </row>
        <row r="176">
          <cell r="AC176">
            <v>56.825445342924368</v>
          </cell>
          <cell r="AD176">
            <v>58.337793250205507</v>
          </cell>
          <cell r="AG176">
            <v>-39.366642106638025</v>
          </cell>
          <cell r="AH176">
            <v>-40.311012646638304</v>
          </cell>
        </row>
        <row r="202">
          <cell r="AC202">
            <v>167.25522920902802</v>
          </cell>
          <cell r="AD202">
            <v>179.327627385673</v>
          </cell>
          <cell r="AG202">
            <v>18.678888077194017</v>
          </cell>
          <cell r="AH202">
            <v>15.434212022760022</v>
          </cell>
        </row>
        <row r="203">
          <cell r="AC203">
            <v>1.411313424430034</v>
          </cell>
          <cell r="AD203">
            <v>5.2426992892383169</v>
          </cell>
          <cell r="AG203">
            <v>-0.84953218844694334</v>
          </cell>
          <cell r="AH203">
            <v>4.1258288078986993</v>
          </cell>
        </row>
        <row r="204">
          <cell r="AC204">
            <v>168.66654263345805</v>
          </cell>
          <cell r="AD204">
            <v>184.57032667491131</v>
          </cell>
          <cell r="AG204">
            <v>17.829355888747074</v>
          </cell>
          <cell r="AH204">
            <v>19.560040830658721</v>
          </cell>
        </row>
        <row r="205">
          <cell r="AC205">
            <v>45.639027609504701</v>
          </cell>
          <cell r="AD205">
            <v>52.997736901822101</v>
          </cell>
          <cell r="AG205">
            <v>12.252335135465202</v>
          </cell>
          <cell r="AH205">
            <v>13.385861291666401</v>
          </cell>
        </row>
        <row r="206">
          <cell r="AC206">
            <v>15.8092792393249</v>
          </cell>
          <cell r="AD206">
            <v>14.102087821749699</v>
          </cell>
          <cell r="AG206">
            <v>-3.8465915594998012</v>
          </cell>
          <cell r="AH206">
            <v>-4.8199472363274012</v>
          </cell>
        </row>
        <row r="207">
          <cell r="AC207">
            <v>1.4925973366023175</v>
          </cell>
          <cell r="AD207">
            <v>9.8144786987148791E-3</v>
          </cell>
          <cell r="AG207">
            <v>0.35276756177259649</v>
          </cell>
          <cell r="AH207">
            <v>-0.78713387874451968</v>
          </cell>
        </row>
        <row r="208">
          <cell r="AC208">
            <v>105.72563844802613</v>
          </cell>
          <cell r="AD208">
            <v>117.4606874726408</v>
          </cell>
          <cell r="AG208">
            <v>9.0708447510090764</v>
          </cell>
          <cell r="AH208">
            <v>11.781260654064241</v>
          </cell>
        </row>
      </sheetData>
      <sheetData sheetId="3">
        <row r="10">
          <cell r="AC10">
            <v>288.07418471024204</v>
          </cell>
          <cell r="AD10">
            <v>280.66641862949501</v>
          </cell>
          <cell r="AG10">
            <v>81.97826798906803</v>
          </cell>
          <cell r="AH10">
            <v>77.845381979145998</v>
          </cell>
        </row>
        <row r="11">
          <cell r="AC11">
            <v>189.14613022833001</v>
          </cell>
          <cell r="AD11">
            <v>179.88399075000001</v>
          </cell>
          <cell r="AG11">
            <v>55.336292598330004</v>
          </cell>
          <cell r="AH11">
            <v>50.849146560000008</v>
          </cell>
        </row>
        <row r="12">
          <cell r="AC12">
            <v>92.281265575355306</v>
          </cell>
          <cell r="AD12">
            <v>94.598845791987102</v>
          </cell>
          <cell r="AG12">
            <v>26.103836047649423</v>
          </cell>
          <cell r="AH12">
            <v>26.071861196864504</v>
          </cell>
        </row>
        <row r="13">
          <cell r="AC13">
            <v>14.670630828367873</v>
          </cell>
          <cell r="AD13">
            <v>15.769798508512199</v>
          </cell>
          <cell r="AG13">
            <v>2.3384656229680729</v>
          </cell>
          <cell r="AH13">
            <v>3.8126414674832994</v>
          </cell>
        </row>
        <row r="14">
          <cell r="AC14">
            <v>-8.023841921811151</v>
          </cell>
          <cell r="AD14">
            <v>-9.5862164210042984</v>
          </cell>
          <cell r="AG14">
            <v>-1.8003262798794708</v>
          </cell>
          <cell r="AH14">
            <v>-2.8882672452018134</v>
          </cell>
        </row>
        <row r="15">
          <cell r="AC15">
            <v>309.02837838491206</v>
          </cell>
          <cell r="AD15">
            <v>301.65998468746892</v>
          </cell>
          <cell r="AG15">
            <v>87.646599557599757</v>
          </cell>
          <cell r="AH15">
            <v>84.031457613740798</v>
          </cell>
        </row>
        <row r="16">
          <cell r="AC16">
            <v>61.801997257676831</v>
          </cell>
          <cell r="AD16">
            <v>46.556025480226296</v>
          </cell>
          <cell r="AG16">
            <v>23.365192176408634</v>
          </cell>
          <cell r="AH16">
            <v>18.089371214075818</v>
          </cell>
        </row>
        <row r="17">
          <cell r="AC17">
            <v>37.151341948330099</v>
          </cell>
          <cell r="AD17">
            <v>24.341100030000209</v>
          </cell>
          <cell r="AG17">
            <v>13.818264928330102</v>
          </cell>
          <cell r="AH17">
            <v>9.5739530800003099</v>
          </cell>
        </row>
        <row r="18">
          <cell r="AC18">
            <v>23.379587859785016</v>
          </cell>
          <cell r="AD18">
            <v>23.966127738731291</v>
          </cell>
          <cell r="AG18">
            <v>8.3557705584468316</v>
          </cell>
          <cell r="AH18">
            <v>8.8416275897618135</v>
          </cell>
        </row>
        <row r="19">
          <cell r="AC19">
            <v>0.12707142956150047</v>
          </cell>
          <cell r="AD19">
            <v>-1.7512022885049401</v>
          </cell>
          <cell r="AG19">
            <v>4.7160669631750765E-2</v>
          </cell>
          <cell r="AH19">
            <v>-0.32620945568631998</v>
          </cell>
        </row>
        <row r="20">
          <cell r="AC20">
            <v>1.1439960200002157</v>
          </cell>
          <cell r="AD20">
            <v>-2.6467716907063732E-13</v>
          </cell>
          <cell r="AG20">
            <v>1.1439960199999497</v>
          </cell>
          <cell r="AH20">
            <v>1.4876988529977098E-14</v>
          </cell>
        </row>
        <row r="21">
          <cell r="AC21">
            <v>0.21453500708451212</v>
          </cell>
          <cell r="AD21">
            <v>0.16587672193759828</v>
          </cell>
          <cell r="AG21">
            <v>0.28501690447429834</v>
          </cell>
          <cell r="AH21">
            <v>0.23237564970677105</v>
          </cell>
        </row>
        <row r="22">
          <cell r="AC22">
            <v>69.985950637427067</v>
          </cell>
          <cell r="AD22">
            <v>55.169938132991632</v>
          </cell>
          <cell r="AG22">
            <v>25.69673072620018</v>
          </cell>
          <cell r="AH22">
            <v>21.056850687877301</v>
          </cell>
        </row>
        <row r="23">
          <cell r="AC23">
            <v>52.054678771673132</v>
          </cell>
          <cell r="AD23">
            <v>36.151309646792249</v>
          </cell>
          <cell r="AG23">
            <v>20.939823879346065</v>
          </cell>
          <cell r="AH23">
            <v>16.039771096936306</v>
          </cell>
        </row>
        <row r="24">
          <cell r="AC24">
            <v>30.985036698330095</v>
          </cell>
          <cell r="AD24">
            <v>18.101802310000398</v>
          </cell>
          <cell r="AG24">
            <v>11.953375828329992</v>
          </cell>
          <cell r="AH24">
            <v>7.6044250500004971</v>
          </cell>
        </row>
        <row r="25">
          <cell r="AC25">
            <v>19.807422684809008</v>
          </cell>
          <cell r="AD25">
            <v>20.270849086730557</v>
          </cell>
          <cell r="AG25">
            <v>7.4093788622874559</v>
          </cell>
          <cell r="AH25">
            <v>8.7987625494978126</v>
          </cell>
        </row>
        <row r="26">
          <cell r="AC26" t="e">
            <v>#VALUE!</v>
          </cell>
          <cell r="AD26">
            <v>-2.4597437499387897</v>
          </cell>
          <cell r="AG26" t="e">
            <v>#VALUE!</v>
          </cell>
          <cell r="AH26">
            <v>-0.60181850256194958</v>
          </cell>
        </row>
        <row r="27">
          <cell r="AC27" t="e">
            <v>#VALUE!</v>
          </cell>
          <cell r="AD27">
            <v>0.23840200000008416</v>
          </cell>
          <cell r="AG27" t="e">
            <v>#VALUE!</v>
          </cell>
          <cell r="AH27">
            <v>0.23840199999994605</v>
          </cell>
        </row>
        <row r="28">
          <cell r="AC28">
            <v>0.18069886693954221</v>
          </cell>
          <cell r="AD28">
            <v>0.12880525509008342</v>
          </cell>
          <cell r="AG28">
            <v>0.25543140143115045</v>
          </cell>
          <cell r="AH28">
            <v>0.20604653338631188</v>
          </cell>
        </row>
        <row r="29">
          <cell r="AC29">
            <v>59.282427274087865</v>
          </cell>
          <cell r="AD29">
            <v>43.960166677546177</v>
          </cell>
          <cell r="AG29">
            <v>23.030172474997265</v>
          </cell>
          <cell r="AH29">
            <v>18.900451747629614</v>
          </cell>
        </row>
        <row r="33">
          <cell r="AC33">
            <v>295.23895852991342</v>
          </cell>
          <cell r="AD33">
            <v>280.66641862949501</v>
          </cell>
          <cell r="AG33">
            <v>84.17467943263523</v>
          </cell>
          <cell r="AH33">
            <v>77.845381979145998</v>
          </cell>
        </row>
        <row r="34">
          <cell r="AC34">
            <v>189.14613022833001</v>
          </cell>
          <cell r="AD34">
            <v>179.88399075000001</v>
          </cell>
          <cell r="AG34">
            <v>55.336292598330004</v>
          </cell>
          <cell r="AH34">
            <v>50.849146560000008</v>
          </cell>
        </row>
        <row r="35">
          <cell r="AC35">
            <v>99.419112922574953</v>
          </cell>
          <cell r="AD35">
            <v>94.598845791987102</v>
          </cell>
          <cell r="AG35">
            <v>28.671319231712346</v>
          </cell>
          <cell r="AH35">
            <v>26.071861196864504</v>
          </cell>
        </row>
        <row r="36">
          <cell r="AC36">
            <v>14.722776344944142</v>
          </cell>
          <cell r="AD36">
            <v>15.769798508512199</v>
          </cell>
          <cell r="AG36">
            <v>2.3388827854988072</v>
          </cell>
          <cell r="AH36">
            <v>3.8126414674832994</v>
          </cell>
        </row>
        <row r="37">
          <cell r="AC37">
            <v>-8.049060965935686</v>
          </cell>
          <cell r="AD37">
            <v>-9.5862164210042984</v>
          </cell>
          <cell r="AG37">
            <v>-2.1718151829059273</v>
          </cell>
          <cell r="AH37">
            <v>-2.8882672452018134</v>
          </cell>
        </row>
        <row r="38">
          <cell r="AC38">
            <v>317.61947446551983</v>
          </cell>
          <cell r="AD38">
            <v>301.65998468746892</v>
          </cell>
          <cell r="AG38">
            <v>89.91645378687457</v>
          </cell>
          <cell r="AH38">
            <v>84.031457613740798</v>
          </cell>
        </row>
        <row r="39">
          <cell r="AC39">
            <v>62.134652010032475</v>
          </cell>
          <cell r="AD39">
            <v>46.556025480226296</v>
          </cell>
          <cell r="AG39">
            <v>23.837726599661195</v>
          </cell>
          <cell r="AH39">
            <v>18.089371214075818</v>
          </cell>
        </row>
        <row r="40">
          <cell r="AC40">
            <v>37.151341948330099</v>
          </cell>
          <cell r="AD40">
            <v>24.341100030000209</v>
          </cell>
          <cell r="AG40">
            <v>13.818264928330102</v>
          </cell>
          <cell r="AH40">
            <v>9.5739530800003099</v>
          </cell>
        </row>
        <row r="41">
          <cell r="AC41">
            <v>23.735284534955184</v>
          </cell>
          <cell r="AD41">
            <v>23.966127738731291</v>
          </cell>
          <cell r="AG41">
            <v>8.7124391491882687</v>
          </cell>
          <cell r="AH41">
            <v>8.8416275897618135</v>
          </cell>
        </row>
        <row r="42">
          <cell r="AC42">
            <v>9.9550855315876402E-2</v>
          </cell>
          <cell r="AD42">
            <v>-1.7512022885049401</v>
          </cell>
          <cell r="AG42">
            <v>4.6516318929872749E-2</v>
          </cell>
          <cell r="AH42">
            <v>-0.32620945568631998</v>
          </cell>
        </row>
        <row r="43">
          <cell r="AC43">
            <v>1.1484746714313154</v>
          </cell>
          <cell r="AD43">
            <v>-2.6467716907063732E-13</v>
          </cell>
          <cell r="AG43">
            <v>1.2605062032129521</v>
          </cell>
          <cell r="AH43">
            <v>1.4876988529977098E-14</v>
          </cell>
        </row>
        <row r="44">
          <cell r="AC44">
            <v>0.21045546400590298</v>
          </cell>
          <cell r="AD44">
            <v>0.16587672193759828</v>
          </cell>
          <cell r="AG44">
            <v>0.28319355369495008</v>
          </cell>
          <cell r="AH44">
            <v>0.23237564970677105</v>
          </cell>
        </row>
        <row r="45">
          <cell r="AC45">
            <v>70.905015451196491</v>
          </cell>
          <cell r="AD45">
            <v>55.169938132991632</v>
          </cell>
          <cell r="AG45">
            <v>26.206334751760728</v>
          </cell>
          <cell r="AH45">
            <v>21.056850687877301</v>
          </cell>
        </row>
        <row r="46">
          <cell r="AC46">
            <v>52.072483962847471</v>
          </cell>
          <cell r="AD46">
            <v>36.151309646792249</v>
          </cell>
          <cell r="AG46">
            <v>22.499068385718616</v>
          </cell>
          <cell r="AH46">
            <v>16.039771096936306</v>
          </cell>
        </row>
        <row r="47">
          <cell r="AC47">
            <v>30.985036698330095</v>
          </cell>
          <cell r="AD47">
            <v>18.101802310000398</v>
          </cell>
          <cell r="AG47">
            <v>11.953375828329992</v>
          </cell>
          <cell r="AH47">
            <v>7.6044250500004971</v>
          </cell>
        </row>
        <row r="48">
          <cell r="AC48">
            <v>19.873482834185367</v>
          </cell>
          <cell r="AD48">
            <v>20.270849086730557</v>
          </cell>
          <cell r="AG48">
            <v>8.1220116421758863</v>
          </cell>
          <cell r="AH48">
            <v>8.7987625494978126</v>
          </cell>
        </row>
        <row r="49">
          <cell r="AC49" t="e">
            <v>#VALUE!</v>
          </cell>
          <cell r="AD49">
            <v>-2.4597437499387897</v>
          </cell>
          <cell r="AG49" t="e">
            <v>#VALUE!</v>
          </cell>
          <cell r="AH49">
            <v>-0.60181850256194958</v>
          </cell>
        </row>
        <row r="50">
          <cell r="AC50" t="e">
            <v>#VALUE!</v>
          </cell>
          <cell r="AD50">
            <v>0.23840200000008416</v>
          </cell>
          <cell r="AG50" t="e">
            <v>#VALUE!</v>
          </cell>
          <cell r="AH50">
            <v>0.23840199999994605</v>
          </cell>
        </row>
        <row r="51">
          <cell r="AC51">
            <v>0.17637402672781588</v>
          </cell>
          <cell r="AD51">
            <v>0.12880525509008342</v>
          </cell>
          <cell r="AG51">
            <v>0.26729021764466071</v>
          </cell>
          <cell r="AH51">
            <v>0.20604653338631188</v>
          </cell>
        </row>
        <row r="52">
          <cell r="AC52">
            <v>59.823972082400331</v>
          </cell>
          <cell r="AD52">
            <v>43.960166677546177</v>
          </cell>
          <cell r="AG52">
            <v>24.62422659763304</v>
          </cell>
          <cell r="AH52">
            <v>18.900451747629614</v>
          </cell>
        </row>
        <row r="56">
          <cell r="AC56">
            <v>287.57961784380302</v>
          </cell>
          <cell r="AD56">
            <v>280.66641862949501</v>
          </cell>
          <cell r="AG56">
            <v>82.802410448058026</v>
          </cell>
          <cell r="AH56">
            <v>77.845381979145998</v>
          </cell>
        </row>
        <row r="57">
          <cell r="AC57">
            <v>257.61721233949197</v>
          </cell>
          <cell r="AD57">
            <v>250.19334435085901</v>
          </cell>
          <cell r="AG57">
            <v>73.795489894575979</v>
          </cell>
          <cell r="AH57">
            <v>70.415791125574003</v>
          </cell>
        </row>
        <row r="58">
          <cell r="AC58">
            <v>171.95676645</v>
          </cell>
          <cell r="AD58">
            <v>163.13597897</v>
          </cell>
          <cell r="AG58">
            <v>49.99367273</v>
          </cell>
          <cell r="AH58">
            <v>46.35689327</v>
          </cell>
        </row>
        <row r="59">
          <cell r="AC59">
            <v>85.811517438043296</v>
          </cell>
          <cell r="AD59">
            <v>87.19654315444231</v>
          </cell>
          <cell r="AG59">
            <v>23.805326664446895</v>
          </cell>
          <cell r="AH59">
            <v>24.09983040442981</v>
          </cell>
        </row>
        <row r="60">
          <cell r="AC60">
            <v>-0.15107154855132876</v>
          </cell>
          <cell r="AD60">
            <v>-0.13917777358329886</v>
          </cell>
          <cell r="AG60">
            <v>-3.5094998709155334E-3</v>
          </cell>
          <cell r="AH60">
            <v>-4.0932548855806772E-2</v>
          </cell>
        </row>
        <row r="61">
          <cell r="AC61">
            <v>29.96240550431105</v>
          </cell>
          <cell r="AD61">
            <v>30.473074278636005</v>
          </cell>
          <cell r="AG61">
            <v>9.0069205534820469</v>
          </cell>
          <cell r="AH61">
            <v>7.4295908535719946</v>
          </cell>
        </row>
        <row r="62">
          <cell r="AC62">
            <v>234.67236964832952</v>
          </cell>
          <cell r="AD62">
            <v>239.31410903682431</v>
          </cell>
          <cell r="AG62">
            <v>61.873384345284222</v>
          </cell>
          <cell r="AH62">
            <v>60.609970659846795</v>
          </cell>
        </row>
        <row r="63">
          <cell r="AC63">
            <v>158.06001231999988</v>
          </cell>
          <cell r="AD63">
            <v>158.2166118599998</v>
          </cell>
          <cell r="AG63">
            <v>41.761535139999893</v>
          </cell>
          <cell r="AH63">
            <v>41.282772249999724</v>
          </cell>
        </row>
        <row r="64">
          <cell r="AC64">
            <v>71.231336321180308</v>
          </cell>
          <cell r="AD64">
            <v>73.065937280811397</v>
          </cell>
          <cell r="AG64">
            <v>20.764866551827403</v>
          </cell>
          <cell r="AH64">
            <v>18.076614731879289</v>
          </cell>
        </row>
        <row r="65">
          <cell r="AC65">
            <v>14.548858948960691</v>
          </cell>
          <cell r="AD65">
            <v>17.617776317017139</v>
          </cell>
          <cell r="AG65">
            <v>2.2913049533363221</v>
          </cell>
          <cell r="AH65">
            <v>4.1388509231696169</v>
          </cell>
        </row>
        <row r="66">
          <cell r="AC66">
            <v>-9.1678379418113618</v>
          </cell>
          <cell r="AD66">
            <v>-9.5862164210040319</v>
          </cell>
          <cell r="AG66">
            <v>-2.9443222998793956</v>
          </cell>
          <cell r="AH66">
            <v>-2.8882672452018348</v>
          </cell>
        </row>
        <row r="67">
          <cell r="AC67">
            <v>52.9072481954735</v>
          </cell>
          <cell r="AD67">
            <v>41.3523095926707</v>
          </cell>
          <cell r="AG67">
            <v>20.9290261027738</v>
          </cell>
          <cell r="AH67">
            <v>17.235411319299203</v>
          </cell>
        </row>
        <row r="68">
          <cell r="AC68">
            <v>31.086117908330099</v>
          </cell>
          <cell r="AD68">
            <v>21.667378890000208</v>
          </cell>
          <cell r="AG68">
            <v>13.574757458330097</v>
          </cell>
          <cell r="AH68">
            <v>9.5663743100003096</v>
          </cell>
        </row>
        <row r="69">
          <cell r="AC69">
            <v>20.555362387736</v>
          </cell>
          <cell r="AD69">
            <v>21.532908511175702</v>
          </cell>
          <cell r="AG69">
            <v>6.1631119548120008</v>
          </cell>
          <cell r="AH69">
            <v>7.9952464649852004</v>
          </cell>
        </row>
        <row r="70">
          <cell r="AC70">
            <v>0.12177187940718298</v>
          </cell>
          <cell r="AD70">
            <v>-1.8479778085049399</v>
          </cell>
          <cell r="AG70">
            <v>4.7160669631750779E-2</v>
          </cell>
          <cell r="AH70">
            <v>-0.32620945568631976</v>
          </cell>
        </row>
        <row r="71">
          <cell r="AC71">
            <v>1.1439960200002175</v>
          </cell>
          <cell r="AD71">
            <v>-2.6978419498391304E-13</v>
          </cell>
          <cell r="AG71">
            <v>1.1439960199999515</v>
          </cell>
          <cell r="AH71">
            <v>1.2878587085651816E-14</v>
          </cell>
        </row>
        <row r="72">
          <cell r="AC72">
            <v>0.18397426282209514</v>
          </cell>
          <cell r="AD72">
            <v>0.14733615013365556</v>
          </cell>
          <cell r="AG72">
            <v>0.2527586575019164</v>
          </cell>
          <cell r="AH72">
            <v>0.22140570039101867</v>
          </cell>
        </row>
        <row r="73">
          <cell r="AC73">
            <v>43.093025044143502</v>
          </cell>
          <cell r="AD73">
            <v>28.415233759236664</v>
          </cell>
          <cell r="AG73">
            <v>18.400775795474303</v>
          </cell>
          <cell r="AH73">
            <v>12.653451202159697</v>
          </cell>
        </row>
        <row r="74">
          <cell r="AC74">
            <v>24.919812658330098</v>
          </cell>
          <cell r="AD74">
            <v>15.071721170000398</v>
          </cell>
          <cell r="AG74">
            <v>11.709868358329997</v>
          </cell>
          <cell r="AH74">
            <v>7.2404862800004981</v>
          </cell>
        </row>
        <row r="75">
          <cell r="AC75">
            <v>16.916292547433699</v>
          </cell>
          <cell r="AD75">
            <v>15.661629859174965</v>
          </cell>
          <cell r="AG75">
            <v>5.1138382484156981</v>
          </cell>
          <cell r="AH75">
            <v>5.7763814247211993</v>
          </cell>
        </row>
        <row r="76">
          <cell r="AC76">
            <v>0.11292601837954999</v>
          </cell>
          <cell r="AD76">
            <v>-2.5565192699387898</v>
          </cell>
          <cell r="AG76">
            <v>5.2453687285039935E-3</v>
          </cell>
          <cell r="AH76">
            <v>-0.60181850256194958</v>
          </cell>
        </row>
        <row r="77">
          <cell r="AC77">
            <v>1.1439938200001551</v>
          </cell>
          <cell r="AD77">
            <v>0.23840200000008993</v>
          </cell>
          <cell r="AG77">
            <v>1.5718238200001038</v>
          </cell>
          <cell r="AH77">
            <v>0.2384019999999496</v>
          </cell>
        </row>
        <row r="78">
          <cell r="AC78">
            <v>0.14984728530917374</v>
          </cell>
          <cell r="AG78">
            <v>0.22222512238357015</v>
          </cell>
        </row>
        <row r="86">
          <cell r="AC86">
            <v>-0.49456686643901049</v>
          </cell>
          <cell r="AD86">
            <v>0</v>
          </cell>
          <cell r="AG86">
            <v>0.8241424589899834</v>
          </cell>
          <cell r="AH86">
            <v>0</v>
          </cell>
        </row>
        <row r="92">
          <cell r="AC92">
            <v>-9.3419986044499392</v>
          </cell>
          <cell r="AD92">
            <v>-5.2037158875555898</v>
          </cell>
          <cell r="AG92">
            <v>-1.7097424614188474</v>
          </cell>
          <cell r="AH92">
            <v>-0.85395989477660983</v>
          </cell>
        </row>
        <row r="93">
          <cell r="AC93">
            <v>-8.7394746465815132</v>
          </cell>
          <cell r="AD93">
            <v>-5.2037158875555898</v>
          </cell>
          <cell r="AG93">
            <v>-2.7288506833860868</v>
          </cell>
          <cell r="AH93">
            <v>-0.85395989477660983</v>
          </cell>
        </row>
        <row r="98">
          <cell r="AC98">
            <v>6.6904665326288665E-2</v>
          </cell>
          <cell r="AD98">
            <v>-2.5323600000000002</v>
          </cell>
          <cell r="AG98">
            <v>0.10288201023691809</v>
          </cell>
          <cell r="AH98">
            <v>-2.5323600000000002</v>
          </cell>
        </row>
        <row r="99">
          <cell r="AC99">
            <v>0</v>
          </cell>
          <cell r="AD99">
            <v>-2.5323600000000002</v>
          </cell>
          <cell r="AG99">
            <v>0</v>
          </cell>
          <cell r="AH99">
            <v>-2.5323600000000002</v>
          </cell>
        </row>
        <row r="113">
          <cell r="AC113">
            <v>52.9072481954735</v>
          </cell>
          <cell r="AD113">
            <v>41.3523095926707</v>
          </cell>
          <cell r="AG113">
            <v>20.9290261027738</v>
          </cell>
          <cell r="AH113">
            <v>17.235411319299203</v>
          </cell>
        </row>
        <row r="114">
          <cell r="AC114">
            <v>8.8947490622033314</v>
          </cell>
          <cell r="AD114">
            <v>5.203715887555596</v>
          </cell>
          <cell r="AG114">
            <v>2.4361660736348334</v>
          </cell>
          <cell r="AH114">
            <v>0.85395989477661516</v>
          </cell>
        </row>
        <row r="115">
          <cell r="AC115">
            <v>61.801997257676831</v>
          </cell>
          <cell r="AD115">
            <v>46.556025480226296</v>
          </cell>
          <cell r="AG115">
            <v>23.365192176408634</v>
          </cell>
          <cell r="AH115">
            <v>18.089371214075818</v>
          </cell>
        </row>
        <row r="116">
          <cell r="AC116">
            <v>8.1520133128802907</v>
          </cell>
          <cell r="AD116">
            <v>8.231843585829159</v>
          </cell>
          <cell r="AG116">
            <v>2.1384605505994401</v>
          </cell>
          <cell r="AH116">
            <v>2.3015952381075593</v>
          </cell>
        </row>
        <row r="117">
          <cell r="AC117">
            <v>1.43015806844969</v>
          </cell>
          <cell r="AD117">
            <v>2.3931647762419601</v>
          </cell>
          <cell r="AG117">
            <v>9.2026996700189878E-2</v>
          </cell>
          <cell r="AH117">
            <v>1.0169662603640302</v>
          </cell>
        </row>
        <row r="118">
          <cell r="AC118">
            <v>0.16514710467371874</v>
          </cell>
          <cell r="AD118">
            <v>-0.22029252863707249</v>
          </cell>
          <cell r="AG118">
            <v>0.19488074976293901</v>
          </cell>
          <cell r="AH118">
            <v>-1.2689613813320773</v>
          </cell>
        </row>
        <row r="119">
          <cell r="AC119">
            <v>52.054678771673132</v>
          </cell>
          <cell r="AD119">
            <v>36.151309646792249</v>
          </cell>
          <cell r="AG119">
            <v>20.939823879346065</v>
          </cell>
          <cell r="AH119">
            <v>16.039771096936306</v>
          </cell>
        </row>
      </sheetData>
      <sheetData sheetId="4">
        <row r="10">
          <cell r="AC10">
            <v>203.15950386693001</v>
          </cell>
          <cell r="AD10">
            <v>220.57753956794599</v>
          </cell>
          <cell r="AG10">
            <v>58.258105279332</v>
          </cell>
          <cell r="AH10">
            <v>63.156584846401017</v>
          </cell>
        </row>
        <row r="11">
          <cell r="AC11">
            <v>107.23869613575501</v>
          </cell>
          <cell r="AD11">
            <v>105.500371537343</v>
          </cell>
          <cell r="AG11">
            <v>35.5602235365957</v>
          </cell>
          <cell r="AH11">
            <v>33.829475100676802</v>
          </cell>
        </row>
        <row r="12">
          <cell r="AC12">
            <v>68.267367097613601</v>
          </cell>
          <cell r="AD12">
            <v>79.377383016503487</v>
          </cell>
          <cell r="AG12">
            <v>15.875024850081502</v>
          </cell>
          <cell r="AH12">
            <v>18.929364127871381</v>
          </cell>
        </row>
        <row r="13">
          <cell r="AC13">
            <v>27.653440633561402</v>
          </cell>
          <cell r="AD13">
            <v>35.699785014099504</v>
          </cell>
          <cell r="AG13">
            <v>6.8228568926547979</v>
          </cell>
          <cell r="AH13">
            <v>10.397745617852834</v>
          </cell>
        </row>
        <row r="14">
          <cell r="AC14">
            <v>13.669252290183699</v>
          </cell>
          <cell r="AD14">
            <v>12.478501778196689</v>
          </cell>
          <cell r="AG14">
            <v>10.36636063760383</v>
          </cell>
          <cell r="AH14">
            <v>7.9657712787232597</v>
          </cell>
        </row>
        <row r="15">
          <cell r="AC15">
            <v>6.7283351406179331E-2</v>
          </cell>
          <cell r="AD15">
            <v>5.6571951081868202E-2</v>
          </cell>
          <cell r="AG15">
            <v>0.17793851324034499</v>
          </cell>
          <cell r="AH15">
            <v>0.12612732778531785</v>
          </cell>
        </row>
        <row r="16">
          <cell r="AC16">
            <v>7.3875942455439301</v>
          </cell>
          <cell r="AD16">
            <v>3.9001393101737487</v>
          </cell>
          <cell r="AG16">
            <v>8.2979032445644592</v>
          </cell>
          <cell r="AH16">
            <v>5.9759957155427799</v>
          </cell>
        </row>
        <row r="17">
          <cell r="AC17">
            <v>3.636351785138648E-2</v>
          </cell>
          <cell r="AD17">
            <v>1.7681488866967628E-2</v>
          </cell>
          <cell r="AG17">
            <v>0.14243345547848213</v>
          </cell>
          <cell r="AH17">
            <v>9.4621894614419166E-2</v>
          </cell>
        </row>
        <row r="22">
          <cell r="AC22">
            <v>203.15950386693001</v>
          </cell>
          <cell r="AD22">
            <v>220.57753956794599</v>
          </cell>
          <cell r="AG22">
            <v>58.258105279332</v>
          </cell>
          <cell r="AH22">
            <v>63.156584846401017</v>
          </cell>
        </row>
        <row r="23">
          <cell r="AC23">
            <v>107.23869613575501</v>
          </cell>
          <cell r="AD23">
            <v>105.500371537343</v>
          </cell>
          <cell r="AG23">
            <v>35.5602235365957</v>
          </cell>
          <cell r="AH23">
            <v>33.829475100676802</v>
          </cell>
        </row>
        <row r="24">
          <cell r="AC24">
            <v>68.267367097613601</v>
          </cell>
          <cell r="AD24">
            <v>79.377383016503487</v>
          </cell>
          <cell r="AG24">
            <v>15.875024850081502</v>
          </cell>
          <cell r="AH24">
            <v>18.929364127871381</v>
          </cell>
        </row>
        <row r="25">
          <cell r="AC25">
            <v>27.653440633561402</v>
          </cell>
          <cell r="AD25">
            <v>35.699785014099504</v>
          </cell>
          <cell r="AG25">
            <v>6.8228568926547979</v>
          </cell>
          <cell r="AH25">
            <v>10.397745617852834</v>
          </cell>
        </row>
        <row r="26">
          <cell r="AC26">
            <v>195.83673062201561</v>
          </cell>
          <cell r="AD26">
            <v>216.61600923975644</v>
          </cell>
          <cell r="AG26">
            <v>49.101957577203223</v>
          </cell>
          <cell r="AH26">
            <v>61.140241288959743</v>
          </cell>
        </row>
        <row r="27">
          <cell r="AC27">
            <v>7.3227732449143996</v>
          </cell>
          <cell r="AD27">
            <v>3.9615303281895398</v>
          </cell>
          <cell r="AG27">
            <v>9.15614770212877</v>
          </cell>
          <cell r="AH27">
            <v>2.01634355744127</v>
          </cell>
        </row>
        <row r="28">
          <cell r="AC28">
            <v>3.6044453277021361E-2</v>
          </cell>
          <cell r="AD28">
            <v>1.795980831026199E-2</v>
          </cell>
          <cell r="AG28">
            <v>0.1571652160369359</v>
          </cell>
          <cell r="AH28">
            <v>3.1926101804666714E-2</v>
          </cell>
        </row>
        <row r="29">
          <cell r="AC29">
            <v>1.04111520027463</v>
          </cell>
          <cell r="AD29">
            <v>-14.1045021398334</v>
          </cell>
          <cell r="AG29">
            <v>7.0876903090894006</v>
          </cell>
          <cell r="AH29">
            <v>-9.4611020057392103</v>
          </cell>
        </row>
        <row r="30">
          <cell r="AC30">
            <v>5.1246197222285161E-3</v>
          </cell>
          <cell r="AD30">
            <v>-6.3943510148224747E-2</v>
          </cell>
          <cell r="AG30">
            <v>0.12166015827507307</v>
          </cell>
          <cell r="AH30">
            <v>-0.14980388867999964</v>
          </cell>
        </row>
        <row r="38">
          <cell r="AC38">
            <v>0</v>
          </cell>
          <cell r="AD38">
            <v>0</v>
          </cell>
          <cell r="AG38">
            <v>0</v>
          </cell>
          <cell r="AH38">
            <v>0</v>
          </cell>
        </row>
        <row r="44">
          <cell r="AC44">
            <v>-7.6184790452693001</v>
          </cell>
          <cell r="AD44">
            <v>-8.5169714500071496</v>
          </cell>
          <cell r="AG44">
            <v>-2.4822129354750597</v>
          </cell>
          <cell r="AH44">
            <v>-5.9494277212819897</v>
          </cell>
        </row>
        <row r="45">
          <cell r="AC45">
            <v>-7.6184790452693001</v>
          </cell>
          <cell r="AD45">
            <v>-8.5169714500071496</v>
          </cell>
          <cell r="AG45">
            <v>-2.4822129354750597</v>
          </cell>
          <cell r="AH45">
            <v>-5.9494277212819897</v>
          </cell>
        </row>
        <row r="50">
          <cell r="AC50">
            <v>0</v>
          </cell>
          <cell r="AD50">
            <v>-8.7036700000000007</v>
          </cell>
          <cell r="AG50">
            <v>0</v>
          </cell>
          <cell r="AH50">
            <v>-8.7036700000000007</v>
          </cell>
        </row>
        <row r="51">
          <cell r="AC51">
            <v>0</v>
          </cell>
          <cell r="AD51">
            <v>-8.7036700000000007</v>
          </cell>
          <cell r="AG51">
            <v>0</v>
          </cell>
          <cell r="AH51">
            <v>-8.7036700000000007</v>
          </cell>
        </row>
        <row r="65">
          <cell r="AC65">
            <v>7.3227732449143996</v>
          </cell>
          <cell r="AD65">
            <v>3.9615303281895398</v>
          </cell>
          <cell r="AG65">
            <v>9.15614770212877</v>
          </cell>
          <cell r="AH65">
            <v>2.01634355744127</v>
          </cell>
        </row>
        <row r="66">
          <cell r="AC66">
            <v>6.3464790452692998</v>
          </cell>
          <cell r="AD66">
            <v>8.5169714500071496</v>
          </cell>
          <cell r="AG66">
            <v>1.2102129354750595</v>
          </cell>
          <cell r="AH66">
            <v>5.9494277212819906</v>
          </cell>
        </row>
        <row r="67">
          <cell r="AC67">
            <v>13.669252290183699</v>
          </cell>
          <cell r="AD67">
            <v>12.478501778196689</v>
          </cell>
          <cell r="AG67">
            <v>10.36636063760383</v>
          </cell>
          <cell r="AH67">
            <v>7.9657712787232597</v>
          </cell>
        </row>
        <row r="68">
          <cell r="AC68">
            <v>4.2941659199816007</v>
          </cell>
          <cell r="AD68">
            <v>7.4892728268243101</v>
          </cell>
          <cell r="AG68">
            <v>1.0936033658250208</v>
          </cell>
          <cell r="AH68">
            <v>1.8112460440453502</v>
          </cell>
        </row>
        <row r="69">
          <cell r="AC69">
            <v>1.55174285597933</v>
          </cell>
          <cell r="AD69">
            <v>1.0885887354550901</v>
          </cell>
          <cell r="AG69">
            <v>0.53916631721428998</v>
          </cell>
          <cell r="AH69">
            <v>0.17965343503686904</v>
          </cell>
        </row>
        <row r="70">
          <cell r="AC70">
            <v>0.43574926867883867</v>
          </cell>
          <cell r="AD70">
            <v>5.0090574353967021E-4</v>
          </cell>
          <cell r="AG70">
            <v>0.43568771000005868</v>
          </cell>
          <cell r="AH70">
            <v>-1.1239159017393252E-3</v>
          </cell>
        </row>
        <row r="71">
          <cell r="AC71">
            <v>7.3875942455439301</v>
          </cell>
          <cell r="AD71">
            <v>3.9001393101737487</v>
          </cell>
          <cell r="AG71">
            <v>8.2979032445644592</v>
          </cell>
          <cell r="AH71">
            <v>5.9759957155427799</v>
          </cell>
        </row>
      </sheetData>
      <sheetData sheetId="5">
        <row r="10">
          <cell r="AC10">
            <v>181.8087415</v>
          </cell>
          <cell r="AD10">
            <v>165.46289261000001</v>
          </cell>
          <cell r="AG10">
            <v>55.806220729999993</v>
          </cell>
          <cell r="AH10">
            <v>50.154850620000019</v>
          </cell>
        </row>
        <row r="11">
          <cell r="AC11">
            <v>124.78730831999999</v>
          </cell>
          <cell r="AD11">
            <v>118.94565168</v>
          </cell>
          <cell r="AG11">
            <v>40.239209509999995</v>
          </cell>
          <cell r="AH11">
            <v>35.95670616000001</v>
          </cell>
        </row>
        <row r="12">
          <cell r="AC12">
            <v>57.021433180000002</v>
          </cell>
          <cell r="AD12">
            <v>46.517240930000014</v>
          </cell>
          <cell r="AG12">
            <v>15.567011219999998</v>
          </cell>
          <cell r="AH12">
            <v>14.198144460000009</v>
          </cell>
        </row>
        <row r="13">
          <cell r="AC13">
            <v>41.460092193948299</v>
          </cell>
          <cell r="AD13">
            <v>41.739416936971296</v>
          </cell>
          <cell r="AG13">
            <v>16.340781377616999</v>
          </cell>
          <cell r="AH13">
            <v>17.961048754042896</v>
          </cell>
        </row>
        <row r="14">
          <cell r="AC14">
            <v>0.22804234742446802</v>
          </cell>
          <cell r="AD14">
            <v>0.25225847486754688</v>
          </cell>
          <cell r="AG14">
            <v>0.29281290085340994</v>
          </cell>
          <cell r="AH14">
            <v>0.35811189809187971</v>
          </cell>
        </row>
        <row r="15">
          <cell r="AC15">
            <v>34.350927053948297</v>
          </cell>
          <cell r="AD15">
            <v>33.5682771769713</v>
          </cell>
          <cell r="AG15">
            <v>14.252060037616996</v>
          </cell>
          <cell r="AH15">
            <v>15.6907177440429</v>
          </cell>
        </row>
        <row r="16">
          <cell r="AC16">
            <v>0.18893990888742992</v>
          </cell>
          <cell r="AD16">
            <v>0.20287495671970712</v>
          </cell>
          <cell r="AG16">
            <v>0.25538479135813358</v>
          </cell>
          <cell r="AH16">
            <v>0.31284546858536516</v>
          </cell>
        </row>
        <row r="21">
          <cell r="AC21">
            <v>167.89674149999999</v>
          </cell>
          <cell r="AD21">
            <v>165.46289261000001</v>
          </cell>
          <cell r="AG21">
            <v>49.637220729999981</v>
          </cell>
          <cell r="AH21">
            <v>50.154850620000019</v>
          </cell>
        </row>
        <row r="22">
          <cell r="AC22">
            <v>122.01918552999999</v>
          </cell>
          <cell r="AD22">
            <v>118.94565168</v>
          </cell>
          <cell r="AG22">
            <v>37.471086719999988</v>
          </cell>
          <cell r="AH22">
            <v>35.95670616000001</v>
          </cell>
        </row>
        <row r="23">
          <cell r="AC23">
            <v>45.877555970000003</v>
          </cell>
          <cell r="AD23">
            <v>46.517240930000014</v>
          </cell>
          <cell r="AG23">
            <v>12.166134009999993</v>
          </cell>
          <cell r="AH23">
            <v>14.198144460000009</v>
          </cell>
        </row>
        <row r="24">
          <cell r="AC24">
            <v>126.43664930605169</v>
          </cell>
          <cell r="AD24">
            <v>123.72347567302872</v>
          </cell>
          <cell r="AG24">
            <v>33.296439352382976</v>
          </cell>
          <cell r="AH24">
            <v>32.193801865957127</v>
          </cell>
        </row>
        <row r="25">
          <cell r="AC25">
            <v>41.460092193948299</v>
          </cell>
          <cell r="AD25">
            <v>41.739416936971296</v>
          </cell>
          <cell r="AG25">
            <v>16.340781377616999</v>
          </cell>
          <cell r="AH25">
            <v>17.961048754042896</v>
          </cell>
        </row>
        <row r="26">
          <cell r="AC26">
            <v>0.24693803955658247</v>
          </cell>
          <cell r="AD26">
            <v>0.25225847486754688</v>
          </cell>
          <cell r="AG26">
            <v>0.32920419671564888</v>
          </cell>
          <cell r="AH26">
            <v>0.35811189809187971</v>
          </cell>
        </row>
        <row r="27">
          <cell r="AC27">
            <v>34.350927053948297</v>
          </cell>
          <cell r="AD27">
            <v>33.5682771769713</v>
          </cell>
          <cell r="AG27">
            <v>14.252060037616996</v>
          </cell>
          <cell r="AH27">
            <v>15.6907177440429</v>
          </cell>
        </row>
        <row r="28">
          <cell r="AC28">
            <v>0.2045955552624486</v>
          </cell>
          <cell r="AD28">
            <v>0.20287495671970712</v>
          </cell>
          <cell r="AG28">
            <v>0.28712445676885506</v>
          </cell>
          <cell r="AH28">
            <v>0.31284546858536516</v>
          </cell>
        </row>
        <row r="33">
          <cell r="AC33">
            <v>181.8087415</v>
          </cell>
          <cell r="AD33">
            <v>165.46289261000001</v>
          </cell>
          <cell r="AG33">
            <v>55.806220729999993</v>
          </cell>
          <cell r="AH33">
            <v>50.154850620000019</v>
          </cell>
        </row>
        <row r="34">
          <cell r="AC34">
            <v>124.78730831999999</v>
          </cell>
          <cell r="AD34">
            <v>118.94565168</v>
          </cell>
          <cell r="AG34">
            <v>40.239209509999995</v>
          </cell>
          <cell r="AH34">
            <v>35.95670616000001</v>
          </cell>
        </row>
        <row r="35">
          <cell r="AC35">
            <v>57.021433180000002</v>
          </cell>
          <cell r="AD35">
            <v>46.517240930000014</v>
          </cell>
          <cell r="AG35">
            <v>15.567011219999998</v>
          </cell>
          <cell r="AH35">
            <v>14.198144460000009</v>
          </cell>
        </row>
        <row r="36">
          <cell r="AC36">
            <v>141.08675663605169</v>
          </cell>
          <cell r="AD36">
            <v>124.77421750302872</v>
          </cell>
          <cell r="AG36">
            <v>39.64552274238298</v>
          </cell>
          <cell r="AH36">
            <v>32.327371605957126</v>
          </cell>
        </row>
        <row r="37">
          <cell r="AC37">
            <v>40.7219848639483</v>
          </cell>
          <cell r="AD37">
            <v>40.688675106971296</v>
          </cell>
          <cell r="AG37">
            <v>16.160697987616999</v>
          </cell>
          <cell r="AH37">
            <v>17.827479014042897</v>
          </cell>
        </row>
        <row r="38">
          <cell r="AC38">
            <v>0.22398254631748993</v>
          </cell>
          <cell r="AD38">
            <v>0.24590815780596484</v>
          </cell>
          <cell r="AG38">
            <v>0.28958595970519507</v>
          </cell>
          <cell r="AH38">
            <v>0.35544875109116397</v>
          </cell>
        </row>
        <row r="39">
          <cell r="AC39">
            <v>33.612819723948299</v>
          </cell>
          <cell r="AD39">
            <v>32.174054346971303</v>
          </cell>
          <cell r="AG39">
            <v>14.071976647616999</v>
          </cell>
          <cell r="AH39">
            <v>15.213667004042904</v>
          </cell>
        </row>
        <row r="40">
          <cell r="AC40">
            <v>0.1848801077804518</v>
          </cell>
          <cell r="AD40">
            <v>0.19444876031997288</v>
          </cell>
          <cell r="AG40">
            <v>0.25215785020991871</v>
          </cell>
          <cell r="AH40">
            <v>0.30333391119654179</v>
          </cell>
        </row>
        <row r="48">
          <cell r="AC48">
            <v>0</v>
          </cell>
          <cell r="AD48">
            <v>0</v>
          </cell>
          <cell r="AG48">
            <v>0</v>
          </cell>
          <cell r="AH48">
            <v>0</v>
          </cell>
        </row>
        <row r="54">
          <cell r="AC54">
            <v>-0.73810732999999829</v>
          </cell>
          <cell r="AD54">
            <v>-1.0507418299999998</v>
          </cell>
          <cell r="AG54">
            <v>-0.18008339000000007</v>
          </cell>
          <cell r="AH54">
            <v>-0.13356973999999866</v>
          </cell>
        </row>
        <row r="55">
          <cell r="AC55">
            <v>-0.73810732999999829</v>
          </cell>
          <cell r="AD55">
            <v>-1.0507418299999998</v>
          </cell>
          <cell r="AG55">
            <v>-0.18008339000000007</v>
          </cell>
          <cell r="AH55">
            <v>-0.13356973999999866</v>
          </cell>
        </row>
        <row r="60">
          <cell r="AC60">
            <v>0</v>
          </cell>
          <cell r="AD60">
            <v>0</v>
          </cell>
          <cell r="AG60">
            <v>0</v>
          </cell>
          <cell r="AH60">
            <v>0</v>
          </cell>
        </row>
        <row r="75">
          <cell r="AC75">
            <v>40.7219848639483</v>
          </cell>
          <cell r="AD75">
            <v>40.688675106971296</v>
          </cell>
          <cell r="AG75">
            <v>16.160697987616999</v>
          </cell>
          <cell r="AH75">
            <v>17.827479014042897</v>
          </cell>
        </row>
        <row r="76">
          <cell r="AC76">
            <v>0.73810732999999829</v>
          </cell>
          <cell r="AD76">
            <v>1.0507418299999998</v>
          </cell>
          <cell r="AG76">
            <v>0.18008339000000007</v>
          </cell>
          <cell r="AH76">
            <v>0.13356973999999866</v>
          </cell>
        </row>
        <row r="77">
          <cell r="AC77">
            <v>41.460092193948299</v>
          </cell>
          <cell r="AD77">
            <v>41.739416936971296</v>
          </cell>
          <cell r="AG77">
            <v>16.340781377616999</v>
          </cell>
          <cell r="AH77">
            <v>17.961048754042896</v>
          </cell>
        </row>
        <row r="78">
          <cell r="AC78">
            <v>6.6323540599999999</v>
          </cell>
          <cell r="AD78">
            <v>7.9026488099999996</v>
          </cell>
          <cell r="AG78">
            <v>1.6827659500000003</v>
          </cell>
          <cell r="AH78">
            <v>2.1179676799999996</v>
          </cell>
        </row>
        <row r="79">
          <cell r="AC79">
            <v>0.47681108</v>
          </cell>
          <cell r="AD79">
            <v>0.21037095</v>
          </cell>
          <cell r="AG79">
            <v>0.40595539000000003</v>
          </cell>
          <cell r="AH79">
            <v>9.4243330000000014E-2</v>
          </cell>
        </row>
        <row r="80">
          <cell r="AC80">
            <v>1.8318679906315083E-15</v>
          </cell>
          <cell r="AD80">
            <v>5.8119999999995897E-2</v>
          </cell>
          <cell r="AG80">
            <v>2.581268532253489E-15</v>
          </cell>
          <cell r="AH80">
            <v>5.8119999999996452E-2</v>
          </cell>
        </row>
        <row r="81">
          <cell r="AC81">
            <v>34.350927053948297</v>
          </cell>
          <cell r="AD81">
            <v>33.5682771769713</v>
          </cell>
          <cell r="AG81">
            <v>14.252060037616996</v>
          </cell>
          <cell r="AH81">
            <v>15.6907177440429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72CE-6949-4F02-82CA-AF871586CF7E}">
  <dimension ref="A2:BM188"/>
  <sheetViews>
    <sheetView tabSelected="1" workbookViewId="0">
      <selection activeCell="B20" sqref="B20"/>
    </sheetView>
  </sheetViews>
  <sheetFormatPr baseColWidth="10" defaultRowHeight="12.75"/>
  <cols>
    <col min="1" max="1" width="6.5703125" style="1" bestFit="1" customWidth="1"/>
    <col min="2" max="3" width="11.42578125" style="1"/>
    <col min="4" max="4" width="48.7109375" style="1" customWidth="1"/>
    <col min="5" max="5" width="1" style="1" customWidth="1"/>
    <col min="6" max="8" width="11.42578125" style="1"/>
    <col min="9" max="9" width="6.85546875" style="1" customWidth="1"/>
    <col min="10" max="10" width="0.85546875" style="1" customWidth="1"/>
    <col min="11" max="13" width="11.42578125" style="1"/>
    <col min="14" max="14" width="7.140625" style="1" customWidth="1"/>
    <col min="15" max="16" width="11.42578125" style="1"/>
    <col min="17" max="17" width="48.7109375" style="1" customWidth="1"/>
    <col min="18" max="18" width="0.85546875" style="1" customWidth="1"/>
    <col min="19" max="21" width="11.42578125" style="1"/>
    <col min="22" max="22" width="6.85546875" style="1" customWidth="1"/>
    <col min="23" max="23" width="0.85546875" style="1" customWidth="1"/>
    <col min="24" max="26" width="11.42578125" style="1"/>
    <col min="27" max="27" width="7.140625" style="1" customWidth="1"/>
    <col min="28" max="29" width="11.42578125" style="1"/>
    <col min="30" max="30" width="48.7109375" style="1" customWidth="1"/>
    <col min="31" max="31" width="0.85546875" style="1" customWidth="1"/>
    <col min="32" max="34" width="11.42578125" style="1"/>
    <col min="35" max="35" width="6.85546875" style="1" customWidth="1"/>
    <col min="36" max="36" width="0.85546875" style="1" customWidth="1"/>
    <col min="37" max="39" width="11.42578125" style="1"/>
    <col min="40" max="40" width="7.140625" style="1" customWidth="1"/>
    <col min="41" max="42" width="11.42578125" style="1"/>
    <col min="43" max="43" width="48.7109375" style="1" customWidth="1"/>
    <col min="44" max="44" width="0.85546875" style="1" customWidth="1"/>
    <col min="45" max="47" width="11.42578125" style="1"/>
    <col min="48" max="48" width="6.85546875" style="1" customWidth="1"/>
    <col min="49" max="49" width="0.85546875" style="1" customWidth="1"/>
    <col min="50" max="52" width="11.42578125" style="1"/>
    <col min="53" max="53" width="7.140625" style="1" customWidth="1"/>
    <col min="54" max="55" width="11.42578125" style="1"/>
    <col min="56" max="56" width="48.7109375" style="1" customWidth="1"/>
    <col min="57" max="57" width="0.85546875" style="1" customWidth="1"/>
    <col min="58" max="60" width="11.42578125" style="1"/>
    <col min="61" max="61" width="6.85546875" style="1" customWidth="1"/>
    <col min="62" max="62" width="0.85546875" style="1" customWidth="1"/>
    <col min="63" max="16384" width="11.42578125" style="1"/>
  </cols>
  <sheetData>
    <row r="2" spans="1:65" ht="13.5" thickBot="1"/>
    <row r="3" spans="1:65" ht="16.5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K3" s="4"/>
      <c r="L3" s="5"/>
      <c r="M3" s="4"/>
      <c r="Q3" s="3" t="str">
        <f>+IF($B$3="esp","EDUCACIÓN","EDUCATION")</f>
        <v>EDUCATION</v>
      </c>
      <c r="R3" s="4"/>
      <c r="S3" s="4"/>
      <c r="T3" s="5"/>
      <c r="U3" s="4"/>
      <c r="X3" s="4"/>
      <c r="Y3" s="5"/>
      <c r="Z3" s="4"/>
      <c r="AD3" s="3" t="str">
        <f>+IF($B$3="esp","RADIO","RADIO")</f>
        <v>RADIO</v>
      </c>
      <c r="AE3" s="4"/>
      <c r="AF3" s="4"/>
      <c r="AG3" s="5"/>
      <c r="AH3" s="4"/>
      <c r="AK3" s="4"/>
      <c r="AL3" s="5"/>
      <c r="AM3" s="4"/>
      <c r="AQ3" s="3" t="str">
        <f>+IF($B$3="esp","PRENSA","PRESS")</f>
        <v>PRESS</v>
      </c>
      <c r="AR3" s="4"/>
      <c r="AS3" s="4"/>
      <c r="AT3" s="5"/>
      <c r="AU3" s="4"/>
      <c r="AX3" s="4"/>
      <c r="AY3" s="5"/>
      <c r="AZ3" s="4"/>
      <c r="BD3" s="3" t="str">
        <f>+IF($B$3="esp","MEDIA CAPITAL","MEDIA CAPITAL")</f>
        <v>MEDIA CAPITAL</v>
      </c>
      <c r="BE3" s="4"/>
      <c r="BF3" s="4"/>
      <c r="BG3" s="5"/>
      <c r="BH3" s="4"/>
      <c r="BK3" s="4"/>
      <c r="BL3" s="5"/>
      <c r="BM3" s="4"/>
    </row>
    <row r="4" spans="1:65">
      <c r="A4" s="1" t="s">
        <v>2</v>
      </c>
      <c r="B4" s="6" t="s">
        <v>3</v>
      </c>
    </row>
    <row r="5" spans="1:65">
      <c r="A5" s="1" t="s">
        <v>4</v>
      </c>
      <c r="B5" s="1" t="s">
        <v>1</v>
      </c>
    </row>
    <row r="6" spans="1:65">
      <c r="F6" s="7" t="str">
        <f>+IF($B$3="esp","ENERO - DICIEMBRE","JANUARY - DECEMBER")</f>
        <v>JANUARY - DECEMBER</v>
      </c>
      <c r="G6" s="8"/>
      <c r="H6" s="8"/>
      <c r="K6" s="7" t="str">
        <f>+IF($B$3="esp","OCTUBRE - DICIEMBRE","OCTOBER - DECEMBER")</f>
        <v>OCTOBER - DECEMBER</v>
      </c>
      <c r="L6" s="8"/>
      <c r="M6" s="8"/>
      <c r="S6" s="7" t="str">
        <f>+$F$6</f>
        <v>JANUARY - DECEMBER</v>
      </c>
      <c r="T6" s="8"/>
      <c r="U6" s="8"/>
      <c r="X6" s="7" t="str">
        <f>+K6</f>
        <v>OCTOBER - DECEMBER</v>
      </c>
      <c r="Y6" s="8"/>
      <c r="Z6" s="8"/>
      <c r="AF6" s="7" t="str">
        <f>+$F$6</f>
        <v>JANUARY - DECEMBER</v>
      </c>
      <c r="AG6" s="8"/>
      <c r="AH6" s="8"/>
      <c r="AK6" s="7" t="str">
        <f>+X6</f>
        <v>OCTOBER - DECEMBER</v>
      </c>
      <c r="AL6" s="8"/>
      <c r="AM6" s="8"/>
      <c r="AS6" s="7" t="str">
        <f>+$F$6</f>
        <v>JANUARY - DECEMBER</v>
      </c>
      <c r="AT6" s="8"/>
      <c r="AU6" s="8"/>
      <c r="AX6" s="7" t="str">
        <f>+AK6</f>
        <v>OCTOBER - DECEMBER</v>
      </c>
      <c r="AY6" s="8"/>
      <c r="AZ6" s="8"/>
      <c r="BF6" s="7" t="str">
        <f>+$F$6</f>
        <v>JANUARY - DECEMBER</v>
      </c>
      <c r="BG6" s="8"/>
      <c r="BH6" s="8"/>
      <c r="BK6" s="7" t="str">
        <f>+AX6</f>
        <v>OCTOBER - DECEMBER</v>
      </c>
      <c r="BL6" s="8"/>
      <c r="BM6" s="8"/>
    </row>
    <row r="8" spans="1:65">
      <c r="D8" s="9" t="str">
        <f>+IF($B$3="esp","Millones de €","€ Millions")</f>
        <v>€ Millions</v>
      </c>
      <c r="F8" s="10">
        <v>2018</v>
      </c>
      <c r="G8" s="10">
        <v>2017</v>
      </c>
      <c r="H8" s="10" t="str">
        <f>+IF($B$3="esp","Var.%","% Chg.")</f>
        <v>% Chg.</v>
      </c>
      <c r="K8" s="10">
        <v>2018</v>
      </c>
      <c r="L8" s="10">
        <v>2017</v>
      </c>
      <c r="M8" s="10" t="str">
        <f>+IF($B$3="esp","Var.%","% Chg.")</f>
        <v>% Chg.</v>
      </c>
      <c r="Q8" s="9" t="str">
        <f>+IF($B$3="esp","Millones de €","€ Millions")</f>
        <v>€ Millions</v>
      </c>
      <c r="S8" s="10">
        <v>2018</v>
      </c>
      <c r="T8" s="10">
        <v>2017</v>
      </c>
      <c r="U8" s="10" t="str">
        <f>+IF($B$3="esp","Var.%","% Chg.")</f>
        <v>% Chg.</v>
      </c>
      <c r="X8" s="10">
        <v>2018</v>
      </c>
      <c r="Y8" s="10">
        <v>2017</v>
      </c>
      <c r="Z8" s="10" t="str">
        <f>+IF($B$3="esp","Var.%","% Chg.")</f>
        <v>% Chg.</v>
      </c>
      <c r="AD8" s="9" t="str">
        <f>+IF($B$3="esp","Millones de €","€ Millions")</f>
        <v>€ Millions</v>
      </c>
      <c r="AF8" s="10">
        <v>2018</v>
      </c>
      <c r="AG8" s="10">
        <v>2017</v>
      </c>
      <c r="AH8" s="10" t="str">
        <f>+IF($B$3="esp","Var.%","% Chg.")</f>
        <v>% Chg.</v>
      </c>
      <c r="AK8" s="10">
        <v>2018</v>
      </c>
      <c r="AL8" s="10">
        <v>2017</v>
      </c>
      <c r="AM8" s="10" t="str">
        <f>+IF($B$3="esp","Var.%","% Chg.")</f>
        <v>% Chg.</v>
      </c>
      <c r="AQ8" s="9" t="str">
        <f>+IF($B$3="esp","Millones de €","€ Millions")</f>
        <v>€ Millions</v>
      </c>
      <c r="AS8" s="10">
        <v>2018</v>
      </c>
      <c r="AT8" s="10">
        <v>2017</v>
      </c>
      <c r="AU8" s="10" t="str">
        <f>+IF($B$3="esp","Var.%","% Chg.")</f>
        <v>% Chg.</v>
      </c>
      <c r="AX8" s="10">
        <v>2018</v>
      </c>
      <c r="AY8" s="10">
        <v>2017</v>
      </c>
      <c r="AZ8" s="10" t="str">
        <f>+IF($B$3="esp","Var.%","% Chg.")</f>
        <v>% Chg.</v>
      </c>
      <c r="BD8" s="9" t="str">
        <f>+IF($B$3="esp","Millones de €","€ Millions")</f>
        <v>€ Millions</v>
      </c>
      <c r="BF8" s="10">
        <v>2018</v>
      </c>
      <c r="BG8" s="10">
        <v>2017</v>
      </c>
      <c r="BH8" s="10" t="str">
        <f>+IF($B$3="esp","Var.%","% Chg.")</f>
        <v>% Chg.</v>
      </c>
      <c r="BK8" s="10">
        <v>2018</v>
      </c>
      <c r="BL8" s="10">
        <v>2017</v>
      </c>
      <c r="BM8" s="10" t="str">
        <f>+IF($B$3="esp","Var.%","% Chg.")</f>
        <v>% Chg.</v>
      </c>
    </row>
    <row r="9" spans="1:65" ht="15.75" customHeight="1">
      <c r="D9" s="11" t="str">
        <f>+IF($B$3="esp","Resultados de Explotación Ajustados","Operating Adjusted Results")</f>
        <v>Operating Adjusted Results</v>
      </c>
      <c r="F9" s="12"/>
      <c r="G9" s="12"/>
      <c r="H9" s="12"/>
      <c r="K9" s="12"/>
      <c r="L9" s="12"/>
      <c r="M9" s="12"/>
      <c r="Q9" s="11" t="str">
        <f>+IF($B$3="esp","Resultados de Explotación Ajustados","Operating Adjusted Results")</f>
        <v>Operating Adjusted Results</v>
      </c>
      <c r="S9" s="12"/>
      <c r="T9" s="12"/>
      <c r="U9" s="12"/>
      <c r="X9" s="12"/>
      <c r="Y9" s="12"/>
      <c r="Z9" s="12"/>
      <c r="AD9" s="11" t="str">
        <f>+IF($B$3="esp","Resultados de Explotación Ajustados","Operating Adjusted Results")</f>
        <v>Operating Adjusted Results</v>
      </c>
      <c r="AF9" s="12"/>
      <c r="AG9" s="12"/>
      <c r="AH9" s="12"/>
      <c r="AK9" s="12"/>
      <c r="AL9" s="12"/>
      <c r="AM9" s="12"/>
      <c r="AQ9" s="11" t="str">
        <f>+IF($B$3="esp","Resultados de Explotación Ajustados","Operating Adjusted Results")</f>
        <v>Operating Adjusted Results</v>
      </c>
      <c r="AS9" s="12"/>
      <c r="AT9" s="12"/>
      <c r="AU9" s="12"/>
      <c r="AX9" s="12"/>
      <c r="AY9" s="12"/>
      <c r="AZ9" s="12"/>
      <c r="BD9" s="11" t="str">
        <f>+IF($B$3="esp","Resultados de Explotación Ajustados","Operating Adjusted Results")</f>
        <v>Operating Adjusted Results</v>
      </c>
      <c r="BF9" s="12"/>
      <c r="BG9" s="12"/>
      <c r="BH9" s="12"/>
      <c r="BJ9" s="12"/>
      <c r="BK9" s="12"/>
      <c r="BL9" s="12"/>
      <c r="BM9" s="12"/>
    </row>
    <row r="10" spans="1:65" s="13" customFormat="1" ht="15" customHeight="1">
      <c r="D10" s="13" t="str">
        <f>+IF($B$3="esp","Ingresos de Explotación Ajustados","Operating Adjusted Revenues")</f>
        <v>Operating Adjusted Revenues</v>
      </c>
      <c r="F10" s="14">
        <f>+[1]GRUPO!AC10</f>
        <v>1280.473916982623</v>
      </c>
      <c r="G10" s="15">
        <f>+[1]GRUPO!AD10</f>
        <v>1319.9833654474487</v>
      </c>
      <c r="H10" s="16">
        <f t="shared" ref="H10:H19" si="0">IF(G10=0,"---",IF(OR(ABS((F10-G10)/ABS(G10))&gt;2,(F10*G10)&lt;0),"---",IF(G10="0","---",((F10-G10)/ABS(G10))*100)))</f>
        <v>-2.993177755041843</v>
      </c>
      <c r="K10" s="14">
        <f>+[1]GRUPO!AG10</f>
        <v>323.90748996655645</v>
      </c>
      <c r="L10" s="15">
        <f>+[1]GRUPO!AH10</f>
        <v>325.16828364670141</v>
      </c>
      <c r="M10" s="16">
        <f t="shared" ref="M10:M19" si="1">IF(L10=0,"---",IF(OR(ABS((K10-L10)/ABS(L10))&gt;2,(K10*L10)&lt;0),"---",IF(L10="0","---",((K10-L10)/ABS(L10))*100)))</f>
        <v>-0.38773574901137092</v>
      </c>
      <c r="Q10" s="13" t="str">
        <f>+IF($B$3="esp","Ingresos de Explotación Ajustados","Operating Adjusted Revenues")</f>
        <v>Operating Adjusted Revenues</v>
      </c>
      <c r="S10" s="14">
        <f>+[1]SANTILLANA!AC10</f>
        <v>600.23322580258809</v>
      </c>
      <c r="T10" s="15">
        <f>+[1]SANTILLANA!AD10</f>
        <v>645.08058953155455</v>
      </c>
      <c r="U10" s="16">
        <f t="shared" ref="U10:U19" si="2">IF(T10=0,"---",IF(OR(ABS((S10-T10)/ABS(T10))&gt;2,(S10*T10)&lt;0),"---",IF(T10="0","---",((S10-T10)/ABS(T10))*100)))</f>
        <v>-6.9522110038272533</v>
      </c>
      <c r="X10" s="14">
        <f>+[1]SANTILLANA!AG10</f>
        <v>126.56103343652364</v>
      </c>
      <c r="Y10" s="15">
        <f>+[1]SANTILLANA!AH10</f>
        <v>131.60986723957626</v>
      </c>
      <c r="Z10" s="16">
        <f t="shared" ref="Z10:Z19" si="3">IF(Y10=0,"---",IF(OR(ABS((X10-Y10)/ABS(Y10))&gt;2,(X10*Y10)&lt;0),"---",IF(Y10="0","---",((X10-Y10)/ABS(Y10))*100)))</f>
        <v>-3.8362122148956832</v>
      </c>
      <c r="AD10" s="13" t="str">
        <f>+IF($B$3="esp","Ingresos de Explotación","Operating Revenues")</f>
        <v>Operating Revenues</v>
      </c>
      <c r="AF10" s="14">
        <f>+[1]RADIO!AC10</f>
        <v>288.07418471024204</v>
      </c>
      <c r="AG10" s="15">
        <f>+[1]RADIO!AD10</f>
        <v>280.66641862949501</v>
      </c>
      <c r="AH10" s="16">
        <f t="shared" ref="AH10:AH20" si="4">IF(AG10=0,"---",IF(OR(ABS((AF10-AG10)/ABS(AG10))&gt;2,(AF10*AG10)&lt;0),"---",IF(AG10="0","---",((AF10-AG10)/ABS(AG10))*100)))</f>
        <v>2.6393489170950453</v>
      </c>
      <c r="AK10" s="14">
        <f>+[1]RADIO!AG10</f>
        <v>81.97826798906803</v>
      </c>
      <c r="AL10" s="15">
        <f>+[1]RADIO!AH10</f>
        <v>77.845381979145998</v>
      </c>
      <c r="AM10" s="16">
        <f t="shared" ref="AM10:AM20" si="5">IF(AL10=0,"---",IF(OR(ABS((AK10-AL10)/ABS(AL10))&gt;2,(AK10*AL10)&lt;0),"---",IF(AL10="0","---",((AK10-AL10)/ABS(AL10))*100)))</f>
        <v>5.3090959345914586</v>
      </c>
      <c r="AQ10" s="13" t="str">
        <f>+IF($B$3="esp","Ingresos de Explotación","OperatingRevenues")</f>
        <v>OperatingRevenues</v>
      </c>
      <c r="AS10" s="14">
        <f>+[1]NOTICIAS!AC10</f>
        <v>203.15950386693001</v>
      </c>
      <c r="AT10" s="15">
        <f>+[1]NOTICIAS!AD10</f>
        <v>220.57753956794599</v>
      </c>
      <c r="AU10" s="16">
        <f>IF(AT10=0,"---",IF(OR(ABS((AS10-AT10)/ABS(AT10))&gt;2,(AS10*AT10)&lt;0),"---",IF(AT10="0","---",((AS10-AT10)/ABS(AT10))*100)))</f>
        <v>-7.8965590672256933</v>
      </c>
      <c r="AX10" s="14">
        <f>+[1]NOTICIAS!AG10</f>
        <v>58.258105279332</v>
      </c>
      <c r="AY10" s="15">
        <f>+[1]NOTICIAS!AH10</f>
        <v>63.156584846401017</v>
      </c>
      <c r="AZ10" s="16">
        <f>IF(AY10=0,"---",IF(OR(ABS((AX10-AY10)/ABS(AY10))&gt;2,(AX10*AY10)&lt;0),"---",IF(AY10="0","---",((AX10-AY10)/ABS(AY10))*100)))</f>
        <v>-7.756086841906173</v>
      </c>
      <c r="BD10" s="13" t="str">
        <f>+IF($B$3="esp","Ingresos de Explotación","OperatingRevenues")</f>
        <v>OperatingRevenues</v>
      </c>
      <c r="BF10" s="14">
        <f>+'[1]MEDIA CAPITAL'!AC10</f>
        <v>181.8087415</v>
      </c>
      <c r="BG10" s="15">
        <f>+'[1]MEDIA CAPITAL'!AD10</f>
        <v>165.46289261000001</v>
      </c>
      <c r="BH10" s="16">
        <f>IF(BG10=0,"---",IF(OR(ABS((BF10-BG10)/ABS(BG10))&gt;2,(BF10*BG10)&lt;0),"---",IF(BG10="0","---",((BF10-BG10)/ABS(BG10))*100)))</f>
        <v>9.8788608322758744</v>
      </c>
      <c r="BK10" s="14">
        <f>+'[1]MEDIA CAPITAL'!AG10</f>
        <v>55.806220729999993</v>
      </c>
      <c r="BL10" s="15">
        <f>+'[1]MEDIA CAPITAL'!AH10</f>
        <v>50.154850620000019</v>
      </c>
      <c r="BM10" s="16">
        <f>IF(BL10=0,"---",IF(OR(ABS((BK10-BL10)/ABS(BL10))&gt;2,(BK10*BL10)&lt;0),"---",IF(BL10="0","---",((BK10-BL10)/ABS(BL10))*100)))</f>
        <v>11.267843568746276</v>
      </c>
    </row>
    <row r="11" spans="1:65" ht="15" customHeight="1">
      <c r="D11" s="17" t="str">
        <f>+IF($B$3="esp","España","Spain")</f>
        <v>Spain</v>
      </c>
      <c r="F11" s="18">
        <f>+[1]GRUPO!AC11</f>
        <v>513.3753496683355</v>
      </c>
      <c r="G11" s="19">
        <f>+[1]GRUPO!AD11</f>
        <v>523.3281650599971</v>
      </c>
      <c r="H11" s="20">
        <f t="shared" si="0"/>
        <v>-1.9018306401530212</v>
      </c>
      <c r="K11" s="18">
        <f>+[1]GRUPO!AG11</f>
        <v>101.27625039476828</v>
      </c>
      <c r="L11" s="19">
        <f>+[1]GRUPO!AH11</f>
        <v>97.060579432996235</v>
      </c>
      <c r="M11" s="20">
        <f t="shared" si="1"/>
        <v>4.3433399907552062</v>
      </c>
      <c r="Q11" s="17" t="str">
        <f>+IF($B$3="esp","España","Spain")</f>
        <v>Spain</v>
      </c>
      <c r="S11" s="18">
        <f>+[1]SANTILLANA!AC11</f>
        <v>115.08397865701687</v>
      </c>
      <c r="T11" s="19">
        <f>+[1]SANTILLANA!AD11</f>
        <v>121.03364661603962</v>
      </c>
      <c r="U11" s="20">
        <f t="shared" si="2"/>
        <v>-4.9157140393341541</v>
      </c>
      <c r="X11" s="18">
        <f>+[1]SANTILLANA!AG11</f>
        <v>-12.730797823080991</v>
      </c>
      <c r="Y11" s="19">
        <f>+[1]SANTILLANA!AH11</f>
        <v>-18.030538212708052</v>
      </c>
      <c r="Z11" s="20">
        <f t="shared" si="3"/>
        <v>29.393134731229299</v>
      </c>
      <c r="AD11" s="17" t="str">
        <f>+IF($B$3="esp","España","Spain")</f>
        <v>Spain</v>
      </c>
      <c r="AF11" s="18">
        <f>+[1]RADIO!AC11</f>
        <v>189.14613022833001</v>
      </c>
      <c r="AG11" s="19">
        <f>+[1]RADIO!AD11</f>
        <v>179.88399075000001</v>
      </c>
      <c r="AH11" s="20">
        <f t="shared" si="4"/>
        <v>5.1489515213181907</v>
      </c>
      <c r="AK11" s="18">
        <f>+[1]RADIO!AG11</f>
        <v>55.336292598330004</v>
      </c>
      <c r="AL11" s="19">
        <f>+[1]RADIO!AH11</f>
        <v>50.849146560000008</v>
      </c>
      <c r="AM11" s="20">
        <f t="shared" si="5"/>
        <v>8.8244274326912038</v>
      </c>
      <c r="AQ11" s="21" t="str">
        <f>+IF($B$3="esp","Publicidad","Advertising")</f>
        <v>Advertising</v>
      </c>
      <c r="AR11" s="22"/>
      <c r="AS11" s="23">
        <f>+[1]NOTICIAS!AC11</f>
        <v>107.23869613575501</v>
      </c>
      <c r="AT11" s="24">
        <f>+[1]NOTICIAS!AD11</f>
        <v>105.500371537343</v>
      </c>
      <c r="AU11" s="25">
        <f>IF(AT11=0,"---",IF(OR(ABS((AS11-AT11)/ABS(AT11))&gt;2,(AS11*AT11)&lt;0),"---",IF(AT11="0","---",((AS11-AT11)/ABS(AT11))*100)))</f>
        <v>1.6476952384918455</v>
      </c>
      <c r="AX11" s="23">
        <f>+[1]NOTICIAS!AG11</f>
        <v>35.5602235365957</v>
      </c>
      <c r="AY11" s="24">
        <f>+[1]NOTICIAS!AH11</f>
        <v>33.829475100676802</v>
      </c>
      <c r="AZ11" s="25">
        <f>IF(AY11=0,"---",IF(OR(ABS((AX11-AY11)/ABS(AY11))&gt;2,(AX11*AY11)&lt;0),"---",IF(AY11="0","---",((AX11-AY11)/ABS(AY11))*100)))</f>
        <v>5.1160960398237805</v>
      </c>
      <c r="BD11" s="21" t="str">
        <f>+IF($B$3="esp","Publicidad","Advertising")</f>
        <v>Advertising</v>
      </c>
      <c r="BF11" s="23">
        <f>+'[1]MEDIA CAPITAL'!AC11</f>
        <v>124.78730831999999</v>
      </c>
      <c r="BG11" s="24">
        <f>+'[1]MEDIA CAPITAL'!AD11</f>
        <v>118.94565168</v>
      </c>
      <c r="BH11" s="25">
        <f>IF(BG11=0,"---",IF(OR(ABS((BF11-BG11)/ABS(BG11))&gt;2,(BF11*BG11)&lt;0),"---",IF(BG11="0","---",((BF11-BG11)/ABS(BG11))*100)))</f>
        <v>4.9111981459531036</v>
      </c>
      <c r="BI11" s="22"/>
      <c r="BK11" s="23">
        <f>+'[1]MEDIA CAPITAL'!AG11</f>
        <v>40.239209509999995</v>
      </c>
      <c r="BL11" s="24">
        <f>+'[1]MEDIA CAPITAL'!AH11</f>
        <v>35.95670616000001</v>
      </c>
      <c r="BM11" s="25">
        <f>IF(BL11=0,"---",IF(OR(ABS((BK11-BL11)/ABS(BL11))&gt;2,(BK11*BL11)&lt;0),"---",IF(BL11="0","---",((BK11-BL11)/ABS(BL11))*100)))</f>
        <v>11.910165883781785</v>
      </c>
    </row>
    <row r="12" spans="1:65" ht="15" customHeight="1">
      <c r="D12" s="17" t="str">
        <f>+IF($B$3="esp","Internacional","International")</f>
        <v>International</v>
      </c>
      <c r="F12" s="18">
        <f>+[1]GRUPO!AC12</f>
        <v>767.09856731428749</v>
      </c>
      <c r="G12" s="19">
        <f>+[1]GRUPO!AD12</f>
        <v>796.65520038745171</v>
      </c>
      <c r="H12" s="20">
        <f t="shared" si="0"/>
        <v>-3.7100910229154858</v>
      </c>
      <c r="K12" s="18">
        <f>+[1]GRUPO!AG12</f>
        <v>222.63123957178823</v>
      </c>
      <c r="L12" s="19">
        <f>+[1]GRUPO!AH12</f>
        <v>228.10770421370535</v>
      </c>
      <c r="M12" s="20">
        <f t="shared" si="1"/>
        <v>-2.4008240584397047</v>
      </c>
      <c r="Q12" s="17" t="str">
        <f>+IF($B$3="esp","Internacional","International")</f>
        <v>International</v>
      </c>
      <c r="S12" s="18">
        <f>+[1]SANTILLANA!AC12</f>
        <v>485.14924714557122</v>
      </c>
      <c r="T12" s="19">
        <f>+[1]SANTILLANA!AD12</f>
        <v>524.04694291551493</v>
      </c>
      <c r="U12" s="20">
        <f t="shared" si="2"/>
        <v>-7.4225594282714216</v>
      </c>
      <c r="X12" s="18">
        <f>+[1]SANTILLANA!AG12</f>
        <v>139.29183125960463</v>
      </c>
      <c r="Y12" s="19">
        <f>+[1]SANTILLANA!AH12</f>
        <v>149.64040545228431</v>
      </c>
      <c r="Z12" s="20">
        <f t="shared" si="3"/>
        <v>-6.9156282766017485</v>
      </c>
      <c r="AD12" s="17" t="str">
        <f>+IF($B$3="esp","Latam","Latam")</f>
        <v>Latam</v>
      </c>
      <c r="AF12" s="18">
        <f>+[1]RADIO!AC12</f>
        <v>92.281265575355306</v>
      </c>
      <c r="AG12" s="19">
        <f>+[1]RADIO!AD12</f>
        <v>94.598845791987102</v>
      </c>
      <c r="AH12" s="20">
        <f t="shared" si="4"/>
        <v>-2.4499032702025891</v>
      </c>
      <c r="AK12" s="18">
        <f>+[1]RADIO!AG12</f>
        <v>26.103836047649423</v>
      </c>
      <c r="AL12" s="19">
        <f>+[1]RADIO!AH12</f>
        <v>26.071861196864504</v>
      </c>
      <c r="AM12" s="20">
        <f t="shared" si="5"/>
        <v>0.12264122819419278</v>
      </c>
      <c r="AQ12" s="21" t="str">
        <f>+IF($B$3="esp","Circulación","Circulation")</f>
        <v>Circulation</v>
      </c>
      <c r="AR12" s="22"/>
      <c r="AS12" s="23">
        <f>+[1]NOTICIAS!AC12</f>
        <v>68.267367097613601</v>
      </c>
      <c r="AT12" s="24">
        <f>+[1]NOTICIAS!AD12</f>
        <v>79.377383016503487</v>
      </c>
      <c r="AU12" s="25">
        <f>IF(AT12=0,"---",IF(OR(ABS((AS12-AT12)/ABS(AT12))&gt;2,(AS12*AT12)&lt;0),"---",IF(AT12="0","---",((AS12-AT12)/ABS(AT12))*100)))</f>
        <v>-13.996450243994543</v>
      </c>
      <c r="AX12" s="23">
        <f>+[1]NOTICIAS!AG12</f>
        <v>15.875024850081502</v>
      </c>
      <c r="AY12" s="24">
        <f>+[1]NOTICIAS!AH12</f>
        <v>18.929364127871381</v>
      </c>
      <c r="AZ12" s="25">
        <f>IF(AY12=0,"---",IF(OR(ABS((AX12-AY12)/ABS(AY12))&gt;2,(AX12*AY12)&lt;0),"---",IF(AY12="0","---",((AX12-AY12)/ABS(AY12))*100)))</f>
        <v>-16.135456305648979</v>
      </c>
      <c r="BD12" s="21" t="str">
        <f>+IF($B$3="esp","Otros","Others")</f>
        <v>Others</v>
      </c>
      <c r="BF12" s="23">
        <f>+'[1]MEDIA CAPITAL'!AC12</f>
        <v>57.021433180000002</v>
      </c>
      <c r="BG12" s="24">
        <f>+'[1]MEDIA CAPITAL'!AD12</f>
        <v>46.517240930000014</v>
      </c>
      <c r="BH12" s="25">
        <f>IF(BG12=0,"---",IF(OR(ABS((BF12-BG12)/ABS(BG12))&gt;2,(BF12*BG12)&lt;0),"---",IF(BG12="0","---",((BF12-BG12)/ABS(BG12))*100)))</f>
        <v>22.58128822774955</v>
      </c>
      <c r="BI12" s="22"/>
      <c r="BK12" s="23">
        <f>+'[1]MEDIA CAPITAL'!AG12</f>
        <v>15.567011219999998</v>
      </c>
      <c r="BL12" s="24">
        <f>+'[1]MEDIA CAPITAL'!AH12</f>
        <v>14.198144460000009</v>
      </c>
      <c r="BM12" s="25">
        <f>IF(BL12=0,"---",IF(OR(ABS((BK12-BL12)/ABS(BL12))&gt;2,(BK12*BL12)&lt;0),"---",IF(BL12="0","---",((BK12-BL12)/ABS(BL12))*100)))</f>
        <v>9.6411665894543788</v>
      </c>
    </row>
    <row r="13" spans="1:65" ht="15" customHeight="1">
      <c r="D13" s="26" t="str">
        <f>+IF($B$3="esp","Latam","Latam")</f>
        <v>Latam</v>
      </c>
      <c r="F13" s="18">
        <f>+[1]GRUPO!AC13</f>
        <v>582.11448124428762</v>
      </c>
      <c r="G13" s="19">
        <f>+[1]GRUPO!AD13</f>
        <v>628.42263597745171</v>
      </c>
      <c r="H13" s="20">
        <f t="shared" si="0"/>
        <v>-7.3689507796192206</v>
      </c>
      <c r="K13" s="18">
        <f>+[1]GRUPO!AG13</f>
        <v>166.73747600178825</v>
      </c>
      <c r="L13" s="19">
        <f>+[1]GRUPO!AH13</f>
        <v>178.37230149370527</v>
      </c>
      <c r="M13" s="20">
        <f t="shared" si="1"/>
        <v>-6.5227758987723803</v>
      </c>
      <c r="Q13" s="26" t="str">
        <f>+IF($B$3="esp","Latam","Latam")</f>
        <v>Latam</v>
      </c>
      <c r="S13" s="18">
        <f>+[1]SANTILLANA!AC13</f>
        <v>481.4726321455712</v>
      </c>
      <c r="T13" s="19">
        <f>+[1]SANTILLANA!AD13</f>
        <v>520.24879091551497</v>
      </c>
      <c r="U13" s="20">
        <f t="shared" si="2"/>
        <v>-7.4533875805279424</v>
      </c>
      <c r="X13" s="18">
        <f>+[1]SANTILLANA!AG13</f>
        <v>139.15197325960463</v>
      </c>
      <c r="Y13" s="19">
        <f>+[1]SANTILLANA!AH13</f>
        <v>149.59074545228435</v>
      </c>
      <c r="Z13" s="20">
        <f t="shared" si="3"/>
        <v>-6.9782205851828083</v>
      </c>
      <c r="AD13" s="17" t="str">
        <f>+IF($B$3="esp","Música","Music")</f>
        <v>Music</v>
      </c>
      <c r="AF13" s="18">
        <f>+[1]RADIO!AC13</f>
        <v>14.670630828367873</v>
      </c>
      <c r="AG13" s="19">
        <f>+[1]RADIO!AD13</f>
        <v>15.769798508512199</v>
      </c>
      <c r="AH13" s="20">
        <f t="shared" si="4"/>
        <v>-6.9700806865161846</v>
      </c>
      <c r="AK13" s="18">
        <f>+[1]RADIO!AG13</f>
        <v>2.3384656229680729</v>
      </c>
      <c r="AL13" s="19">
        <f>+[1]RADIO!AH13</f>
        <v>3.8126414674832994</v>
      </c>
      <c r="AM13" s="20">
        <f t="shared" si="5"/>
        <v>-38.665472667387228</v>
      </c>
      <c r="AQ13" s="21" t="str">
        <f>+IF($B$3="esp","Promociones y Otros","Add-ons and Others")</f>
        <v>Add-ons and Others</v>
      </c>
      <c r="AR13" s="22"/>
      <c r="AS13" s="23">
        <f>+[1]NOTICIAS!AC13</f>
        <v>27.653440633561402</v>
      </c>
      <c r="AT13" s="24">
        <f>+[1]NOTICIAS!AD13</f>
        <v>35.699785014099504</v>
      </c>
      <c r="AU13" s="25">
        <f>IF(AT13=0,"---",IF(OR(ABS((AS13-AT13)/ABS(AT13))&gt;2,(AS13*AT13)&lt;0),"---",IF(AT13="0","---",((AS13-AT13)/ABS(AT13))*100)))</f>
        <v>-22.53891550708282</v>
      </c>
      <c r="AX13" s="23">
        <f>+[1]NOTICIAS!AG13</f>
        <v>6.8228568926547979</v>
      </c>
      <c r="AY13" s="24">
        <f>+[1]NOTICIAS!AH13</f>
        <v>10.397745617852834</v>
      </c>
      <c r="AZ13" s="25">
        <f>IF(AY13=0,"---",IF(OR(ABS((AX13-AY13)/ABS(AY13))&gt;2,(AX13*AY13)&lt;0),"---",IF(AY13="0","---",((AX13-AY13)/ABS(AY13))*100)))</f>
        <v>-34.381382816867387</v>
      </c>
      <c r="BD13" s="13" t="str">
        <f>+IF($B$3="esp","EBITDA Ajustado","Adjusted EBITDA")</f>
        <v>Adjusted EBITDA</v>
      </c>
      <c r="BF13" s="14">
        <f>+'[1]MEDIA CAPITAL'!AC13</f>
        <v>41.460092193948299</v>
      </c>
      <c r="BG13" s="15">
        <f>+'[1]MEDIA CAPITAL'!AD13</f>
        <v>41.739416936971296</v>
      </c>
      <c r="BH13" s="16">
        <f>IF(BG13=0,"---",IF(OR(ABS((BF13-BG13)/ABS(BG13))&gt;2,(BF13*BG13)&lt;0),"---",IF(BG13="0","---",((BF13-BG13)/ABS(BG13))*100)))</f>
        <v>-0.66921093661847697</v>
      </c>
      <c r="BI13" s="13"/>
      <c r="BK13" s="14">
        <f>+'[1]MEDIA CAPITAL'!AG13</f>
        <v>16.340781377616999</v>
      </c>
      <c r="BL13" s="15">
        <f>+'[1]MEDIA CAPITAL'!AH13</f>
        <v>17.961048754042896</v>
      </c>
      <c r="BM13" s="16">
        <f>IF(BL13=0,"---",IF(OR(ABS((BK13-BL13)/ABS(BL13))&gt;2,(BK13*BL13)&lt;0),"---",IF(BL13="0","---",((BK13-BL13)/ABS(BL13))*100)))</f>
        <v>-9.0210065047631858</v>
      </c>
    </row>
    <row r="14" spans="1:65" ht="15" customHeight="1">
      <c r="D14" s="26" t="str">
        <f>+IF($B$3="esp","Portugal","Portugal")</f>
        <v>Portugal</v>
      </c>
      <c r="F14" s="18">
        <f>+[1]GRUPO!AC14</f>
        <v>184.98408606999999</v>
      </c>
      <c r="G14" s="19">
        <f>+[1]GRUPO!AD14</f>
        <v>168.23256441000001</v>
      </c>
      <c r="H14" s="20">
        <f t="shared" si="0"/>
        <v>9.9573597529993094</v>
      </c>
      <c r="K14" s="18">
        <f>+[1]GRUPO!AG14</f>
        <v>55.893763570000004</v>
      </c>
      <c r="L14" s="19">
        <f>+[1]GRUPO!AH14</f>
        <v>49.73540272000001</v>
      </c>
      <c r="M14" s="20">
        <f t="shared" si="1"/>
        <v>12.382247882198294</v>
      </c>
      <c r="Q14" s="26" t="str">
        <f>+IF($B$3="esp","Portugal","Portugal")</f>
        <v>Portugal</v>
      </c>
      <c r="S14" s="18">
        <f>+[1]SANTILLANA!AC14</f>
        <v>3.676615</v>
      </c>
      <c r="T14" s="19">
        <f>+[1]SANTILLANA!AD14</f>
        <v>3.798152</v>
      </c>
      <c r="U14" s="20">
        <f t="shared" si="2"/>
        <v>-3.1998982663147761</v>
      </c>
      <c r="X14" s="18">
        <f>+[1]SANTILLANA!AG14</f>
        <v>0.13985799999999982</v>
      </c>
      <c r="Y14" s="19">
        <f>+[1]SANTILLANA!AH14</f>
        <v>4.9659999999999815E-2</v>
      </c>
      <c r="Z14" s="20">
        <f t="shared" si="3"/>
        <v>181.63109142166803</v>
      </c>
      <c r="AD14" s="17" t="str">
        <f>+IF($B$3="esp","Ajustes y Otros","Adjustments &amp; others")</f>
        <v>Adjustments &amp; others</v>
      </c>
      <c r="AF14" s="18">
        <f>+[1]RADIO!AC14</f>
        <v>-8.023841921811151</v>
      </c>
      <c r="AG14" s="19">
        <f>+[1]RADIO!AD14</f>
        <v>-9.5862164210042984</v>
      </c>
      <c r="AH14" s="20">
        <f t="shared" si="4"/>
        <v>16.298135057433488</v>
      </c>
      <c r="AK14" s="18">
        <f>+[1]RADIO!AG14</f>
        <v>-1.8003262798794708</v>
      </c>
      <c r="AL14" s="19">
        <f>+[1]RADIO!AH14</f>
        <v>-2.8882672452018134</v>
      </c>
      <c r="AM14" s="20">
        <f t="shared" si="5"/>
        <v>37.667600431701892</v>
      </c>
      <c r="AQ14" s="13" t="str">
        <f>+IF($B$3="esp","EBITDA Ajustado","Adjusted EBITDA")</f>
        <v>Adjusted EBITDA</v>
      </c>
      <c r="AR14" s="13"/>
      <c r="AS14" s="14">
        <f>+[1]NOTICIAS!AC14</f>
        <v>13.669252290183699</v>
      </c>
      <c r="AT14" s="15">
        <f>+[1]NOTICIAS!AD14</f>
        <v>12.478501778196689</v>
      </c>
      <c r="AU14" s="16">
        <f>IF(AT14=0,"---",IF(OR(ABS((AS14-AT14)/ABS(AT14))&gt;2,(AS14*AT14)&lt;0),"---",IF(AT14="0","---",((AS14-AT14)/ABS(AT14))*100)))</f>
        <v>9.5424156934254167</v>
      </c>
      <c r="AX14" s="14">
        <f>+[1]NOTICIAS!AG14</f>
        <v>10.36636063760383</v>
      </c>
      <c r="AY14" s="15">
        <f>+[1]NOTICIAS!AH14</f>
        <v>7.9657712787232597</v>
      </c>
      <c r="AZ14" s="16">
        <f>IF(AY14=0,"---",IF(OR(ABS((AX14-AY14)/ABS(AY14))&gt;2,(AX14*AY14)&lt;0),"---",IF(AY14="0","---",((AX14-AY14)/ABS(AY14))*100)))</f>
        <v>30.13630789641919</v>
      </c>
      <c r="BD14" s="21" t="str">
        <f>+IF($B$3="esp","Margen EBITDA Ajustado","Adjusted EBITDA Margin")</f>
        <v>Adjusted EBITDA Margin</v>
      </c>
      <c r="BF14" s="27">
        <f>+'[1]MEDIA CAPITAL'!AC14</f>
        <v>0.22804234742446802</v>
      </c>
      <c r="BG14" s="28">
        <f>+'[1]MEDIA CAPITAL'!AD14</f>
        <v>0.25225847486754688</v>
      </c>
      <c r="BH14" s="29"/>
      <c r="BI14" s="22"/>
      <c r="BK14" s="27">
        <f>+'[1]MEDIA CAPITAL'!AG14</f>
        <v>0.29281290085340994</v>
      </c>
      <c r="BL14" s="28">
        <f>+'[1]MEDIA CAPITAL'!AH14</f>
        <v>0.35811189809187971</v>
      </c>
      <c r="BM14" s="29"/>
    </row>
    <row r="15" spans="1:65" s="13" customFormat="1" ht="15" customHeight="1">
      <c r="D15" s="13" t="str">
        <f>+IF($B$3="esp","EBITDA Ajustado","Adjusted EBITDA")</f>
        <v>Adjusted EBITDA</v>
      </c>
      <c r="F15" s="14">
        <f>+[1]GRUPO!AC15</f>
        <v>276.34772081244421</v>
      </c>
      <c r="G15" s="15">
        <f>+[1]GRUPO!AD15</f>
        <v>270.42781165274812</v>
      </c>
      <c r="H15" s="16">
        <f t="shared" si="0"/>
        <v>2.1890903614964525</v>
      </c>
      <c r="K15" s="14">
        <f>+[1]GRUPO!AG15</f>
        <v>64.872062511558198</v>
      </c>
      <c r="L15" s="15">
        <f>+[1]GRUPO!AH15</f>
        <v>59.044459901280817</v>
      </c>
      <c r="M15" s="16">
        <f t="shared" si="1"/>
        <v>9.8698550550226418</v>
      </c>
      <c r="Q15" s="13" t="str">
        <f>+IF($B$3="esp","EBITDA Ajustado","Adjusted EBITDA")</f>
        <v>Adjusted EBITDA</v>
      </c>
      <c r="S15" s="14">
        <f>+[1]SANTILLANA!AC15</f>
        <v>168.66654263345805</v>
      </c>
      <c r="T15" s="15">
        <f>+[1]SANTILLANA!AD15</f>
        <v>184.57032667491131</v>
      </c>
      <c r="U15" s="16">
        <f t="shared" si="2"/>
        <v>-8.6166527025034885</v>
      </c>
      <c r="X15" s="14">
        <f>+[1]SANTILLANA!AG15</f>
        <v>17.829355888747074</v>
      </c>
      <c r="Y15" s="15">
        <f>+[1]SANTILLANA!AH15</f>
        <v>19.560040830658721</v>
      </c>
      <c r="Z15" s="16">
        <f t="shared" si="3"/>
        <v>-8.8480640551575132</v>
      </c>
      <c r="AD15" s="13" t="str">
        <f>+IF($B$3="esp","Ingresos de Explotación con MX y CR","Operating Revenues w/MX&amp;CR")</f>
        <v>Operating Revenues w/MX&amp;CR</v>
      </c>
      <c r="AF15" s="14">
        <f>+[1]RADIO!AC15</f>
        <v>309.02837838491206</v>
      </c>
      <c r="AG15" s="15">
        <f>+[1]RADIO!AD15</f>
        <v>301.65998468746892</v>
      </c>
      <c r="AH15" s="16">
        <f t="shared" si="4"/>
        <v>2.4426155511070093</v>
      </c>
      <c r="AK15" s="14">
        <f>+[1]RADIO!AG15</f>
        <v>87.646599557599757</v>
      </c>
      <c r="AL15" s="15">
        <f>+[1]RADIO!AH15</f>
        <v>84.031457613740798</v>
      </c>
      <c r="AM15" s="16">
        <f t="shared" si="5"/>
        <v>4.3021292817224817</v>
      </c>
      <c r="AQ15" s="21" t="str">
        <f>+IF($B$3="esp","Margen EBITDA Ajustado","Adjusted EBITDA Margin")</f>
        <v>Adjusted EBITDA Margin</v>
      </c>
      <c r="AR15" s="22"/>
      <c r="AS15" s="27">
        <f>+[1]NOTICIAS!AC15</f>
        <v>6.7283351406179331E-2</v>
      </c>
      <c r="AT15" s="28">
        <f>+[1]NOTICIAS!AD15</f>
        <v>5.6571951081868202E-2</v>
      </c>
      <c r="AU15" s="29"/>
      <c r="AX15" s="27">
        <f>+[1]NOTICIAS!AG15</f>
        <v>0.17793851324034499</v>
      </c>
      <c r="AY15" s="28">
        <f>+[1]NOTICIAS!AH15</f>
        <v>0.12612732778531785</v>
      </c>
      <c r="AZ15" s="29"/>
      <c r="BD15" s="13" t="str">
        <f>+IF($B$3="esp","EBIT Ajustado","Adjusted EBIT")</f>
        <v>Adjusted EBIT</v>
      </c>
      <c r="BF15" s="14">
        <f>+'[1]MEDIA CAPITAL'!AC15</f>
        <v>34.350927053948297</v>
      </c>
      <c r="BG15" s="15">
        <f>+'[1]MEDIA CAPITAL'!AD15</f>
        <v>33.5682771769713</v>
      </c>
      <c r="BH15" s="16">
        <f>IF(BG15=0,"---",IF(OR(ABS((BF15-BG15)/ABS(BG15))&gt;2,(BF15*BG15)&lt;0),"---",IF(BG15="0","---",((BF15-BG15)/ABS(BG15))*100)))</f>
        <v>2.3315163684179621</v>
      </c>
      <c r="BK15" s="14">
        <f>+'[1]MEDIA CAPITAL'!AG15</f>
        <v>14.252060037616996</v>
      </c>
      <c r="BL15" s="15">
        <f>+'[1]MEDIA CAPITAL'!AH15</f>
        <v>15.6907177440429</v>
      </c>
      <c r="BM15" s="16">
        <f>IF(BL15=0,"---",IF(OR(ABS((BK15-BL15)/ABS(BL15))&gt;2,(BK15*BL15)&lt;0),"---",IF(BL15="0","---",((BK15-BL15)/ABS(BL15))*100)))</f>
        <v>-9.1688457462189774</v>
      </c>
    </row>
    <row r="16" spans="1:65" ht="15" customHeight="1">
      <c r="D16" s="17" t="str">
        <f>+IF($B$3="esp","España","Spain")</f>
        <v>Spain</v>
      </c>
      <c r="F16" s="18">
        <f>+[1]GRUPO!AC16</f>
        <v>68.177012687801493</v>
      </c>
      <c r="G16" s="19">
        <f>+[1]GRUPO!AD16</f>
        <v>50.727046063139333</v>
      </c>
      <c r="H16" s="20">
        <f t="shared" si="0"/>
        <v>34.399729491329737</v>
      </c>
      <c r="K16" s="18">
        <f>+[1]GRUPO!AG16</f>
        <v>-6.8362148621960159</v>
      </c>
      <c r="L16" s="19">
        <f>+[1]GRUPO!AH16</f>
        <v>-21.337427169999437</v>
      </c>
      <c r="M16" s="20">
        <f t="shared" si="1"/>
        <v>67.961390997468612</v>
      </c>
      <c r="Q16" s="17" t="str">
        <f>+IF($B$3="esp","España","Spain")</f>
        <v>Spain</v>
      </c>
      <c r="S16" s="18">
        <f>+[1]SANTILLANA!AC16</f>
        <v>20.530338111354951</v>
      </c>
      <c r="T16" s="19">
        <f>+[1]SANTILLANA!AD16</f>
        <v>25.397423876975722</v>
      </c>
      <c r="U16" s="20">
        <f t="shared" si="2"/>
        <v>-19.163698606586138</v>
      </c>
      <c r="X16" s="18">
        <f>+[1]SANTILLANA!AG16</f>
        <v>-30.544043688644734</v>
      </c>
      <c r="Y16" s="19">
        <f>+[1]SANTILLANA!AH16</f>
        <v>-35.595048139999534</v>
      </c>
      <c r="Z16" s="20">
        <f t="shared" si="3"/>
        <v>14.190188566366317</v>
      </c>
      <c r="AD16" s="13" t="str">
        <f>+IF($B$3="esp","EBITDA Ajustado","Adjusted EBITDA")</f>
        <v>Adjusted EBITDA</v>
      </c>
      <c r="AE16" s="13"/>
      <c r="AF16" s="14">
        <f>+[1]RADIO!AC16</f>
        <v>61.801997257676831</v>
      </c>
      <c r="AG16" s="15">
        <f>+[1]RADIO!AD16</f>
        <v>46.556025480226296</v>
      </c>
      <c r="AH16" s="16">
        <f t="shared" si="4"/>
        <v>32.747580190078608</v>
      </c>
      <c r="AI16" s="13"/>
      <c r="AK16" s="14">
        <f>+[1]RADIO!AG16</f>
        <v>23.365192176408634</v>
      </c>
      <c r="AL16" s="15">
        <f>+[1]RADIO!AH16</f>
        <v>18.089371214075818</v>
      </c>
      <c r="AM16" s="16">
        <f t="shared" si="5"/>
        <v>29.165308732387334</v>
      </c>
      <c r="AN16" s="13"/>
      <c r="AQ16" s="13" t="str">
        <f>+IF($B$3="esp","EBIT Ajustado","Adjusted EBIT")</f>
        <v>Adjusted EBIT</v>
      </c>
      <c r="AR16" s="13"/>
      <c r="AS16" s="14">
        <f>+[1]NOTICIAS!AC16</f>
        <v>7.3875942455439301</v>
      </c>
      <c r="AT16" s="15">
        <f>+[1]NOTICIAS!AD16</f>
        <v>3.9001393101737487</v>
      </c>
      <c r="AU16" s="16">
        <f>IF(AT16=0,"---",IF(OR(ABS((AS16-AT16)/ABS(AT16))&gt;2,(AS16*AT16)&lt;0),"---",IF(AT16="0","---",((AS16-AT16)/ABS(AT16))*100)))</f>
        <v>89.418727332968459</v>
      </c>
      <c r="AX16" s="14">
        <f>+[1]NOTICIAS!AG16</f>
        <v>8.2979032445644592</v>
      </c>
      <c r="AY16" s="15">
        <f>+[1]NOTICIAS!AH16</f>
        <v>5.9759957155427799</v>
      </c>
      <c r="AZ16" s="16">
        <f>IF(AY16=0,"---",IF(OR(ABS((AX16-AY16)/ABS(AY16))&gt;2,(AX16*AY16)&lt;0),"---",IF(AY16="0","---",((AX16-AY16)/ABS(AY16))*100)))</f>
        <v>38.853902170356363</v>
      </c>
      <c r="BA16" s="13"/>
      <c r="BD16" s="30" t="str">
        <f>+IF($B$3="esp","Margen EBIT Ajustado","Adjusted EBIT Margin")</f>
        <v>Adjusted EBIT Margin</v>
      </c>
      <c r="BF16" s="31">
        <f>+'[1]MEDIA CAPITAL'!AC16</f>
        <v>0.18893990888742992</v>
      </c>
      <c r="BG16" s="32">
        <f>+'[1]MEDIA CAPITAL'!AD16</f>
        <v>0.20287495671970712</v>
      </c>
      <c r="BH16" s="33"/>
      <c r="BI16" s="22"/>
      <c r="BK16" s="31">
        <f>+'[1]MEDIA CAPITAL'!AG16</f>
        <v>0.25538479135813358</v>
      </c>
      <c r="BL16" s="32">
        <f>+'[1]MEDIA CAPITAL'!AH16</f>
        <v>0.31284546858536516</v>
      </c>
      <c r="BM16" s="33"/>
    </row>
    <row r="17" spans="4:65" ht="15" customHeight="1">
      <c r="D17" s="17" t="str">
        <f>+IF($B$3="esp","Internacional","International")</f>
        <v>International</v>
      </c>
      <c r="F17" s="18">
        <f>+[1]GRUPO!AC17</f>
        <v>208.17070812464272</v>
      </c>
      <c r="G17" s="19">
        <f>+[1]GRUPO!AD17</f>
        <v>219.70076558960881</v>
      </c>
      <c r="H17" s="20">
        <f t="shared" si="0"/>
        <v>-5.2480734120443264</v>
      </c>
      <c r="K17" s="18">
        <f>+[1]GRUPO!AG17</f>
        <v>71.708277373754214</v>
      </c>
      <c r="L17" s="19">
        <f>+[1]GRUPO!AH17</f>
        <v>80.381887071280261</v>
      </c>
      <c r="M17" s="20">
        <f t="shared" si="1"/>
        <v>-10.790502703469189</v>
      </c>
      <c r="Q17" s="17" t="str">
        <f>+IF($B$3="esp","Internacional","International")</f>
        <v>International</v>
      </c>
      <c r="S17" s="18">
        <f>+[1]SANTILLANA!AC17</f>
        <v>148.1362045221031</v>
      </c>
      <c r="T17" s="19">
        <f>+[1]SANTILLANA!AD17</f>
        <v>159.17290279793559</v>
      </c>
      <c r="U17" s="20">
        <f t="shared" si="2"/>
        <v>-6.9337796081052767</v>
      </c>
      <c r="X17" s="18">
        <f>+[1]SANTILLANA!AG17</f>
        <v>48.373399577391808</v>
      </c>
      <c r="Y17" s="19">
        <f>+[1]SANTILLANA!AH17</f>
        <v>55.155088970658255</v>
      </c>
      <c r="Z17" s="20">
        <f t="shared" si="3"/>
        <v>-12.295673019173648</v>
      </c>
      <c r="AD17" s="17" t="str">
        <f>+IF($B$3="esp","España","Spain")</f>
        <v>Spain</v>
      </c>
      <c r="AF17" s="18">
        <f>+[1]RADIO!AC17</f>
        <v>37.151341948330099</v>
      </c>
      <c r="AG17" s="19">
        <f>+[1]RADIO!AD17</f>
        <v>24.341100030000209</v>
      </c>
      <c r="AH17" s="20">
        <f t="shared" si="4"/>
        <v>52.628032022141028</v>
      </c>
      <c r="AK17" s="18">
        <f>+[1]RADIO!AG17</f>
        <v>13.818264928330102</v>
      </c>
      <c r="AL17" s="19">
        <f>+[1]RADIO!AH17</f>
        <v>9.5739530800003099</v>
      </c>
      <c r="AM17" s="20">
        <f t="shared" si="5"/>
        <v>44.331863890121078</v>
      </c>
      <c r="AQ17" s="30" t="str">
        <f>+IF($B$3="esp","Margen EBIT Ajustado","Adjusted EBIT Margin")</f>
        <v>Adjusted EBIT Margin</v>
      </c>
      <c r="AR17" s="22"/>
      <c r="AS17" s="31">
        <f>+[1]NOTICIAS!AC17</f>
        <v>3.636351785138648E-2</v>
      </c>
      <c r="AT17" s="32">
        <f>+[1]NOTICIAS!AD17</f>
        <v>1.7681488866967628E-2</v>
      </c>
      <c r="AU17" s="33"/>
      <c r="AX17" s="31">
        <f>+[1]NOTICIAS!AG17</f>
        <v>0.14243345547848213</v>
      </c>
      <c r="AY17" s="32">
        <f>+[1]NOTICIAS!AH17</f>
        <v>9.4621894614419166E-2</v>
      </c>
      <c r="AZ17" s="33"/>
    </row>
    <row r="18" spans="4:65" ht="15" customHeight="1">
      <c r="D18" s="26" t="str">
        <f>+IF($B$3="esp","Portugal","Portugal")</f>
        <v>Portugal</v>
      </c>
      <c r="F18" s="18">
        <f>+[1]GRUPO!AC18</f>
        <v>165.85478946069441</v>
      </c>
      <c r="G18" s="19">
        <f>+[1]GRUPO!AD18</f>
        <v>177.76059024263753</v>
      </c>
      <c r="H18" s="20">
        <f t="shared" si="0"/>
        <v>-6.6976604688880084</v>
      </c>
      <c r="K18" s="18">
        <f>+[1]GRUPO!AG18</f>
        <v>55.618010786137191</v>
      </c>
      <c r="L18" s="19">
        <f>+[1]GRUPO!AH18</f>
        <v>62.506521497237387</v>
      </c>
      <c r="M18" s="20">
        <f t="shared" si="1"/>
        <v>-11.020467218615979</v>
      </c>
      <c r="Q18" s="26" t="str">
        <f>+IF($B$3="esp","Latam","Latam")</f>
        <v>Latam</v>
      </c>
      <c r="S18" s="18">
        <f>+[1]SANTILLANA!AC18</f>
        <v>146.9700725221031</v>
      </c>
      <c r="T18" s="19">
        <f>+[1]SANTILLANA!AD18</f>
        <v>159.11255279793559</v>
      </c>
      <c r="U18" s="20">
        <f t="shared" si="2"/>
        <v>-7.6313779537261244</v>
      </c>
      <c r="X18" s="18">
        <f>+[1]SANTILLANA!AG18</f>
        <v>48.563002577391799</v>
      </c>
      <c r="Y18" s="19">
        <f>+[1]SANTILLANA!AH18</f>
        <v>55.65174197065825</v>
      </c>
      <c r="Z18" s="20">
        <f t="shared" si="3"/>
        <v>-12.737677460310062</v>
      </c>
      <c r="AD18" s="17" t="str">
        <f>+IF($B$3="esp","Latam","Latam")</f>
        <v>Latam</v>
      </c>
      <c r="AF18" s="18">
        <f>+[1]RADIO!AC18</f>
        <v>23.379587859785016</v>
      </c>
      <c r="AG18" s="19">
        <f>+[1]RADIO!AD18</f>
        <v>23.966127738731291</v>
      </c>
      <c r="AH18" s="20">
        <f t="shared" si="4"/>
        <v>-2.4473702441232414</v>
      </c>
      <c r="AK18" s="18">
        <f>+[1]RADIO!AG18</f>
        <v>8.3557705584468316</v>
      </c>
      <c r="AL18" s="19">
        <f>+[1]RADIO!AH18</f>
        <v>8.8416275897618135</v>
      </c>
      <c r="AM18" s="20">
        <f t="shared" si="5"/>
        <v>-5.4951085236566781</v>
      </c>
    </row>
    <row r="19" spans="4:65" ht="15" customHeight="1">
      <c r="D19" s="26" t="str">
        <f>+IF($B$3="esp","Latam","Latam")</f>
        <v>Latam</v>
      </c>
      <c r="F19" s="18">
        <f>+[1]GRUPO!AC19</f>
        <v>42.31591866394831</v>
      </c>
      <c r="G19" s="19">
        <f>+[1]GRUPO!AD19</f>
        <v>41.940175346971301</v>
      </c>
      <c r="H19" s="20">
        <f t="shared" si="0"/>
        <v>0.89590306637605011</v>
      </c>
      <c r="K19" s="18">
        <f>+[1]GRUPO!AG19</f>
        <v>16.090266587617009</v>
      </c>
      <c r="L19" s="19">
        <f>+[1]GRUPO!AH19</f>
        <v>17.875365574042899</v>
      </c>
      <c r="M19" s="20">
        <f t="shared" si="1"/>
        <v>-9.9863635181708421</v>
      </c>
      <c r="Q19" s="26" t="str">
        <f>+IF($B$3="esp","Portugal","Portugal")</f>
        <v>Portugal</v>
      </c>
      <c r="S19" s="18">
        <f>+[1]SANTILLANA!AC19</f>
        <v>1.1661320000000002</v>
      </c>
      <c r="T19" s="19">
        <f>+[1]SANTILLANA!AD19</f>
        <v>6.0349999999999508E-2</v>
      </c>
      <c r="U19" s="20" t="str">
        <f t="shared" si="2"/>
        <v>---</v>
      </c>
      <c r="X19" s="18">
        <f>+[1]SANTILLANA!AG19</f>
        <v>-0.18960300000000085</v>
      </c>
      <c r="Y19" s="19">
        <f>+[1]SANTILLANA!AH19</f>
        <v>-0.4966530000000014</v>
      </c>
      <c r="Z19" s="20">
        <f t="shared" si="3"/>
        <v>61.823848844162768</v>
      </c>
      <c r="AD19" s="17" t="str">
        <f>+IF($B$3="esp","Música","Music")</f>
        <v>Music</v>
      </c>
      <c r="AF19" s="18">
        <f>+[1]RADIO!AC19</f>
        <v>0.12707142956150047</v>
      </c>
      <c r="AG19" s="19">
        <f>+[1]RADIO!AD19</f>
        <v>-1.7512022885049401</v>
      </c>
      <c r="AH19" s="20" t="str">
        <f t="shared" si="4"/>
        <v>---</v>
      </c>
      <c r="AK19" s="18">
        <f>+[1]RADIO!AG19</f>
        <v>4.7160669631750765E-2</v>
      </c>
      <c r="AL19" s="19">
        <f>+[1]RADIO!AH19</f>
        <v>-0.32620945568631998</v>
      </c>
      <c r="AM19" s="20" t="str">
        <f t="shared" si="5"/>
        <v>---</v>
      </c>
      <c r="BD19" s="9" t="str">
        <f>+IF($B$3="esp","Millones de €","€ Millions")</f>
        <v>€ Millions</v>
      </c>
      <c r="BF19" s="10">
        <v>2018</v>
      </c>
      <c r="BG19" s="10">
        <v>2017</v>
      </c>
      <c r="BH19" s="10" t="str">
        <f>+IF($B$3="esp","Var.%","% Chg.")</f>
        <v>% Chg.</v>
      </c>
      <c r="BK19" s="10">
        <v>2018</v>
      </c>
      <c r="BL19" s="10">
        <v>2017</v>
      </c>
      <c r="BM19" s="10" t="str">
        <f>+IF($B$3="esp","Var.%","% Chg.")</f>
        <v>% Chg.</v>
      </c>
    </row>
    <row r="20" spans="4:65" s="22" customFormat="1" ht="15" customHeight="1">
      <c r="D20" s="21" t="str">
        <f>+IF($B$3="esp","Margen EBITDA Ajustado","Adjusted EBITDA Margin")</f>
        <v>Adjusted EBITDA Margin</v>
      </c>
      <c r="F20" s="27">
        <f>+[1]GRUPO!AC20</f>
        <v>0.21581675124132532</v>
      </c>
      <c r="G20" s="28">
        <f>+[1]GRUPO!AD20</f>
        <v>0.20487213606747109</v>
      </c>
      <c r="H20" s="29"/>
      <c r="K20" s="27">
        <f>+[1]GRUPO!AG20</f>
        <v>0.20027959995076453</v>
      </c>
      <c r="L20" s="28">
        <f>+[1]GRUPO!AH20</f>
        <v>0.18158123922514291</v>
      </c>
      <c r="M20" s="29"/>
      <c r="Q20" s="21" t="str">
        <f>+IF($B$3="esp","Margen EBITDA Ajustado","Adjusted EBITDA Margin")</f>
        <v>Adjusted EBITDA Margin</v>
      </c>
      <c r="S20" s="27">
        <f>+[1]SANTILLANA!AC20</f>
        <v>0.28100167631994954</v>
      </c>
      <c r="T20" s="28">
        <f>+[1]SANTILLANA!AD20</f>
        <v>0.28611979599160292</v>
      </c>
      <c r="U20" s="29"/>
      <c r="X20" s="27">
        <f>+[1]SANTILLANA!AG20</f>
        <v>0.14087555548990788</v>
      </c>
      <c r="Y20" s="28">
        <f>+[1]SANTILLANA!AH20</f>
        <v>0.14862138562188931</v>
      </c>
      <c r="Z20" s="29"/>
      <c r="AD20" s="17" t="str">
        <f>+IF($B$3="esp","Ajustes y Otros","Adjustments &amp; others")</f>
        <v>Adjustments &amp; others</v>
      </c>
      <c r="AE20" s="1"/>
      <c r="AF20" s="18">
        <f>+[1]RADIO!AC20</f>
        <v>1.1439960200002157</v>
      </c>
      <c r="AG20" s="19">
        <f>+[1]RADIO!AD20</f>
        <v>-2.6467716907063732E-13</v>
      </c>
      <c r="AH20" s="20" t="str">
        <f t="shared" si="4"/>
        <v>---</v>
      </c>
      <c r="AI20" s="1"/>
      <c r="AK20" s="18">
        <f>+[1]RADIO!AG20</f>
        <v>1.1439960199999497</v>
      </c>
      <c r="AL20" s="19">
        <f>+[1]RADIO!AH20</f>
        <v>1.4876988529977098E-14</v>
      </c>
      <c r="AM20" s="20" t="str">
        <f t="shared" si="5"/>
        <v>---</v>
      </c>
      <c r="AN20" s="1"/>
      <c r="BA20" s="1"/>
      <c r="BD20" s="11" t="str">
        <f>+IF($B$3="esp","Resultados Comparables - sin efecto NIIF","Comparable results - excluding IFRS effect")</f>
        <v>Comparable results - excluding IFRS effect</v>
      </c>
      <c r="BF20" s="12"/>
      <c r="BG20" s="12"/>
      <c r="BH20" s="12"/>
      <c r="BI20" s="1"/>
      <c r="BK20" s="12"/>
      <c r="BL20" s="12"/>
      <c r="BM20" s="12"/>
    </row>
    <row r="21" spans="4:65" s="13" customFormat="1" ht="15" customHeight="1">
      <c r="D21" s="13" t="str">
        <f>+IF($B$3="esp","EBIT Ajustado","Adjusted EBIT")</f>
        <v>Adjusted EBIT</v>
      </c>
      <c r="F21" s="14">
        <f>+[1]GRUPO!AC21</f>
        <v>188.02676878115571</v>
      </c>
      <c r="G21" s="15">
        <f>+[1]GRUPO!AD21</f>
        <v>174.90274842396508</v>
      </c>
      <c r="H21" s="16">
        <f>IF(G21=0,"---",IF(OR(ABS((F21-G21)/ABS(G21))&gt;2,(F21*G21)&lt;0),"---",IF(G21="0","---",((F21-G21)/ABS(G21))*100)))</f>
        <v>7.5036101350322655</v>
      </c>
      <c r="K21" s="14">
        <f>+[1]GRUPO!AG21</f>
        <v>48.22576485479172</v>
      </c>
      <c r="L21" s="15">
        <f>+[1]GRUPO!AH21</f>
        <v>44.685542770568787</v>
      </c>
      <c r="M21" s="16">
        <f>IF(L21=0,"---",IF(OR(ABS((K21-L21)/ABS(L21))&gt;2,(K21*L21)&lt;0),"---",IF(L21="0","---",((K21-L21)/ABS(L21))*100)))</f>
        <v>7.9225222851150576</v>
      </c>
      <c r="Q21" s="13" t="str">
        <f>+IF($B$3="esp","EBIT Ajustado","Adjusted EBIT")</f>
        <v>Adjusted EBIT</v>
      </c>
      <c r="S21" s="14">
        <f>+[1]SANTILLANA!AC21</f>
        <v>105.72563844802613</v>
      </c>
      <c r="T21" s="15">
        <f>+[1]SANTILLANA!AD21</f>
        <v>117.4606874726408</v>
      </c>
      <c r="U21" s="16">
        <f>IF(T21=0,"---",IF(OR(ABS((S21-T21)/ABS(T21))&gt;2,(S21*T21)&lt;0),"---",IF(T21="0","---",((S21-T21)/ABS(T21))*100)))</f>
        <v>-9.9906183737840131</v>
      </c>
      <c r="X21" s="14">
        <f>+[1]SANTILLANA!AG21</f>
        <v>9.0708447510090764</v>
      </c>
      <c r="Y21" s="15">
        <f>+[1]SANTILLANA!AH21</f>
        <v>11.781260654064241</v>
      </c>
      <c r="Z21" s="16">
        <f>IF(Y21=0,"---",IF(OR(ABS((X21-Y21)/ABS(Y21))&gt;2,(X21*Y21)&lt;0),"---",IF(Y21="0","---",((X21-Y21)/ABS(Y21))*100)))</f>
        <v>-23.006161926483976</v>
      </c>
      <c r="AD21" s="21" t="str">
        <f>+IF($B$3="esp","Margen EBITDA Ajustado","Adjusted EBITDA Margin")</f>
        <v>Adjusted EBITDA Margin</v>
      </c>
      <c r="AE21" s="22"/>
      <c r="AF21" s="27">
        <f>+[1]RADIO!AC21</f>
        <v>0.21453500708451212</v>
      </c>
      <c r="AG21" s="28">
        <f>+[1]RADIO!AD21</f>
        <v>0.16587672193759828</v>
      </c>
      <c r="AH21" s="29"/>
      <c r="AI21" s="22"/>
      <c r="AK21" s="27">
        <f>+[1]RADIO!AG21</f>
        <v>0.28501690447429834</v>
      </c>
      <c r="AL21" s="28">
        <f>+[1]RADIO!AH21</f>
        <v>0.23237564970677105</v>
      </c>
      <c r="AM21" s="29"/>
      <c r="AN21" s="22"/>
      <c r="BA21" s="22"/>
      <c r="BD21" s="13" t="str">
        <f>+IF($B$3="esp","Ingresos de Explotación Comparables","Comparable Operating Revenues")</f>
        <v>Comparable Operating Revenues</v>
      </c>
      <c r="BF21" s="14">
        <f>+'[1]MEDIA CAPITAL'!AC21</f>
        <v>167.89674149999999</v>
      </c>
      <c r="BG21" s="15">
        <f>+'[1]MEDIA CAPITAL'!AD21</f>
        <v>165.46289261000001</v>
      </c>
      <c r="BH21" s="16">
        <f>IF(BG21=0,"---",IF(OR(ABS((BF21-BG21)/ABS(BG21))&gt;2,(BF21*BG21)&lt;0),"---",IF(BG21="0","---",((BF21-BG21)/ABS(BG21))*100)))</f>
        <v>1.470933362525348</v>
      </c>
      <c r="BK21" s="14">
        <f>+'[1]MEDIA CAPITAL'!AG21</f>
        <v>49.637220729999981</v>
      </c>
      <c r="BL21" s="15">
        <f>+'[1]MEDIA CAPITAL'!AH21</f>
        <v>50.154850620000019</v>
      </c>
      <c r="BM21" s="16">
        <f>IF(BL21=0,"---",IF(OR(ABS((BK21-BL21)/ABS(BL21))&gt;2,(BK21*BL21)&lt;0),"---",IF(BL21="0","---",((BK21-BL21)/ABS(BL21))*100)))</f>
        <v>-1.0320634666462842</v>
      </c>
    </row>
    <row r="22" spans="4:65" ht="15" customHeight="1">
      <c r="D22" s="17" t="str">
        <f>+IF($B$3="esp","España","Spain")</f>
        <v>Spain</v>
      </c>
      <c r="F22" s="18">
        <f>+[1]GRUPO!AC22</f>
        <v>42.46062019780156</v>
      </c>
      <c r="G22" s="19">
        <f>+[1]GRUPO!AD22</f>
        <v>18.931557569763971</v>
      </c>
      <c r="H22" s="20">
        <f>IF(G22=0,"---",IF(OR(ABS((F22-G22)/ABS(G22))&gt;2,(F22*G22)&lt;0),"---",IF(G22="0","---",((F22-G22)/ABS(G22))*100)))</f>
        <v>124.28487482517762</v>
      </c>
      <c r="K22" s="18">
        <f>+[1]GRUPO!AG22</f>
        <v>1.8500332278039266</v>
      </c>
      <c r="L22" s="19">
        <f>+[1]GRUPO!AH22</f>
        <v>-11.604045279999717</v>
      </c>
      <c r="M22" s="20" t="str">
        <f>IF(L22=0,"---",IF(OR(ABS((K22-L22)/ABS(L22))&gt;2,(K22*L22)&lt;0),"---",IF(L22="0","---",((K22-L22)/ABS(L22))*100)))</f>
        <v>---</v>
      </c>
      <c r="Q22" s="17" t="str">
        <f>+IF($B$3="esp","España","Spain")</f>
        <v>Spain</v>
      </c>
      <c r="S22" s="18">
        <f>+[1]SANTILLANA!AC22</f>
        <v>5.5062221913550786</v>
      </c>
      <c r="T22" s="19">
        <f>+[1]SANTILLANA!AD22</f>
        <v>7.7884945969760651</v>
      </c>
      <c r="U22" s="20">
        <f>IF(T22=0,"---",IF(OR(ABS((S22-T22)/ABS(T22))&gt;2,(S22*T22)&lt;0),"---",IF(T22="0","---",((S22-T22)/ABS(T22))*100)))</f>
        <v>-29.303126261486963</v>
      </c>
      <c r="X22" s="18">
        <f>+[1]SANTILLANA!AG22</f>
        <v>-21.005926888644566</v>
      </c>
      <c r="Y22" s="19">
        <f>+[1]SANTILLANA!AH22</f>
        <v>-24.272338319999562</v>
      </c>
      <c r="Z22" s="20">
        <f>IF(Y22=0,"---",IF(OR(ABS((X22-Y22)/ABS(Y22))&gt;2,(X22*Y22)&lt;0),"---",IF(Y22="0","---",((X22-Y22)/ABS(Y22))*100)))</f>
        <v>13.457341391223054</v>
      </c>
      <c r="AD22" s="34" t="str">
        <f>+IF($B$3="esp","EBITDA Ajustado con MX y CR","Adjusted EBITDA w/MX&amp;CR")</f>
        <v>Adjusted EBITDA w/MX&amp;CR</v>
      </c>
      <c r="AE22" s="13"/>
      <c r="AF22" s="35">
        <f>+[1]RADIO!AC22</f>
        <v>69.985950637427067</v>
      </c>
      <c r="AG22" s="36">
        <f>+[1]RADIO!AD22</f>
        <v>55.169938132991632</v>
      </c>
      <c r="AH22" s="37">
        <f t="shared" ref="AH22:AH27" si="6">IF(AG22=0,"---",IF(OR(ABS((AF22-AG22)/ABS(AG22))&gt;2,(AF22*AG22)&lt;0),"---",IF(AG22="0","---",((AF22-AG22)/ABS(AG22))*100)))</f>
        <v>26.855227694329166</v>
      </c>
      <c r="AI22" s="13"/>
      <c r="AK22" s="35">
        <f>+[1]RADIO!AG22</f>
        <v>25.69673072620018</v>
      </c>
      <c r="AL22" s="36">
        <f>+[1]RADIO!AH22</f>
        <v>21.056850687877301</v>
      </c>
      <c r="AM22" s="37">
        <f t="shared" ref="AM22:AM27" si="7">IF(AL22=0,"---",IF(OR(ABS((AK22-AL22)/ABS(AL22))&gt;2,(AK22*AL22)&lt;0),"---",IF(AL22="0","---",((AK22-AL22)/ABS(AL22))*100)))</f>
        <v>22.035014196088294</v>
      </c>
      <c r="AN22" s="13"/>
      <c r="BA22" s="13"/>
      <c r="BD22" s="21" t="str">
        <f>+IF($B$3="esp","Publicidad","Advertising")</f>
        <v>Advertising</v>
      </c>
      <c r="BF22" s="23">
        <f>+'[1]MEDIA CAPITAL'!AC22</f>
        <v>122.01918552999999</v>
      </c>
      <c r="BG22" s="24">
        <f>+'[1]MEDIA CAPITAL'!AD22</f>
        <v>118.94565168</v>
      </c>
      <c r="BH22" s="25">
        <f>IF(BG22=0,"---",IF(OR(ABS((BF22-BG22)/ABS(BG22))&gt;2,(BF22*BG22)&lt;0),"---",IF(BG22="0","---",((BF22-BG22)/ABS(BG22))*100)))</f>
        <v>2.5839816812040608</v>
      </c>
      <c r="BI22" s="22"/>
      <c r="BK22" s="23">
        <f>+'[1]MEDIA CAPITAL'!AG22</f>
        <v>37.471086719999988</v>
      </c>
      <c r="BL22" s="24">
        <f>+'[1]MEDIA CAPITAL'!AH22</f>
        <v>35.95670616000001</v>
      </c>
      <c r="BM22" s="25">
        <f>IF(BL22=0,"---",IF(OR(ABS((BK22-BL22)/ABS(BL22))&gt;2,(BK22*BL22)&lt;0),"---",IF(BL22="0","---",((BK22-BL22)/ABS(BL22))*100)))</f>
        <v>4.2116776582963231</v>
      </c>
    </row>
    <row r="23" spans="4:65" ht="15" customHeight="1">
      <c r="D23" s="17" t="str">
        <f>+IF($B$3="esp","Internacional","International")</f>
        <v>International</v>
      </c>
      <c r="F23" s="18">
        <f>+[1]GRUPO!AC23</f>
        <v>145.56614858335413</v>
      </c>
      <c r="G23" s="19">
        <f>+[1]GRUPO!AD23</f>
        <v>155.9711908542011</v>
      </c>
      <c r="H23" s="20">
        <f>IF(G23=0,"---",IF(OR(ABS((F23-G23)/ABS(G23))&gt;2,(F23*G23)&lt;0),"---",IF(G23="0","---",((F23-G23)/ABS(G23))*100)))</f>
        <v>-6.6711308760689008</v>
      </c>
      <c r="K23" s="18">
        <f>+[1]GRUPO!AG23</f>
        <v>46.375731626987786</v>
      </c>
      <c r="L23" s="19">
        <f>+[1]GRUPO!AH23</f>
        <v>56.289588050568497</v>
      </c>
      <c r="M23" s="20">
        <f>IF(L23=0,"---",IF(OR(ABS((K23-L23)/ABS(L23))&gt;2,(K23*L23)&lt;0),"---",IF(L23="0","---",((K23-L23)/ABS(L23))*100)))</f>
        <v>-17.612238367554699</v>
      </c>
      <c r="Q23" s="17" t="str">
        <f>+IF($B$3="esp","Internacional","International")</f>
        <v>International</v>
      </c>
      <c r="S23" s="18">
        <f>+[1]SANTILLANA!AC23</f>
        <v>100.21941625667105</v>
      </c>
      <c r="T23" s="19">
        <f>+[1]SANTILLANA!AD23</f>
        <v>109.67219287566473</v>
      </c>
      <c r="U23" s="20">
        <f>IF(T23=0,"---",IF(OR(ABS((S23-T23)/ABS(T23))&gt;2,(S23*T23)&lt;0),"---",IF(T23="0","---",((S23-T23)/ABS(T23))*100)))</f>
        <v>-8.6191188223165049</v>
      </c>
      <c r="X23" s="18">
        <f>+[1]SANTILLANA!AG23</f>
        <v>30.076771639653643</v>
      </c>
      <c r="Y23" s="19">
        <f>+[1]SANTILLANA!AH23</f>
        <v>36.053598974063803</v>
      </c>
      <c r="Z23" s="20">
        <f>IF(Y23=0,"---",IF(OR(ABS((X23-Y23)/ABS(Y23))&gt;2,(X23*Y23)&lt;0),"---",IF(Y23="0","---",((X23-Y23)/ABS(Y23))*100)))</f>
        <v>-16.577616394717662</v>
      </c>
      <c r="AD23" s="13" t="str">
        <f>+IF($B$3="esp","EBIT Ajustado","Adjusted EBIT")</f>
        <v>Adjusted EBIT</v>
      </c>
      <c r="AE23" s="13"/>
      <c r="AF23" s="14">
        <f>+[1]RADIO!AC23</f>
        <v>52.054678771673132</v>
      </c>
      <c r="AG23" s="15">
        <f>+[1]RADIO!AD23</f>
        <v>36.151309646792249</v>
      </c>
      <c r="AH23" s="16">
        <f t="shared" si="6"/>
        <v>43.991128620957184</v>
      </c>
      <c r="AI23" s="13"/>
      <c r="AK23" s="14">
        <f>+[1]RADIO!AG23</f>
        <v>20.939823879346065</v>
      </c>
      <c r="AL23" s="15">
        <f>+[1]RADIO!AH23</f>
        <v>16.039771096936306</v>
      </c>
      <c r="AM23" s="16">
        <f t="shared" si="7"/>
        <v>30.549393459521994</v>
      </c>
      <c r="AN23" s="13"/>
      <c r="BA23" s="13"/>
      <c r="BD23" s="21" t="str">
        <f>+IF($B$3="esp","Otros","Others")</f>
        <v>Others</v>
      </c>
      <c r="BF23" s="23">
        <f>+'[1]MEDIA CAPITAL'!AC23</f>
        <v>45.877555970000003</v>
      </c>
      <c r="BG23" s="24">
        <f>+'[1]MEDIA CAPITAL'!AD23</f>
        <v>46.517240930000014</v>
      </c>
      <c r="BH23" s="25">
        <f>IF(BG23=0,"---",IF(OR(ABS((BF23-BG23)/ABS(BG23))&gt;2,(BF23*BG23)&lt;0),"---",IF(BG23="0","---",((BF23-BG23)/ABS(BG23))*100)))</f>
        <v>-1.3751567100951247</v>
      </c>
      <c r="BI23" s="22"/>
      <c r="BK23" s="23">
        <f>+'[1]MEDIA CAPITAL'!AG23</f>
        <v>12.166134009999993</v>
      </c>
      <c r="BL23" s="24">
        <f>+'[1]MEDIA CAPITAL'!AH23</f>
        <v>14.198144460000009</v>
      </c>
      <c r="BM23" s="25">
        <f>IF(BL23=0,"---",IF(OR(ABS((BK23-BL23)/ABS(BL23))&gt;2,(BK23*BL23)&lt;0),"---",IF(BL23="0","---",((BK23-BL23)/ABS(BL23))*100)))</f>
        <v>-14.311802895968102</v>
      </c>
    </row>
    <row r="24" spans="4:65" ht="15" customHeight="1">
      <c r="D24" s="26" t="str">
        <f>+IF($B$3="esp","Portugal","Portugal")</f>
        <v>Portugal</v>
      </c>
      <c r="F24" s="18">
        <f>+[1]GRUPO!AC24</f>
        <v>110.23119142940584</v>
      </c>
      <c r="G24" s="19">
        <f>+[1]GRUPO!AD24</f>
        <v>121.9105574972298</v>
      </c>
      <c r="H24" s="20">
        <f>IF(G24=0,"---",IF(OR(ABS((F24-G24)/ABS(G24))&gt;2,(F24*G24)&lt;0),"---",IF(G24="0","---",((F24-G24)/ABS(G24))*100)))</f>
        <v>-9.5802745123935278</v>
      </c>
      <c r="K24" s="18">
        <f>+[1]GRUPO!AG24</f>
        <v>32.319532889370791</v>
      </c>
      <c r="L24" s="19">
        <f>+[1]GRUPO!AH24</f>
        <v>41.035892326525598</v>
      </c>
      <c r="M24" s="20">
        <f>IF(L24=0,"---",IF(OR(ABS((K24-L24)/ABS(L24))&gt;2,(K24*L24)&lt;0),"---",IF(L24="0","---",((K24-L24)/ABS(L24))*100)))</f>
        <v>-21.240818568774127</v>
      </c>
      <c r="Q24" s="26" t="str">
        <f>+IF($B$3="esp","Latam","Latam")</f>
        <v>Latam</v>
      </c>
      <c r="S24" s="18">
        <f>+[1]SANTILLANA!AC24</f>
        <v>99.474347256671052</v>
      </c>
      <c r="T24" s="19">
        <f>+[1]SANTILLANA!AD24</f>
        <v>110.41362087566473</v>
      </c>
      <c r="U24" s="20">
        <f>IF(T24=0,"---",IF(OR(ABS((S24-T24)/ABS(T24))&gt;2,(S24*T24)&lt;0),"---",IF(T24="0","---",((S24-T24)/ABS(T24))*100)))</f>
        <v>-9.9075399685626167</v>
      </c>
      <c r="X24" s="18">
        <f>+[1]SANTILLANA!AG24</f>
        <v>30.347269639653646</v>
      </c>
      <c r="Y24" s="19">
        <f>+[1]SANTILLANA!AH24</f>
        <v>36.908982974063804</v>
      </c>
      <c r="Z24" s="20">
        <f>IF(Y24=0,"---",IF(OR(ABS((X24-Y24)/ABS(Y24))&gt;2,(X24*Y24)&lt;0),"---",IF(Y24="0","---",((X24-Y24)/ABS(Y24))*100)))</f>
        <v>-17.778093043151902</v>
      </c>
      <c r="AD24" s="17" t="str">
        <f>+IF($B$3="esp","España","Spain")</f>
        <v>Spain</v>
      </c>
      <c r="AF24" s="18">
        <f>+[1]RADIO!AC24</f>
        <v>30.985036698330095</v>
      </c>
      <c r="AG24" s="19">
        <f>+[1]RADIO!AD24</f>
        <v>18.101802310000398</v>
      </c>
      <c r="AH24" s="20">
        <f t="shared" si="6"/>
        <v>71.171003680734671</v>
      </c>
      <c r="AK24" s="18">
        <f>+[1]RADIO!AG24</f>
        <v>11.953375828329992</v>
      </c>
      <c r="AL24" s="19">
        <f>+[1]RADIO!AH24</f>
        <v>7.6044250500004971</v>
      </c>
      <c r="AM24" s="20">
        <f t="shared" si="7"/>
        <v>57.189738208139893</v>
      </c>
      <c r="BD24" s="13" t="str">
        <f>+IF($B$3="esp","Gastos de Explotación Comparables","Comparable Operating Expenses")</f>
        <v>Comparable Operating Expenses</v>
      </c>
      <c r="BF24" s="14">
        <f>+'[1]MEDIA CAPITAL'!AC24</f>
        <v>126.43664930605169</v>
      </c>
      <c r="BG24" s="15">
        <f>+'[1]MEDIA CAPITAL'!AD24</f>
        <v>123.72347567302872</v>
      </c>
      <c r="BH24" s="16">
        <f>IF(BG24=0,"---",IF(OR(ABS((BF24-BG24)/ABS(BG24))&gt;2,(BF24*BG24)&lt;0),"---",IF(BG24="0","---",((BF24-BG24)/ABS(BG24))*100)))</f>
        <v>2.1929335708230817</v>
      </c>
      <c r="BI24" s="13"/>
      <c r="BK24" s="14">
        <f>+'[1]MEDIA CAPITAL'!AG24</f>
        <v>33.296439352382976</v>
      </c>
      <c r="BL24" s="15">
        <f>+'[1]MEDIA CAPITAL'!AH24</f>
        <v>32.193801865957127</v>
      </c>
      <c r="BM24" s="16">
        <f>IF(BL24=0,"---",IF(OR(ABS((BK24-BL24)/ABS(BL24))&gt;2,(BK24*BL24)&lt;0),"---",IF(BL24="0","---",((BK24-BL24)/ABS(BL24))*100)))</f>
        <v>3.4249992933944742</v>
      </c>
    </row>
    <row r="25" spans="4:65" ht="15" customHeight="1">
      <c r="D25" s="26" t="str">
        <f>+IF($B$3="esp","Latam","Latam")</f>
        <v>Latam</v>
      </c>
      <c r="F25" s="18">
        <f>+[1]GRUPO!AC25</f>
        <v>35.334957153948302</v>
      </c>
      <c r="G25" s="19">
        <f>+[1]GRUPO!AD25</f>
        <v>34.060633356971302</v>
      </c>
      <c r="H25" s="20">
        <f>IF(G25=0,"---",IF(OR(ABS((F25-G25)/ABS(G25))&gt;2,(F25*G25)&lt;0),"---",IF(G25="0","---",((F25-G25)/ABS(G25))*100)))</f>
        <v>3.7413391102317264</v>
      </c>
      <c r="K25" s="18">
        <f>+[1]GRUPO!AG25</f>
        <v>14.056198737616999</v>
      </c>
      <c r="L25" s="19">
        <f>+[1]GRUPO!AH25</f>
        <v>15.253695724042899</v>
      </c>
      <c r="M25" s="20">
        <f>IF(L25=0,"---",IF(OR(ABS((K25-L25)/ABS(L25))&gt;2,(K25*L25)&lt;0),"---",IF(L25="0","---",((K25-L25)/ABS(L25))*100)))</f>
        <v>-7.8505367360803158</v>
      </c>
      <c r="Q25" s="26" t="str">
        <f>+IF($B$3="esp","Portugal","Portugal")</f>
        <v>Portugal</v>
      </c>
      <c r="S25" s="18">
        <f>+[1]SANTILLANA!AC25</f>
        <v>0.74506900000000009</v>
      </c>
      <c r="T25" s="19">
        <f>+[1]SANTILLANA!AD25</f>
        <v>-0.74142800000000098</v>
      </c>
      <c r="U25" s="20" t="str">
        <f>IF(T25=0,"---",IF(OR(ABS((S25-T25)/ABS(T25))&gt;2,(S25*T25)&lt;0),"---",IF(T25="0","---",((S25-T25)/ABS(T25))*100)))</f>
        <v>---</v>
      </c>
      <c r="X25" s="18">
        <f>+[1]SANTILLANA!AG25</f>
        <v>-0.27049800000000002</v>
      </c>
      <c r="Y25" s="19">
        <f>+[1]SANTILLANA!AH25</f>
        <v>-0.85538400000000214</v>
      </c>
      <c r="Z25" s="20">
        <f>IF(Y25=0,"---",IF(OR(ABS((X25-Y25)/ABS(Y25))&gt;2,(X25*Y25)&lt;0),"---",IF(Y25="0","---",((X25-Y25)/ABS(Y25))*100)))</f>
        <v>68.377009623748009</v>
      </c>
      <c r="AD25" s="17" t="str">
        <f>+IF($B$3="esp","Latam","Latam")</f>
        <v>Latam</v>
      </c>
      <c r="AF25" s="18">
        <f>+[1]RADIO!AC25</f>
        <v>19.807422684809008</v>
      </c>
      <c r="AG25" s="19">
        <f>+[1]RADIO!AD25</f>
        <v>20.270849086730557</v>
      </c>
      <c r="AH25" s="20">
        <f t="shared" si="6"/>
        <v>-2.2861716346401635</v>
      </c>
      <c r="AK25" s="18">
        <f>+[1]RADIO!AG25</f>
        <v>7.4093788622874559</v>
      </c>
      <c r="AL25" s="19">
        <f>+[1]RADIO!AH25</f>
        <v>8.7987625494978126</v>
      </c>
      <c r="AM25" s="20">
        <f t="shared" si="7"/>
        <v>-15.790671465382996</v>
      </c>
      <c r="BD25" s="13" t="str">
        <f>+IF($B$3="esp","EBITDA Ajustado Comparable","Comparable Adjusted EBITDA")</f>
        <v>Comparable Adjusted EBITDA</v>
      </c>
      <c r="BF25" s="14">
        <f>+'[1]MEDIA CAPITAL'!AC25</f>
        <v>41.460092193948299</v>
      </c>
      <c r="BG25" s="15">
        <f>+'[1]MEDIA CAPITAL'!AD25</f>
        <v>41.739416936971296</v>
      </c>
      <c r="BH25" s="16">
        <f>IF(BG25=0,"---",IF(OR(ABS((BF25-BG25)/ABS(BG25))&gt;2,(BF25*BG25)&lt;0),"---",IF(BG25="0","---",((BF25-BG25)/ABS(BG25))*100)))</f>
        <v>-0.66921093661847697</v>
      </c>
      <c r="BI25" s="13"/>
      <c r="BK25" s="14">
        <f>+'[1]MEDIA CAPITAL'!AG25</f>
        <v>16.340781377616999</v>
      </c>
      <c r="BL25" s="15">
        <f>+'[1]MEDIA CAPITAL'!AH25</f>
        <v>17.961048754042896</v>
      </c>
      <c r="BM25" s="16">
        <f>IF(BL25=0,"---",IF(OR(ABS((BK25-BL25)/ABS(BL25))&gt;2,(BK25*BL25)&lt;0),"---",IF(BL25="0","---",((BK25-BL25)/ABS(BL25))*100)))</f>
        <v>-9.0210065047631858</v>
      </c>
    </row>
    <row r="26" spans="4:65" s="22" customFormat="1" ht="15" customHeight="1">
      <c r="D26" s="30" t="str">
        <f>+IF($B$3="esp","Margen EBIT Ajustado","Adjusted EBIT Margin")</f>
        <v>Adjusted EBIT Margin</v>
      </c>
      <c r="F26" s="31">
        <f>+[1]GRUPO!AC26</f>
        <v>0.14684154537425645</v>
      </c>
      <c r="G26" s="32">
        <f>+[1]GRUPO!AD26</f>
        <v>0.13250375194287123</v>
      </c>
      <c r="H26" s="33"/>
      <c r="K26" s="31">
        <f>+[1]GRUPO!AG26</f>
        <v>0.14888746431819483</v>
      </c>
      <c r="L26" s="32">
        <f>+[1]GRUPO!AH26</f>
        <v>0.13742282079121859</v>
      </c>
      <c r="M26" s="33"/>
      <c r="Q26" s="30" t="str">
        <f>+IF($B$3="esp","Margen EBIT Ajustado","Adjusted EBIT Margin")</f>
        <v>Adjusted EBIT Margin</v>
      </c>
      <c r="S26" s="31">
        <f>+[1]SANTILLANA!AC26</f>
        <v>0.17614092973053519</v>
      </c>
      <c r="T26" s="32">
        <f>+[1]SANTILLANA!AD26</f>
        <v>0.18208684213849707</v>
      </c>
      <c r="U26" s="33"/>
      <c r="X26" s="31">
        <f>+[1]SANTILLANA!AG26</f>
        <v>7.1671702614205773E-2</v>
      </c>
      <c r="Y26" s="32">
        <f>+[1]SANTILLANA!AH26</f>
        <v>8.9516545386511187E-2</v>
      </c>
      <c r="Z26" s="33"/>
      <c r="AD26" s="17" t="str">
        <f>+IF($B$3="esp","Música","Music")</f>
        <v>Music</v>
      </c>
      <c r="AE26" s="1"/>
      <c r="AF26" s="18" t="e">
        <f>+[1]RADIO!AC26</f>
        <v>#VALUE!</v>
      </c>
      <c r="AG26" s="19">
        <f>+[1]RADIO!AD26</f>
        <v>-2.4597437499387897</v>
      </c>
      <c r="AH26" s="20" t="e">
        <f t="shared" si="6"/>
        <v>#VALUE!</v>
      </c>
      <c r="AI26" s="1"/>
      <c r="AK26" s="18" t="e">
        <f>+[1]RADIO!AG26</f>
        <v>#VALUE!</v>
      </c>
      <c r="AL26" s="19">
        <f>+[1]RADIO!AH26</f>
        <v>-0.60181850256194958</v>
      </c>
      <c r="AM26" s="20" t="e">
        <f t="shared" si="7"/>
        <v>#VALUE!</v>
      </c>
      <c r="AN26" s="1"/>
      <c r="BA26" s="1"/>
      <c r="BD26" s="21" t="str">
        <f>+IF($B$3="esp","Margen EBITDA Ajustado","Adjusted EBITDA Margin")</f>
        <v>Adjusted EBITDA Margin</v>
      </c>
      <c r="BF26" s="27">
        <f>+'[1]MEDIA CAPITAL'!AC26</f>
        <v>0.24693803955658247</v>
      </c>
      <c r="BG26" s="28">
        <f>+'[1]MEDIA CAPITAL'!AD26</f>
        <v>0.25225847486754688</v>
      </c>
      <c r="BH26" s="29"/>
      <c r="BK26" s="27">
        <f>+'[1]MEDIA CAPITAL'!AG26</f>
        <v>0.32920419671564888</v>
      </c>
      <c r="BL26" s="28">
        <f>+'[1]MEDIA CAPITAL'!AH26</f>
        <v>0.35811189809187971</v>
      </c>
      <c r="BM26" s="29"/>
    </row>
    <row r="27" spans="4:65">
      <c r="AD27" s="17" t="str">
        <f>+IF($B$3="esp","Ajustes y Otros","Adjustments &amp; others")</f>
        <v>Adjustments &amp; others</v>
      </c>
      <c r="AF27" s="18" t="e">
        <f>+[1]RADIO!AC27</f>
        <v>#VALUE!</v>
      </c>
      <c r="AG27" s="19">
        <f>+[1]RADIO!AD27</f>
        <v>0.23840200000008416</v>
      </c>
      <c r="AH27" s="20" t="e">
        <f t="shared" si="6"/>
        <v>#VALUE!</v>
      </c>
      <c r="AK27" s="18" t="e">
        <f>+[1]RADIO!AG27</f>
        <v>#VALUE!</v>
      </c>
      <c r="AL27" s="19">
        <f>+[1]RADIO!AH27</f>
        <v>0.23840199999994605</v>
      </c>
      <c r="AM27" s="20" t="e">
        <f t="shared" si="7"/>
        <v>#VALUE!</v>
      </c>
      <c r="BD27" s="13" t="str">
        <f>+IF($B$3="esp","EBIT Ajustado Comparable","Comparable Adjusted EBIT")</f>
        <v>Comparable Adjusted EBIT</v>
      </c>
      <c r="BF27" s="14">
        <f>+'[1]MEDIA CAPITAL'!AC27</f>
        <v>34.350927053948297</v>
      </c>
      <c r="BG27" s="15">
        <f>+'[1]MEDIA CAPITAL'!AD27</f>
        <v>33.5682771769713</v>
      </c>
      <c r="BH27" s="16">
        <f>IF(BG27=0,"---",IF(OR(ABS((BF27-BG27)/ABS(BG27))&gt;2,(BF27*BG27)&lt;0),"---",IF(BG27="0","---",((BF27-BG27)/ABS(BG27))*100)))</f>
        <v>2.3315163684179621</v>
      </c>
      <c r="BI27" s="13"/>
      <c r="BK27" s="14">
        <f>+'[1]MEDIA CAPITAL'!AG27</f>
        <v>14.252060037616996</v>
      </c>
      <c r="BL27" s="15">
        <f>+'[1]MEDIA CAPITAL'!AH27</f>
        <v>15.6907177440429</v>
      </c>
      <c r="BM27" s="16">
        <f>IF(BL27=0,"---",IF(OR(ABS((BK27-BL27)/ABS(BL27))&gt;2,(BK27*BL27)&lt;0),"---",IF(BL27="0","---",((BK27-BL27)/ABS(BL27))*100)))</f>
        <v>-9.1688457462189774</v>
      </c>
    </row>
    <row r="28" spans="4:65">
      <c r="D28" s="9"/>
      <c r="F28" s="10">
        <v>2018</v>
      </c>
      <c r="G28" s="10">
        <v>2017</v>
      </c>
      <c r="H28" s="10" t="str">
        <f>+IF($B$3="esp","Var.%","% Chg.")</f>
        <v>% Chg.</v>
      </c>
      <c r="K28" s="10">
        <v>2018</v>
      </c>
      <c r="L28" s="10">
        <v>2017</v>
      </c>
      <c r="M28" s="10" t="str">
        <f>+IF($B$3="esp","Var.%","% Chg.")</f>
        <v>% Chg.</v>
      </c>
      <c r="Q28" s="9"/>
      <c r="S28" s="10">
        <v>2018</v>
      </c>
      <c r="T28" s="10">
        <v>2017</v>
      </c>
      <c r="U28" s="10" t="str">
        <f>+IF($B$3="esp","Var.%","% Chg.")</f>
        <v>% Chg.</v>
      </c>
      <c r="X28" s="10">
        <v>2018</v>
      </c>
      <c r="Y28" s="10">
        <v>2017</v>
      </c>
      <c r="Z28" s="10" t="str">
        <f>+IF($B$3="esp","Var.%","% Chg.")</f>
        <v>% Chg.</v>
      </c>
      <c r="AD28" s="21" t="str">
        <f>+IF($B$3="esp","Margen EBIT Ajustado","Adjusted EBIT Margin")</f>
        <v>Adjusted EBIT Margin</v>
      </c>
      <c r="AE28" s="22"/>
      <c r="AF28" s="27">
        <f>+[1]RADIO!AC28</f>
        <v>0.18069886693954221</v>
      </c>
      <c r="AG28" s="28">
        <f>+[1]RADIO!AD28</f>
        <v>0.12880525509008342</v>
      </c>
      <c r="AH28" s="29"/>
      <c r="AI28" s="22"/>
      <c r="AK28" s="27">
        <f>+[1]RADIO!AG28</f>
        <v>0.25543140143115045</v>
      </c>
      <c r="AL28" s="28">
        <f>+[1]RADIO!AH28</f>
        <v>0.20604653338631188</v>
      </c>
      <c r="AM28" s="29"/>
      <c r="AN28" s="22"/>
      <c r="BA28" s="22"/>
      <c r="BD28" s="30" t="str">
        <f>+IF($B$3="esp","Margen EBIT Ajustado","Adjusted EBIT Margin")</f>
        <v>Adjusted EBIT Margin</v>
      </c>
      <c r="BF28" s="31">
        <f>+'[1]MEDIA CAPITAL'!AC28</f>
        <v>0.2045955552624486</v>
      </c>
      <c r="BG28" s="32">
        <f>+'[1]MEDIA CAPITAL'!AD28</f>
        <v>0.20287495671970712</v>
      </c>
      <c r="BH28" s="33"/>
      <c r="BI28" s="22"/>
      <c r="BK28" s="31">
        <f>+'[1]MEDIA CAPITAL'!AG28</f>
        <v>0.28712445676885506</v>
      </c>
      <c r="BL28" s="32">
        <f>+'[1]MEDIA CAPITAL'!AH28</f>
        <v>0.31284546858536516</v>
      </c>
      <c r="BM28" s="33"/>
    </row>
    <row r="29" spans="4:65" ht="15.75" customHeight="1">
      <c r="D29" s="11" t="str">
        <f>+IF($B$3="esp","Resultados de Explotación Ajustados a tipo constante","Operating Adjusted Results at constant currency")</f>
        <v>Operating Adjusted Results at constant currency</v>
      </c>
      <c r="F29" s="12"/>
      <c r="G29" s="12"/>
      <c r="H29" s="12"/>
      <c r="K29" s="12"/>
      <c r="L29" s="12"/>
      <c r="M29" s="12"/>
      <c r="Q29" s="11" t="str">
        <f>+IF($B$3="esp","Resultados de Explotación Ajustados a tipo constante","Operating Adjusted Results at constant currency")</f>
        <v>Operating Adjusted Results at constant currency</v>
      </c>
      <c r="S29" s="12"/>
      <c r="T29" s="12"/>
      <c r="U29" s="12"/>
      <c r="X29" s="12"/>
      <c r="Y29" s="12"/>
      <c r="Z29" s="12"/>
      <c r="AD29" s="34" t="str">
        <f>+IF($B$3="esp","EBIT Ajustado con MX y CR","Adjusted EBIT w/MX&amp;CR")</f>
        <v>Adjusted EBIT w/MX&amp;CR</v>
      </c>
      <c r="AE29" s="13"/>
      <c r="AF29" s="35">
        <f>+[1]RADIO!AC29</f>
        <v>59.282427274087865</v>
      </c>
      <c r="AG29" s="36">
        <f>+[1]RADIO!AD29</f>
        <v>43.960166677546177</v>
      </c>
      <c r="AH29" s="37">
        <f>IF(AG29=0,"---",IF(OR(ABS((AF29-AG29)/ABS(AG29))&gt;2,(AF29*AG29)&lt;0),"---",IF(AG29="0","---",((AF29-AG29)/ABS(AG29))*100)))</f>
        <v>34.854873751804817</v>
      </c>
      <c r="AI29" s="13"/>
      <c r="AK29" s="35">
        <f>+[1]RADIO!AG29</f>
        <v>23.030172474997265</v>
      </c>
      <c r="AL29" s="36">
        <f>+[1]RADIO!AH29</f>
        <v>18.900451747629614</v>
      </c>
      <c r="AM29" s="37">
        <f>IF(AL29=0,"---",IF(OR(ABS((AK29-AL29)/ABS(AL29))&gt;2,(AK29*AL29)&lt;0),"---",IF(AL29="0","---",((AK29-AL29)/ABS(AL29))*100)))</f>
        <v>21.849851963911799</v>
      </c>
      <c r="AN29" s="13"/>
      <c r="BA29" s="13"/>
    </row>
    <row r="30" spans="4:65" s="13" customFormat="1" ht="15" customHeight="1">
      <c r="D30" s="13" t="str">
        <f>+IF($B$3="esp","Ingresos de Explotación Ajustados a tipo constante","Operating Adjusted Revenues on constant currency")</f>
        <v>Operating Adjusted Revenues on constant currency</v>
      </c>
      <c r="F30" s="14">
        <f>+[1]GRUPO!AC30</f>
        <v>1361.5895715532536</v>
      </c>
      <c r="G30" s="15">
        <f>+[1]GRUPO!AD30</f>
        <v>1319.9833654474487</v>
      </c>
      <c r="H30" s="16">
        <f t="shared" ref="H30:H39" si="8">IF(G30=0,"---",IF(OR(ABS((F30-G30)/ABS(G30))&gt;2,(F30*G30)&lt;0),"---",IF(G30="0","---",((F30-G30)/ABS(G30))*100)))</f>
        <v>3.1520250326564656</v>
      </c>
      <c r="K30" s="14">
        <f>+[1]GRUPO!AG30</f>
        <v>341.62306509300811</v>
      </c>
      <c r="L30" s="15">
        <f>+[1]GRUPO!AH30</f>
        <v>325.16828364670141</v>
      </c>
      <c r="M30" s="16">
        <f t="shared" ref="M30:M39" si="9">IF(L30=0,"---",IF(OR(ABS((K30-L30)/ABS(L30))&gt;2,(K30*L30)&lt;0),"---",IF(L30="0","---",((K30-L30)/ABS(L30))*100)))</f>
        <v>5.060389427212705</v>
      </c>
      <c r="Q30" s="13" t="str">
        <f>+IF($B$3="esp","Ingresos de Explotación Ajustados a tipo constante","Operating Adjusted Revenues on constant currency")</f>
        <v>Operating Adjusted Revenues on constant currency</v>
      </c>
      <c r="S30" s="14">
        <f>+[1]SANTILLANA!AC30</f>
        <v>673.37919122136475</v>
      </c>
      <c r="T30" s="15">
        <f>+[1]SANTILLANA!AD30</f>
        <v>645.08058953155455</v>
      </c>
      <c r="U30" s="16">
        <f t="shared" ref="U30:U39" si="10">IF(T30=0,"---",IF(OR(ABS((S30-T30)/ABS(T30))&gt;2,(S30*T30)&lt;0),"---",IF(T30="0","---",((S30-T30)/ABS(T30))*100)))</f>
        <v>4.3868319941792251</v>
      </c>
      <c r="X30" s="14">
        <f>+[1]SANTILLANA!AG30</f>
        <v>142.08235970169358</v>
      </c>
      <c r="Y30" s="15">
        <f>+[1]SANTILLANA!AH30</f>
        <v>131.60986723957626</v>
      </c>
      <c r="Z30" s="16">
        <f t="shared" ref="Z30:Z39" si="11">IF(Y30=0,"---",IF(OR(ABS((X30-Y30)/ABS(Y30))&gt;2,(X30*Y30)&lt;0),"---",IF(Y30="0","---",((X30-Y30)/ABS(Y30))*100)))</f>
        <v>7.9572243949260244</v>
      </c>
      <c r="AD30" s="1"/>
      <c r="AE30" s="1"/>
      <c r="AF30" s="1"/>
      <c r="AG30" s="1"/>
      <c r="AH30" s="1"/>
      <c r="AI30" s="1"/>
      <c r="AK30" s="1"/>
      <c r="AL30" s="1"/>
      <c r="AM30" s="1"/>
      <c r="AN30" s="1"/>
      <c r="BA30" s="1"/>
      <c r="BD30" s="1"/>
      <c r="BF30" s="1"/>
      <c r="BG30" s="1"/>
      <c r="BH30" s="1"/>
      <c r="BI30" s="1"/>
      <c r="BK30" s="1"/>
      <c r="BL30" s="1"/>
      <c r="BM30" s="1"/>
    </row>
    <row r="31" spans="4:65" ht="15" customHeight="1">
      <c r="D31" s="17" t="str">
        <f>+IF($B$3="esp","España","Spain")</f>
        <v>Spain</v>
      </c>
      <c r="F31" s="18">
        <f>+[1]GRUPO!AC31</f>
        <v>513.3753496683355</v>
      </c>
      <c r="G31" s="19">
        <f>+[1]GRUPO!AD31</f>
        <v>523.3281650599971</v>
      </c>
      <c r="H31" s="20">
        <f t="shared" si="8"/>
        <v>-1.9018306401530212</v>
      </c>
      <c r="K31" s="18">
        <f>+[1]GRUPO!AG31</f>
        <v>101.27625039476828</v>
      </c>
      <c r="L31" s="19">
        <f>+[1]GRUPO!AH31</f>
        <v>97.060579432996235</v>
      </c>
      <c r="M31" s="20">
        <f t="shared" si="9"/>
        <v>4.3433399907552062</v>
      </c>
      <c r="Q31" s="17" t="str">
        <f>+IF($B$3="esp","España","Spain")</f>
        <v>Spain</v>
      </c>
      <c r="S31" s="18">
        <f>+[1]SANTILLANA!AC31</f>
        <v>115.0839786570167</v>
      </c>
      <c r="T31" s="19">
        <f>+[1]SANTILLANA!AD31</f>
        <v>121.03364661603962</v>
      </c>
      <c r="U31" s="20">
        <f t="shared" si="10"/>
        <v>-4.9157140393342953</v>
      </c>
      <c r="X31" s="18">
        <f>+[1]SANTILLANA!AG31</f>
        <v>-12.730797823081161</v>
      </c>
      <c r="Y31" s="19">
        <f>+[1]SANTILLANA!AH31</f>
        <v>-18.030538212708052</v>
      </c>
      <c r="Z31" s="20">
        <f t="shared" si="11"/>
        <v>29.393134731228354</v>
      </c>
      <c r="AD31" s="9"/>
      <c r="AF31" s="10">
        <v>2018</v>
      </c>
      <c r="AG31" s="10">
        <v>2017</v>
      </c>
      <c r="AH31" s="10" t="str">
        <f>+IF($B$3="esp","Var.%","% Chg.")</f>
        <v>% Chg.</v>
      </c>
      <c r="AK31" s="10">
        <v>2018</v>
      </c>
      <c r="AL31" s="10">
        <v>2017</v>
      </c>
      <c r="AM31" s="10" t="str">
        <f>+IF($B$3="esp","Var.%","% Chg.")</f>
        <v>% Chg.</v>
      </c>
    </row>
    <row r="32" spans="4:65" ht="15" customHeight="1">
      <c r="D32" s="17" t="str">
        <f>+IF($B$3="esp","Internacional","International")</f>
        <v>International</v>
      </c>
      <c r="F32" s="18">
        <f>+[1]GRUPO!AC32</f>
        <v>848.21422188491817</v>
      </c>
      <c r="G32" s="19">
        <f>+[1]GRUPO!AD32</f>
        <v>796.65520038745171</v>
      </c>
      <c r="H32" s="20">
        <f t="shared" si="8"/>
        <v>6.4719368520271798</v>
      </c>
      <c r="K32" s="18">
        <f>+[1]GRUPO!AG32</f>
        <v>240.34681469823988</v>
      </c>
      <c r="L32" s="19">
        <f>+[1]GRUPO!AH32</f>
        <v>228.10770421370535</v>
      </c>
      <c r="M32" s="20">
        <f t="shared" si="9"/>
        <v>5.3654963240821463</v>
      </c>
      <c r="Q32" s="17" t="str">
        <f>+IF($B$3="esp","Internacional","International")</f>
        <v>International</v>
      </c>
      <c r="S32" s="18">
        <f>+[1]SANTILLANA!AC32</f>
        <v>558.29521256434805</v>
      </c>
      <c r="T32" s="19">
        <f>+[1]SANTILLANA!AD32</f>
        <v>524.04694291551493</v>
      </c>
      <c r="U32" s="20">
        <f t="shared" si="10"/>
        <v>6.5353438488342643</v>
      </c>
      <c r="X32" s="18">
        <f>+[1]SANTILLANA!AG32</f>
        <v>154.81315752477474</v>
      </c>
      <c r="Y32" s="19">
        <f>+[1]SANTILLANA!AH32</f>
        <v>149.64040545228431</v>
      </c>
      <c r="Z32" s="20">
        <f t="shared" si="11"/>
        <v>3.4567883299005469</v>
      </c>
      <c r="AD32" s="11" t="str">
        <f>+IF($B$3="esp","Resultados de Explotación Ajustados a tipo constante","Operating Adjusted Results at constant currency")</f>
        <v>Operating Adjusted Results at constant currency</v>
      </c>
      <c r="AF32" s="12"/>
      <c r="AG32" s="12"/>
      <c r="AH32" s="12"/>
      <c r="AK32" s="12"/>
      <c r="AL32" s="12"/>
      <c r="AM32" s="12"/>
    </row>
    <row r="33" spans="4:65" ht="15" customHeight="1">
      <c r="D33" s="26" t="str">
        <f>+IF($B$3="esp","Portugal","Portugal")</f>
        <v>Portugal</v>
      </c>
      <c r="F33" s="18">
        <f>+[1]GRUPO!AC33</f>
        <v>663.23013581491819</v>
      </c>
      <c r="G33" s="19">
        <f>+[1]GRUPO!AD33</f>
        <v>628.42263597745171</v>
      </c>
      <c r="H33" s="20">
        <f t="shared" si="8"/>
        <v>5.5388679281621869</v>
      </c>
      <c r="K33" s="18">
        <f>+[1]GRUPO!AG33</f>
        <v>184.45305112823979</v>
      </c>
      <c r="L33" s="19">
        <f>+[1]GRUPO!AH33</f>
        <v>178.37230149370527</v>
      </c>
      <c r="M33" s="20">
        <f t="shared" si="9"/>
        <v>3.4090212345828346</v>
      </c>
      <c r="Q33" s="26" t="str">
        <f>+IF($B$3="esp","Latam","Latam")</f>
        <v>Latam</v>
      </c>
      <c r="S33" s="18">
        <f>+[1]SANTILLANA!AC33</f>
        <v>554.61859756434808</v>
      </c>
      <c r="T33" s="19">
        <f>+[1]SANTILLANA!AD33</f>
        <v>520.24879091551497</v>
      </c>
      <c r="U33" s="20">
        <f t="shared" si="10"/>
        <v>6.606417400480713</v>
      </c>
      <c r="X33" s="18">
        <f>+[1]SANTILLANA!AG33</f>
        <v>154.67329952477479</v>
      </c>
      <c r="Y33" s="19">
        <f>+[1]SANTILLANA!AH33</f>
        <v>149.59074545228435</v>
      </c>
      <c r="Z33" s="20">
        <f t="shared" si="11"/>
        <v>3.3976393774383884</v>
      </c>
      <c r="AD33" s="13" t="str">
        <f>+IF($B$3="esp","Ingresos de Explotación Ajustados a tipo constante","Operating Adjusted Revenues on constant currency")</f>
        <v>Operating Adjusted Revenues on constant currency</v>
      </c>
      <c r="AE33" s="13"/>
      <c r="AF33" s="14">
        <f>+[1]RADIO!AC33</f>
        <v>295.23895852991342</v>
      </c>
      <c r="AG33" s="15">
        <f>+[1]RADIO!AD33</f>
        <v>280.66641862949501</v>
      </c>
      <c r="AH33" s="16">
        <f t="shared" ref="AH33:AH43" si="12">IF(AG33=0,"---",IF(OR(ABS((AF33-AG33)/ABS(AG33))&gt;2,(AF33*AG33)&lt;0),"---",IF(AG33="0","---",((AF33-AG33)/ABS(AG33))*100)))</f>
        <v>5.1921209425682919</v>
      </c>
      <c r="AI33" s="13"/>
      <c r="AK33" s="14">
        <f>+[1]RADIO!AG33</f>
        <v>84.17467943263523</v>
      </c>
      <c r="AL33" s="15">
        <f>+[1]RADIO!AH33</f>
        <v>77.845381979145998</v>
      </c>
      <c r="AM33" s="16">
        <f t="shared" ref="AM33:AM43" si="13">IF(AL33=0,"---",IF(OR(ABS((AK33-AL33)/ABS(AL33))&gt;2,(AK33*AL33)&lt;0),"---",IF(AL33="0","---",((AK33-AL33)/ABS(AL33))*100)))</f>
        <v>8.1306010614538291</v>
      </c>
      <c r="AN33" s="13"/>
      <c r="BA33" s="13"/>
    </row>
    <row r="34" spans="4:65" ht="15" customHeight="1">
      <c r="D34" s="26" t="str">
        <f>+IF($B$3="esp","Latam","Latam")</f>
        <v>Latam</v>
      </c>
      <c r="F34" s="18">
        <f>+[1]GRUPO!AC34</f>
        <v>184.98408606999999</v>
      </c>
      <c r="G34" s="19">
        <f>+[1]GRUPO!AD34</f>
        <v>168.23256441000001</v>
      </c>
      <c r="H34" s="20">
        <f t="shared" si="8"/>
        <v>9.9573597529993094</v>
      </c>
      <c r="K34" s="18">
        <f>+[1]GRUPO!AG34</f>
        <v>55.893763570000004</v>
      </c>
      <c r="L34" s="19">
        <f>+[1]GRUPO!AH34</f>
        <v>49.73540272000001</v>
      </c>
      <c r="M34" s="20">
        <f t="shared" si="9"/>
        <v>12.382247882198294</v>
      </c>
      <c r="Q34" s="26" t="str">
        <f>+IF($B$3="esp","Portugal","Portugal")</f>
        <v>Portugal</v>
      </c>
      <c r="S34" s="18">
        <f>+[1]SANTILLANA!AC34</f>
        <v>3.676615</v>
      </c>
      <c r="T34" s="19">
        <f>+[1]SANTILLANA!AD34</f>
        <v>3.798152</v>
      </c>
      <c r="U34" s="20">
        <f t="shared" si="10"/>
        <v>-3.1998982663147761</v>
      </c>
      <c r="X34" s="18">
        <f>+[1]SANTILLANA!AG34</f>
        <v>0.13985799999999982</v>
      </c>
      <c r="Y34" s="19">
        <f>+[1]SANTILLANA!AH34</f>
        <v>4.9659999999999815E-2</v>
      </c>
      <c r="Z34" s="20">
        <f t="shared" si="11"/>
        <v>181.63109142166803</v>
      </c>
      <c r="AD34" s="17" t="str">
        <f>+IF($B$3="esp","España","Spain")</f>
        <v>Spain</v>
      </c>
      <c r="AF34" s="18">
        <f>+[1]RADIO!AC34</f>
        <v>189.14613022833001</v>
      </c>
      <c r="AG34" s="19">
        <f>+[1]RADIO!AD34</f>
        <v>179.88399075000001</v>
      </c>
      <c r="AH34" s="20">
        <f t="shared" si="12"/>
        <v>5.1489515213181907</v>
      </c>
      <c r="AK34" s="18">
        <f>+[1]RADIO!AG34</f>
        <v>55.336292598330004</v>
      </c>
      <c r="AL34" s="19">
        <f>+[1]RADIO!AH34</f>
        <v>50.849146560000008</v>
      </c>
      <c r="AM34" s="20">
        <f t="shared" si="13"/>
        <v>8.8244274326912038</v>
      </c>
    </row>
    <row r="35" spans="4:65" s="13" customFormat="1" ht="15" customHeight="1">
      <c r="D35" s="13" t="str">
        <f>+IF($B$3="esp","EBITDA Ajustado a tipo constante","Adjusted EBITDA on constant currency")</f>
        <v>Adjusted EBITDA on constant currency</v>
      </c>
      <c r="F35" s="14">
        <f>+[1]GRUPO!AC35</f>
        <v>295.95838731016778</v>
      </c>
      <c r="G35" s="15">
        <f>+[1]GRUPO!AD35</f>
        <v>270.42781165274812</v>
      </c>
      <c r="H35" s="16">
        <f t="shared" si="8"/>
        <v>9.4408099157356826</v>
      </c>
      <c r="K35" s="14">
        <f>+[1]GRUPO!AG35</f>
        <v>68.756418642293369</v>
      </c>
      <c r="L35" s="15">
        <f>+[1]GRUPO!AH35</f>
        <v>59.044459901280817</v>
      </c>
      <c r="M35" s="16">
        <f t="shared" si="9"/>
        <v>16.448552086428478</v>
      </c>
      <c r="Q35" s="13" t="str">
        <f>+IF($B$3="esp","EBITDA Ajustado a tipo constante","Adjusted EBITDA on constant currency")</f>
        <v>Adjusted EBITDA on constant currency</v>
      </c>
      <c r="S35" s="14">
        <f>+[1]SANTILLANA!AC35</f>
        <v>188.55911069215003</v>
      </c>
      <c r="T35" s="15">
        <f>+[1]SANTILLANA!AD35</f>
        <v>184.57032667491131</v>
      </c>
      <c r="U35" s="16">
        <f t="shared" si="10"/>
        <v>2.1611187936315823</v>
      </c>
      <c r="X35" s="14">
        <f>+[1]SANTILLANA!AG35</f>
        <v>21.280826933322544</v>
      </c>
      <c r="Y35" s="15">
        <f>+[1]SANTILLANA!AH35</f>
        <v>19.560040830658721</v>
      </c>
      <c r="Z35" s="16">
        <f t="shared" si="11"/>
        <v>8.7974565981817126</v>
      </c>
      <c r="AD35" s="17" t="str">
        <f>+IF($B$3="esp","Latam","Latam")</f>
        <v>Latam</v>
      </c>
      <c r="AE35" s="1"/>
      <c r="AF35" s="18">
        <f>+[1]RADIO!AC35</f>
        <v>99.419112922574953</v>
      </c>
      <c r="AG35" s="19">
        <f>+[1]RADIO!AD35</f>
        <v>94.598845791987102</v>
      </c>
      <c r="AH35" s="20">
        <f t="shared" si="12"/>
        <v>5.0954819693964453</v>
      </c>
      <c r="AI35" s="1"/>
      <c r="AK35" s="18">
        <f>+[1]RADIO!AG35</f>
        <v>28.671319231712346</v>
      </c>
      <c r="AL35" s="19">
        <f>+[1]RADIO!AH35</f>
        <v>26.071861196864504</v>
      </c>
      <c r="AM35" s="20">
        <f t="shared" si="13"/>
        <v>9.9703585226223215</v>
      </c>
      <c r="AN35" s="1"/>
      <c r="BA35" s="1"/>
    </row>
    <row r="36" spans="4:65" ht="15" customHeight="1">
      <c r="D36" s="17" t="str">
        <f>+IF($B$3="esp","España","Spain")</f>
        <v>Spain</v>
      </c>
      <c r="F36" s="18">
        <f>+[1]GRUPO!AC36</f>
        <v>68.177012687801493</v>
      </c>
      <c r="G36" s="19">
        <f>+[1]GRUPO!AD36</f>
        <v>50.727046063139333</v>
      </c>
      <c r="H36" s="20">
        <f t="shared" si="8"/>
        <v>34.399729491329737</v>
      </c>
      <c r="K36" s="18">
        <f>+[1]GRUPO!AG36</f>
        <v>-6.8362148621960159</v>
      </c>
      <c r="L36" s="19">
        <f>+[1]GRUPO!AH36</f>
        <v>-21.337427169999437</v>
      </c>
      <c r="M36" s="20">
        <f t="shared" si="9"/>
        <v>67.961390997468612</v>
      </c>
      <c r="Q36" s="17" t="str">
        <f>+IF($B$3="esp","España","Spain")</f>
        <v>Spain</v>
      </c>
      <c r="S36" s="18">
        <f>+[1]SANTILLANA!AC36</f>
        <v>20.530338111354979</v>
      </c>
      <c r="T36" s="19">
        <f>+[1]SANTILLANA!AD36</f>
        <v>25.397423876975722</v>
      </c>
      <c r="U36" s="20">
        <f t="shared" si="10"/>
        <v>-19.163698606586028</v>
      </c>
      <c r="X36" s="18">
        <f>+[1]SANTILLANA!AG36</f>
        <v>-30.544043688644706</v>
      </c>
      <c r="Y36" s="19">
        <f>+[1]SANTILLANA!AH36</f>
        <v>-35.595048139999534</v>
      </c>
      <c r="Z36" s="20">
        <f t="shared" si="11"/>
        <v>14.190188566366396</v>
      </c>
      <c r="AD36" s="17" t="str">
        <f>+IF($B$3="esp","Música","Music")</f>
        <v>Music</v>
      </c>
      <c r="AF36" s="18">
        <f>+[1]RADIO!AC36</f>
        <v>14.722776344944142</v>
      </c>
      <c r="AG36" s="19">
        <f>+[1]RADIO!AD36</f>
        <v>15.769798508512199</v>
      </c>
      <c r="AH36" s="20">
        <f t="shared" si="12"/>
        <v>-6.6394137059068754</v>
      </c>
      <c r="AK36" s="18">
        <f>+[1]RADIO!AG36</f>
        <v>2.3388827854988072</v>
      </c>
      <c r="AL36" s="19">
        <f>+[1]RADIO!AH36</f>
        <v>3.8126414674832994</v>
      </c>
      <c r="AM36" s="20">
        <f t="shared" si="13"/>
        <v>-38.654531105368029</v>
      </c>
    </row>
    <row r="37" spans="4:65" ht="15" customHeight="1">
      <c r="D37" s="17" t="str">
        <f>+IF($B$3="esp","Internacional","International")</f>
        <v>International</v>
      </c>
      <c r="F37" s="18">
        <f>+[1]GRUPO!AC37</f>
        <v>227.78137462236629</v>
      </c>
      <c r="G37" s="19">
        <f>+[1]GRUPO!AD37</f>
        <v>219.70076558960881</v>
      </c>
      <c r="H37" s="20">
        <f t="shared" si="8"/>
        <v>3.6780067702866792</v>
      </c>
      <c r="K37" s="18">
        <f>+[1]GRUPO!AG37</f>
        <v>75.592633504489385</v>
      </c>
      <c r="L37" s="19">
        <f>+[1]GRUPO!AH37</f>
        <v>80.381887071280261</v>
      </c>
      <c r="M37" s="20">
        <f t="shared" si="9"/>
        <v>-5.9581253206259133</v>
      </c>
      <c r="Q37" s="17" t="str">
        <f>+IF($B$3="esp","Internacional","International")</f>
        <v>International</v>
      </c>
      <c r="S37" s="18">
        <f>+[1]SANTILLANA!AC37</f>
        <v>168.02877258079505</v>
      </c>
      <c r="T37" s="19">
        <f>+[1]SANTILLANA!AD37</f>
        <v>159.17290279793559</v>
      </c>
      <c r="U37" s="20">
        <f t="shared" si="10"/>
        <v>5.5636792614768567</v>
      </c>
      <c r="X37" s="18">
        <f>+[1]SANTILLANA!AG37</f>
        <v>51.82487062196725</v>
      </c>
      <c r="Y37" s="19">
        <f>+[1]SANTILLANA!AH37</f>
        <v>55.155088970658255</v>
      </c>
      <c r="Z37" s="20">
        <f t="shared" si="11"/>
        <v>-6.0379167377694474</v>
      </c>
      <c r="AD37" s="17" t="str">
        <f>+IF($B$3="esp","Ajustes y Otros","Adjustments &amp; others")</f>
        <v>Adjustments &amp; others</v>
      </c>
      <c r="AF37" s="18">
        <f>+[1]RADIO!AC37</f>
        <v>-8.049060965935686</v>
      </c>
      <c r="AG37" s="19">
        <f>+[1]RADIO!AD37</f>
        <v>-9.5862164210042984</v>
      </c>
      <c r="AH37" s="20">
        <f t="shared" si="12"/>
        <v>16.035058959242363</v>
      </c>
      <c r="AK37" s="18">
        <f>+[1]RADIO!AG37</f>
        <v>-2.1718151829059273</v>
      </c>
      <c r="AL37" s="19">
        <f>+[1]RADIO!AH37</f>
        <v>-2.8882672452018134</v>
      </c>
      <c r="AM37" s="20">
        <f t="shared" si="13"/>
        <v>24.805601472166579</v>
      </c>
    </row>
    <row r="38" spans="4:65" ht="15" customHeight="1">
      <c r="D38" s="26" t="str">
        <f>+IF($B$3="esp","Portugal","Portugal")</f>
        <v>Portugal</v>
      </c>
      <c r="F38" s="18">
        <f>+[1]GRUPO!AC38</f>
        <v>185.46545595841798</v>
      </c>
      <c r="G38" s="19">
        <f>+[1]GRUPO!AD38</f>
        <v>177.76059024263753</v>
      </c>
      <c r="H38" s="20">
        <f t="shared" si="8"/>
        <v>4.3344060150022834</v>
      </c>
      <c r="K38" s="18">
        <f>+[1]GRUPO!AG38</f>
        <v>59.50236691687239</v>
      </c>
      <c r="L38" s="19">
        <f>+[1]GRUPO!AH38</f>
        <v>62.506521497237387</v>
      </c>
      <c r="M38" s="20">
        <f t="shared" si="9"/>
        <v>-4.8061458363152907</v>
      </c>
      <c r="Q38" s="26" t="str">
        <f>+IF($B$3="esp","Latam","Latam")</f>
        <v>Latam</v>
      </c>
      <c r="S38" s="18">
        <f>+[1]SANTILLANA!AC38</f>
        <v>166.86264058079504</v>
      </c>
      <c r="T38" s="19">
        <f>+[1]SANTILLANA!AD38</f>
        <v>159.11255279793559</v>
      </c>
      <c r="U38" s="20">
        <f t="shared" si="10"/>
        <v>4.8708210927277671</v>
      </c>
      <c r="X38" s="18">
        <f>+[1]SANTILLANA!AG38</f>
        <v>52.014473621967241</v>
      </c>
      <c r="Y38" s="19">
        <f>+[1]SANTILLANA!AH38</f>
        <v>55.65174197065825</v>
      </c>
      <c r="Z38" s="20">
        <f t="shared" si="11"/>
        <v>-6.5357672911815001</v>
      </c>
      <c r="AD38" s="13" t="str">
        <f>+IF($B$3="esp","Ingresos de Explotación a TC CTE con MX y CR","Operating Revenues on ctt ccy w/MX&amp;CR")</f>
        <v>Operating Revenues on ctt ccy w/MX&amp;CR</v>
      </c>
      <c r="AE38" s="13"/>
      <c r="AF38" s="14">
        <f>+[1]RADIO!AC38</f>
        <v>317.61947446551983</v>
      </c>
      <c r="AG38" s="15">
        <f>+[1]RADIO!AD38</f>
        <v>301.65998468746892</v>
      </c>
      <c r="AH38" s="16">
        <f t="shared" si="12"/>
        <v>5.290555787366209</v>
      </c>
      <c r="AI38" s="13"/>
      <c r="AK38" s="14">
        <f>+[1]RADIO!AG38</f>
        <v>89.91645378687457</v>
      </c>
      <c r="AL38" s="15">
        <f>+[1]RADIO!AH38</f>
        <v>84.031457613740798</v>
      </c>
      <c r="AM38" s="16">
        <f t="shared" si="13"/>
        <v>7.0033251121083246</v>
      </c>
      <c r="AN38" s="13"/>
      <c r="BA38" s="13"/>
    </row>
    <row r="39" spans="4:65" ht="15" customHeight="1">
      <c r="D39" s="26" t="str">
        <f>+IF($B$3="esp","Latam","Latam")</f>
        <v>Latam</v>
      </c>
      <c r="F39" s="18">
        <f>+[1]GRUPO!AC39</f>
        <v>42.31591866394831</v>
      </c>
      <c r="G39" s="19">
        <f>+[1]GRUPO!AD39</f>
        <v>41.940175346971301</v>
      </c>
      <c r="H39" s="20">
        <f t="shared" si="8"/>
        <v>0.89590306637605011</v>
      </c>
      <c r="K39" s="18">
        <f>+[1]GRUPO!AG39</f>
        <v>16.090266587617009</v>
      </c>
      <c r="L39" s="19">
        <f>+[1]GRUPO!AH39</f>
        <v>17.875365574042899</v>
      </c>
      <c r="M39" s="20">
        <f t="shared" si="9"/>
        <v>-9.9863635181708421</v>
      </c>
      <c r="Q39" s="26" t="str">
        <f>+IF($B$3="esp","Portugal","Portugal")</f>
        <v>Portugal</v>
      </c>
      <c r="S39" s="18">
        <f>+[1]SANTILLANA!AC39</f>
        <v>1.1661320000000002</v>
      </c>
      <c r="T39" s="19">
        <f>+[1]SANTILLANA!AD39</f>
        <v>6.0349999999999508E-2</v>
      </c>
      <c r="U39" s="20" t="str">
        <f t="shared" si="10"/>
        <v>---</v>
      </c>
      <c r="X39" s="18">
        <f>+[1]SANTILLANA!AG39</f>
        <v>-0.18960300000000085</v>
      </c>
      <c r="Y39" s="19">
        <f>+[1]SANTILLANA!AH39</f>
        <v>-0.4966530000000014</v>
      </c>
      <c r="Z39" s="20">
        <f t="shared" si="11"/>
        <v>61.823848844162768</v>
      </c>
      <c r="AD39" s="13" t="str">
        <f>+IF($B$3="esp","EBITDA Ajustado a tipo constante","Adjusted EBITDA on constant currency")</f>
        <v>Adjusted EBITDA on constant currency</v>
      </c>
      <c r="AE39" s="13"/>
      <c r="AF39" s="14">
        <f>+[1]RADIO!AC39</f>
        <v>62.134652010032475</v>
      </c>
      <c r="AG39" s="15">
        <f>+[1]RADIO!AD39</f>
        <v>46.556025480226296</v>
      </c>
      <c r="AH39" s="16">
        <f t="shared" si="12"/>
        <v>33.462105858720435</v>
      </c>
      <c r="AI39" s="13"/>
      <c r="AK39" s="14">
        <f>+[1]RADIO!AG39</f>
        <v>23.837726599661195</v>
      </c>
      <c r="AL39" s="15">
        <f>+[1]RADIO!AH39</f>
        <v>18.089371214075818</v>
      </c>
      <c r="AM39" s="16">
        <f t="shared" si="13"/>
        <v>31.77753011731237</v>
      </c>
      <c r="AN39" s="13"/>
      <c r="BA39" s="13"/>
    </row>
    <row r="40" spans="4:65" s="22" customFormat="1" ht="15" customHeight="1">
      <c r="D40" s="21" t="str">
        <f>+IF($B$3="esp","Margen EBITDA Ajustado","Adjusted EBITDA Margin")</f>
        <v>Adjusted EBITDA Margin</v>
      </c>
      <c r="F40" s="27">
        <f>+[1]GRUPO!AC40</f>
        <v>0.21736240750768152</v>
      </c>
      <c r="G40" s="28">
        <f>+[1]GRUPO!AD40</f>
        <v>0.20487213606747109</v>
      </c>
      <c r="H40" s="29"/>
      <c r="K40" s="27">
        <f>+[1]GRUPO!AG40</f>
        <v>0.20126398263997247</v>
      </c>
      <c r="L40" s="28">
        <f>+[1]GRUPO!AH40</f>
        <v>0.18158123922514291</v>
      </c>
      <c r="M40" s="29"/>
      <c r="Q40" s="21" t="str">
        <f>+IF($B$3="esp","Margen EBITDA Ajustado","Adjusted EBITDA Margin")</f>
        <v>Adjusted EBITDA Margin</v>
      </c>
      <c r="S40" s="27">
        <f>+[1]SANTILLANA!AC40</f>
        <v>0.28001921228089099</v>
      </c>
      <c r="T40" s="28">
        <f>+[1]SANTILLANA!AD40</f>
        <v>0.28611979599160292</v>
      </c>
      <c r="U40" s="29"/>
      <c r="X40" s="27">
        <f>+[1]SANTILLANA!AG40</f>
        <v>0.14977810741602487</v>
      </c>
      <c r="Y40" s="28">
        <f>+[1]SANTILLANA!AH40</f>
        <v>0.14862138562188931</v>
      </c>
      <c r="Z40" s="29"/>
      <c r="AD40" s="17" t="str">
        <f>+IF($B$3="esp","España","Spain")</f>
        <v>Spain</v>
      </c>
      <c r="AE40" s="1"/>
      <c r="AF40" s="18">
        <f>+[1]RADIO!AC40</f>
        <v>37.151341948330099</v>
      </c>
      <c r="AG40" s="19">
        <f>+[1]RADIO!AD40</f>
        <v>24.341100030000209</v>
      </c>
      <c r="AH40" s="20">
        <f t="shared" si="12"/>
        <v>52.628032022141028</v>
      </c>
      <c r="AI40" s="1"/>
      <c r="AK40" s="18">
        <f>+[1]RADIO!AG40</f>
        <v>13.818264928330102</v>
      </c>
      <c r="AL40" s="19">
        <f>+[1]RADIO!AH40</f>
        <v>9.5739530800003099</v>
      </c>
      <c r="AM40" s="20">
        <f t="shared" si="13"/>
        <v>44.331863890121078</v>
      </c>
      <c r="AN40" s="1"/>
      <c r="BA40" s="1"/>
    </row>
    <row r="41" spans="4:65" s="13" customFormat="1" ht="15" customHeight="1">
      <c r="D41" s="13" t="str">
        <f>+IF($B$3="esp","EBIT Ajustado a tipo constante","Adjusted EBIT on constant currency")</f>
        <v>Adjusted EBIT on constant currency</v>
      </c>
      <c r="F41" s="14">
        <f>+[1]GRUPO!AC41</f>
        <v>200.86192027660238</v>
      </c>
      <c r="G41" s="15">
        <f>+[1]GRUPO!AD41</f>
        <v>174.90274842396508</v>
      </c>
      <c r="H41" s="16">
        <f>IF(G41=0,"---",IF(OR(ABS((F41-G41)/ABS(G41))&gt;2,(F41*G41)&lt;0),"---",IF(G41="0","---",((F41-G41)/ABS(G41))*100)))</f>
        <v>14.842060565973581</v>
      </c>
      <c r="K41" s="14">
        <f>+[1]GRUPO!AG41</f>
        <v>51.198309750170836</v>
      </c>
      <c r="L41" s="15">
        <f>+[1]GRUPO!AH41</f>
        <v>44.685542770568787</v>
      </c>
      <c r="M41" s="16">
        <f>IF(L41=0,"---",IF(OR(ABS((K41-L41)/ABS(L41))&gt;2,(K41*L41)&lt;0),"---",IF(L41="0","---",((K41-L41)/ABS(L41))*100)))</f>
        <v>14.574662353416793</v>
      </c>
      <c r="Q41" s="13" t="str">
        <f>+IF($B$3="esp","EBIT Ajustado a tipo constante","Adjusted EBIT on constant currency")</f>
        <v>Adjusted EBIT on constant currency</v>
      </c>
      <c r="S41" s="14">
        <f>+[1]SANTILLANA!AC41</f>
        <v>119.18555081330743</v>
      </c>
      <c r="T41" s="15">
        <f>+[1]SANTILLANA!AD41</f>
        <v>117.4606874726408</v>
      </c>
      <c r="U41" s="16">
        <f>IF(T41=0,"---",IF(OR(ABS((S41-T41)/ABS(T41))&gt;2,(S41*T41)&lt;0),"---",IF(T41="0","---",((S41-T41)/ABS(T41))*100)))</f>
        <v>1.4684601101695314</v>
      </c>
      <c r="X41" s="14">
        <f>+[1]SANTILLANA!AG41</f>
        <v>10.522161627482731</v>
      </c>
      <c r="Y41" s="15">
        <f>+[1]SANTILLANA!AH41</f>
        <v>11.781260654064241</v>
      </c>
      <c r="Z41" s="16">
        <f>IF(Y41=0,"---",IF(OR(ABS((X41-Y41)/ABS(Y41))&gt;2,(X41*Y41)&lt;0),"---",IF(Y41="0","---",((X41-Y41)/ABS(Y41))*100)))</f>
        <v>-10.687303027687038</v>
      </c>
      <c r="AD41" s="17" t="str">
        <f>+IF($B$3="esp","Latam","Latam")</f>
        <v>Latam</v>
      </c>
      <c r="AE41" s="1"/>
      <c r="AF41" s="18">
        <f>+[1]RADIO!AC41</f>
        <v>23.735284534955184</v>
      </c>
      <c r="AG41" s="19">
        <f>+[1]RADIO!AD41</f>
        <v>23.966127738731291</v>
      </c>
      <c r="AH41" s="20">
        <f t="shared" si="12"/>
        <v>-0.96320609775873423</v>
      </c>
      <c r="AI41" s="1"/>
      <c r="AK41" s="18">
        <f>+[1]RADIO!AG41</f>
        <v>8.7124391491882687</v>
      </c>
      <c r="AL41" s="19">
        <f>+[1]RADIO!AH41</f>
        <v>8.8416275897618135</v>
      </c>
      <c r="AM41" s="20">
        <f t="shared" si="13"/>
        <v>-1.4611386790723797</v>
      </c>
      <c r="AN41" s="1"/>
      <c r="BA41" s="1"/>
    </row>
    <row r="42" spans="4:65" ht="15" customHeight="1">
      <c r="D42" s="17" t="str">
        <f>+IF($B$3="esp","España","Spain")</f>
        <v>Spain</v>
      </c>
      <c r="F42" s="18">
        <f>+[1]GRUPO!AC42</f>
        <v>42.46062019780156</v>
      </c>
      <c r="G42" s="19">
        <f>+[1]GRUPO!AD42</f>
        <v>18.931557569763971</v>
      </c>
      <c r="H42" s="20">
        <f>IF(G42=0,"---",IF(OR(ABS((F42-G42)/ABS(G42))&gt;2,(F42*G42)&lt;0),"---",IF(G42="0","---",((F42-G42)/ABS(G42))*100)))</f>
        <v>124.28487482517762</v>
      </c>
      <c r="K42" s="18">
        <f>+[1]GRUPO!AG42</f>
        <v>1.8500332278039266</v>
      </c>
      <c r="L42" s="19">
        <f>+[1]GRUPO!AH42</f>
        <v>-11.604045279999717</v>
      </c>
      <c r="M42" s="20" t="str">
        <f>IF(L42=0,"---",IF(OR(ABS((K42-L42)/ABS(L42))&gt;2,(K42*L42)&lt;0),"---",IF(L42="0","---",((K42-L42)/ABS(L42))*100)))</f>
        <v>---</v>
      </c>
      <c r="Q42" s="17" t="str">
        <f>+IF($B$3="esp","España","Spain")</f>
        <v>Spain</v>
      </c>
      <c r="S42" s="18">
        <f>+[1]SANTILLANA!AC42</f>
        <v>5.5062221913550786</v>
      </c>
      <c r="T42" s="19">
        <f>+[1]SANTILLANA!AD42</f>
        <v>7.7884945969760651</v>
      </c>
      <c r="U42" s="20">
        <f>IF(T42=0,"---",IF(OR(ABS((S42-T42)/ABS(T42))&gt;2,(S42*T42)&lt;0),"---",IF(T42="0","---",((S42-T42)/ABS(T42))*100)))</f>
        <v>-29.303126261486963</v>
      </c>
      <c r="X42" s="18">
        <f>+[1]SANTILLANA!AG42</f>
        <v>-21.005926888644566</v>
      </c>
      <c r="Y42" s="19">
        <f>+[1]SANTILLANA!AH42</f>
        <v>-24.272338319999562</v>
      </c>
      <c r="Z42" s="20">
        <f>IF(Y42=0,"---",IF(OR(ABS((X42-Y42)/ABS(Y42))&gt;2,(X42*Y42)&lt;0),"---",IF(Y42="0","---",((X42-Y42)/ABS(Y42))*100)))</f>
        <v>13.457341391223054</v>
      </c>
      <c r="AD42" s="17" t="str">
        <f>+IF($B$3="esp","Música","Music")</f>
        <v>Music</v>
      </c>
      <c r="AF42" s="18">
        <f>+[1]RADIO!AC42</f>
        <v>9.9550855315876402E-2</v>
      </c>
      <c r="AG42" s="19">
        <f>+[1]RADIO!AD42</f>
        <v>-1.7512022885049401</v>
      </c>
      <c r="AH42" s="20" t="str">
        <f t="shared" si="12"/>
        <v>---</v>
      </c>
      <c r="AK42" s="18">
        <f>+[1]RADIO!AG42</f>
        <v>4.6516318929872749E-2</v>
      </c>
      <c r="AL42" s="19">
        <f>+[1]RADIO!AH42</f>
        <v>-0.32620945568631998</v>
      </c>
      <c r="AM42" s="20" t="str">
        <f t="shared" si="13"/>
        <v>---</v>
      </c>
    </row>
    <row r="43" spans="4:65" ht="15" customHeight="1">
      <c r="D43" s="17" t="str">
        <f>+IF($B$3="esp","Internacional","International")</f>
        <v>International</v>
      </c>
      <c r="F43" s="18">
        <f>+[1]GRUPO!AC43</f>
        <v>158.40130007880083</v>
      </c>
      <c r="G43" s="19">
        <f>+[1]GRUPO!AD43</f>
        <v>155.9711908542011</v>
      </c>
      <c r="H43" s="20">
        <f>IF(G43=0,"---",IF(OR(ABS((F43-G43)/ABS(G43))&gt;2,(F43*G43)&lt;0),"---",IF(G43="0","---",((F43-G43)/ABS(G43))*100)))</f>
        <v>1.5580500548151566</v>
      </c>
      <c r="K43" s="18">
        <f>+[1]GRUPO!AG43</f>
        <v>49.348276522366916</v>
      </c>
      <c r="L43" s="19">
        <f>+[1]GRUPO!AH43</f>
        <v>56.289588050568497</v>
      </c>
      <c r="M43" s="20">
        <f>IF(L43=0,"---",IF(OR(ABS((K43-L43)/ABS(L43))&gt;2,(K43*L43)&lt;0),"---",IF(L43="0","---",((K43-L43)/ABS(L43))*100)))</f>
        <v>-12.331430675892959</v>
      </c>
      <c r="Q43" s="17" t="str">
        <f>+IF($B$3="esp","Internacional","International")</f>
        <v>International</v>
      </c>
      <c r="S43" s="18">
        <f>+[1]SANTILLANA!AC43</f>
        <v>113.67932862195235</v>
      </c>
      <c r="T43" s="19">
        <f>+[1]SANTILLANA!AD43</f>
        <v>109.67219287566473</v>
      </c>
      <c r="U43" s="20">
        <f>IF(T43=0,"---",IF(OR(ABS((S43-T43)/ABS(T43))&gt;2,(S43*T43)&lt;0),"---",IF(T43="0","---",((S43-T43)/ABS(T43))*100)))</f>
        <v>3.6537390574751276</v>
      </c>
      <c r="X43" s="18">
        <f>+[1]SANTILLANA!AG43</f>
        <v>31.528088516127298</v>
      </c>
      <c r="Y43" s="19">
        <f>+[1]SANTILLANA!AH43</f>
        <v>36.053598974063803</v>
      </c>
      <c r="Z43" s="20">
        <f>IF(Y43=0,"---",IF(OR(ABS((X43-Y43)/ABS(Y43))&gt;2,(X43*Y43)&lt;0),"---",IF(Y43="0","---",((X43-Y43)/ABS(Y43))*100)))</f>
        <v>-12.552173948548276</v>
      </c>
      <c r="AD43" s="17" t="str">
        <f>+IF($B$3="esp","Ajustes y Otros","Adjustments &amp; others")</f>
        <v>Adjustments &amp; others</v>
      </c>
      <c r="AF43" s="18">
        <f>+[1]RADIO!AC43</f>
        <v>1.1484746714313154</v>
      </c>
      <c r="AG43" s="19">
        <f>+[1]RADIO!AD43</f>
        <v>-2.6467716907063732E-13</v>
      </c>
      <c r="AH43" s="20" t="str">
        <f t="shared" si="12"/>
        <v>---</v>
      </c>
      <c r="AK43" s="18">
        <f>+[1]RADIO!AG43</f>
        <v>1.2605062032129521</v>
      </c>
      <c r="AL43" s="19">
        <f>+[1]RADIO!AH43</f>
        <v>1.4876988529977098E-14</v>
      </c>
      <c r="AM43" s="20" t="str">
        <f t="shared" si="13"/>
        <v>---</v>
      </c>
    </row>
    <row r="44" spans="4:65" ht="15" customHeight="1">
      <c r="D44" s="26" t="str">
        <f>+IF($B$3="esp","Portugal","Portugal")</f>
        <v>Portugal</v>
      </c>
      <c r="F44" s="18">
        <f>+[1]GRUPO!AC44</f>
        <v>123.06634292485252</v>
      </c>
      <c r="G44" s="19">
        <f>+[1]GRUPO!AD44</f>
        <v>121.9105574972298</v>
      </c>
      <c r="H44" s="20">
        <f>IF(G44=0,"---",IF(OR(ABS((F44-G44)/ABS(G44))&gt;2,(F44*G44)&lt;0),"---",IF(G44="0","---",((F44-G44)/ABS(G44))*100)))</f>
        <v>0.94806016094953938</v>
      </c>
      <c r="K44" s="18">
        <f>+[1]GRUPO!AG44</f>
        <v>35.292077784749907</v>
      </c>
      <c r="L44" s="19">
        <f>+[1]GRUPO!AH44</f>
        <v>41.035892326525598</v>
      </c>
      <c r="M44" s="20">
        <f>IF(L44=0,"---",IF(OR(ABS((K44-L44)/ABS(L44))&gt;2,(K44*L44)&lt;0),"---",IF(L44="0","---",((K44-L44)/ABS(L44))*100)))</f>
        <v>-13.997050426177502</v>
      </c>
      <c r="Q44" s="26" t="str">
        <f>+IF($B$3="esp","Latam","Latam")</f>
        <v>Latam</v>
      </c>
      <c r="S44" s="18">
        <f>+[1]SANTILLANA!AC44</f>
        <v>112.93425962195235</v>
      </c>
      <c r="T44" s="19">
        <f>+[1]SANTILLANA!AD44</f>
        <v>110.41362087566473</v>
      </c>
      <c r="U44" s="20">
        <f>IF(T44=0,"---",IF(OR(ABS((S44-T44)/ABS(T44))&gt;2,(S44*T44)&lt;0),"---",IF(T44="0","---",((S44-T44)/ABS(T44))*100)))</f>
        <v>2.2829056110079691</v>
      </c>
      <c r="X44" s="18">
        <f>+[1]SANTILLANA!AG44</f>
        <v>31.798586516127301</v>
      </c>
      <c r="Y44" s="19">
        <f>+[1]SANTILLANA!AH44</f>
        <v>36.908982974063804</v>
      </c>
      <c r="Z44" s="20">
        <f>IF(Y44=0,"---",IF(OR(ABS((X44-Y44)/ABS(Y44))&gt;2,(X44*Y44)&lt;0),"---",IF(Y44="0","---",((X44-Y44)/ABS(Y44))*100)))</f>
        <v>-13.845942223679298</v>
      </c>
      <c r="AD44" s="21" t="str">
        <f>+IF($B$3="esp","Margen EBITDA Ajustado","Adjusted EBITDA Margin")</f>
        <v>Adjusted EBITDA Margin</v>
      </c>
      <c r="AE44" s="22"/>
      <c r="AF44" s="27">
        <f>+[1]RADIO!AC44</f>
        <v>0.21045546400590298</v>
      </c>
      <c r="AG44" s="28">
        <f>+[1]RADIO!AD44</f>
        <v>0.16587672193759828</v>
      </c>
      <c r="AH44" s="29"/>
      <c r="AI44" s="22"/>
      <c r="AK44" s="27">
        <f>+[1]RADIO!AG44</f>
        <v>0.28319355369495008</v>
      </c>
      <c r="AL44" s="28">
        <f>+[1]RADIO!AH44</f>
        <v>0.23237564970677105</v>
      </c>
      <c r="AM44" s="29"/>
      <c r="AN44" s="22"/>
      <c r="BA44" s="22"/>
    </row>
    <row r="45" spans="4:65" ht="15" customHeight="1">
      <c r="D45" s="26" t="str">
        <f>+IF($B$3="esp","Latam","Latam")</f>
        <v>Latam</v>
      </c>
      <c r="F45" s="18">
        <f>+[1]GRUPO!AC45</f>
        <v>35.334957153948302</v>
      </c>
      <c r="G45" s="19">
        <f>+[1]GRUPO!AD45</f>
        <v>34.060633356971302</v>
      </c>
      <c r="H45" s="20">
        <f>IF(G45=0,"---",IF(OR(ABS((F45-G45)/ABS(G45))&gt;2,(F45*G45)&lt;0),"---",IF(G45="0","---",((F45-G45)/ABS(G45))*100)))</f>
        <v>3.7413391102317264</v>
      </c>
      <c r="K45" s="18">
        <f>+[1]GRUPO!AG45</f>
        <v>14.056198737616999</v>
      </c>
      <c r="L45" s="19">
        <f>+[1]GRUPO!AH45</f>
        <v>15.253695724042899</v>
      </c>
      <c r="M45" s="20">
        <f>IF(L45=0,"---",IF(OR(ABS((K45-L45)/ABS(L45))&gt;2,(K45*L45)&lt;0),"---",IF(L45="0","---",((K45-L45)/ABS(L45))*100)))</f>
        <v>-7.8505367360803158</v>
      </c>
      <c r="Q45" s="26" t="str">
        <f>+IF($B$3="esp","Portugal","Portugal")</f>
        <v>Portugal</v>
      </c>
      <c r="S45" s="18">
        <f>+[1]SANTILLANA!AC45</f>
        <v>0.74506900000000009</v>
      </c>
      <c r="T45" s="19">
        <f>+[1]SANTILLANA!AD45</f>
        <v>-0.74142800000000098</v>
      </c>
      <c r="U45" s="20" t="str">
        <f>IF(T45=0,"---",IF(OR(ABS((S45-T45)/ABS(T45))&gt;2,(S45*T45)&lt;0),"---",IF(T45="0","---",((S45-T45)/ABS(T45))*100)))</f>
        <v>---</v>
      </c>
      <c r="X45" s="18">
        <f>+[1]SANTILLANA!AG45</f>
        <v>-0.27049800000000002</v>
      </c>
      <c r="Y45" s="19">
        <f>+[1]SANTILLANA!AH45</f>
        <v>-0.85538400000000214</v>
      </c>
      <c r="Z45" s="20">
        <f>IF(Y45=0,"---",IF(OR(ABS((X45-Y45)/ABS(Y45))&gt;2,(X45*Y45)&lt;0),"---",IF(Y45="0","---",((X45-Y45)/ABS(Y45))*100)))</f>
        <v>68.377009623748009</v>
      </c>
      <c r="AD45" s="13" t="str">
        <f>+IF($B$3="esp","EBITDA Ajustado a TC CTE con MX y CR","Adjusted EBITDA on ctt ccy w/MX&amp;CR")</f>
        <v>Adjusted EBITDA on ctt ccy w/MX&amp;CR</v>
      </c>
      <c r="AE45" s="13"/>
      <c r="AF45" s="14">
        <f>+[1]RADIO!AC45</f>
        <v>70.905015451196491</v>
      </c>
      <c r="AG45" s="15">
        <f>+[1]RADIO!AD45</f>
        <v>55.169938132991632</v>
      </c>
      <c r="AH45" s="16">
        <f t="shared" ref="AH45:AH50" si="14">IF(AG45=0,"---",IF(OR(ABS((AF45-AG45)/ABS(AG45))&gt;2,(AF45*AG45)&lt;0),"---",IF(AG45="0","---",((AF45-AG45)/ABS(AG45))*100)))</f>
        <v>28.521107419541003</v>
      </c>
      <c r="AI45" s="13"/>
      <c r="AK45" s="14">
        <f>+[1]RADIO!AG45</f>
        <v>26.206334751760728</v>
      </c>
      <c r="AL45" s="15">
        <f>+[1]RADIO!AH45</f>
        <v>21.056850687877301</v>
      </c>
      <c r="AM45" s="16">
        <f t="shared" ref="AM45:AM50" si="15">IF(AL45=0,"---",IF(OR(ABS((AK45-AL45)/ABS(AL45))&gt;2,(AK45*AL45)&lt;0),"---",IF(AL45="0","---",((AK45-AL45)/ABS(AL45))*100)))</f>
        <v>24.455148304053139</v>
      </c>
      <c r="AN45" s="13"/>
      <c r="BA45" s="13"/>
    </row>
    <row r="46" spans="4:65" s="22" customFormat="1" ht="15" customHeight="1">
      <c r="D46" s="30" t="str">
        <f>+IF($B$3="esp","Margen EBIT Ajustado","Adjusted EBIT Margin")</f>
        <v>Adjusted EBIT Margin</v>
      </c>
      <c r="F46" s="31">
        <f>+[1]GRUPO!AC46</f>
        <v>0.14752016648266933</v>
      </c>
      <c r="G46" s="32">
        <f>+[1]GRUPO!AD46</f>
        <v>0.13250375194287123</v>
      </c>
      <c r="H46" s="33"/>
      <c r="K46" s="31">
        <f>+[1]GRUPO!AG46</f>
        <v>0.14986783675227525</v>
      </c>
      <c r="L46" s="32">
        <f>+[1]GRUPO!AH46</f>
        <v>0.13742282079121859</v>
      </c>
      <c r="M46" s="33"/>
      <c r="Q46" s="30" t="str">
        <f>+IF($B$3="esp","Margen EBIT Ajustado","Adjusted EBIT Margin")</f>
        <v>Adjusted EBIT Margin</v>
      </c>
      <c r="S46" s="31">
        <f>+[1]SANTILLANA!AC46</f>
        <v>0.17699618931961728</v>
      </c>
      <c r="T46" s="32">
        <f>+[1]SANTILLANA!AD46</f>
        <v>0.18208684213849707</v>
      </c>
      <c r="U46" s="33"/>
      <c r="X46" s="31">
        <f>+[1]SANTILLANA!AG46</f>
        <v>7.4056776995922252E-2</v>
      </c>
      <c r="Y46" s="32">
        <f>+[1]SANTILLANA!AH46</f>
        <v>8.9516545386511187E-2</v>
      </c>
      <c r="Z46" s="33"/>
      <c r="AD46" s="13" t="str">
        <f>+IF($B$3="esp","EBIT Ajustado a tipo constante","Adjusted EBIT on constant currency")</f>
        <v>Adjusted EBIT on constant currency</v>
      </c>
      <c r="AE46" s="13"/>
      <c r="AF46" s="14">
        <f>+[1]RADIO!AC46</f>
        <v>52.072483962847471</v>
      </c>
      <c r="AG46" s="15">
        <f>+[1]RADIO!AD46</f>
        <v>36.151309646792249</v>
      </c>
      <c r="AH46" s="16">
        <f t="shared" si="14"/>
        <v>44.040380477524216</v>
      </c>
      <c r="AI46" s="13"/>
      <c r="AK46" s="14">
        <f>+[1]RADIO!AG46</f>
        <v>22.499068385718616</v>
      </c>
      <c r="AL46" s="15">
        <f>+[1]RADIO!AH46</f>
        <v>16.039771096936306</v>
      </c>
      <c r="AM46" s="16">
        <f t="shared" si="15"/>
        <v>40.270507912772366</v>
      </c>
      <c r="AN46" s="13"/>
      <c r="BA46" s="13"/>
    </row>
    <row r="47" spans="4:65">
      <c r="AD47" s="17" t="str">
        <f>+IF($B$3="esp","España","Spain")</f>
        <v>Spain</v>
      </c>
      <c r="AF47" s="18">
        <f>+[1]RADIO!AC47</f>
        <v>30.985036698330095</v>
      </c>
      <c r="AG47" s="19">
        <f>+[1]RADIO!AD47</f>
        <v>18.101802310000398</v>
      </c>
      <c r="AH47" s="20">
        <f t="shared" si="14"/>
        <v>71.171003680734671</v>
      </c>
      <c r="AK47" s="18">
        <f>+[1]RADIO!AG47</f>
        <v>11.953375828329992</v>
      </c>
      <c r="AL47" s="19">
        <f>+[1]RADIO!AH47</f>
        <v>7.6044250500004971</v>
      </c>
      <c r="AM47" s="20">
        <f t="shared" si="15"/>
        <v>57.189738208139893</v>
      </c>
    </row>
    <row r="48" spans="4:65">
      <c r="D48" s="9" t="s">
        <v>5</v>
      </c>
      <c r="F48" s="10">
        <v>2018</v>
      </c>
      <c r="G48" s="10">
        <v>2017</v>
      </c>
      <c r="H48" s="10" t="str">
        <f>+IF($B$3="esp","Var.%","% Chg.")</f>
        <v>% Chg.</v>
      </c>
      <c r="K48" s="10">
        <v>2018</v>
      </c>
      <c r="L48" s="10">
        <v>2017</v>
      </c>
      <c r="M48" s="10" t="str">
        <f>+IF($B$3="esp","Var.%","% Chg.")</f>
        <v>% Chg.</v>
      </c>
      <c r="Q48" s="9"/>
      <c r="S48" s="10">
        <v>2018</v>
      </c>
      <c r="T48" s="10">
        <v>2017</v>
      </c>
      <c r="U48" s="10" t="str">
        <f>+IF($B$3="esp","Var.%","% Chg.")</f>
        <v>% Chg.</v>
      </c>
      <c r="X48" s="10">
        <v>2018</v>
      </c>
      <c r="Y48" s="10">
        <v>2017</v>
      </c>
      <c r="Z48" s="10" t="str">
        <f>+IF($B$3="esp","Var.%","% Chg.")</f>
        <v>% Chg.</v>
      </c>
      <c r="AD48" s="17" t="str">
        <f>+IF($B$3="esp","Latam","Latam")</f>
        <v>Latam</v>
      </c>
      <c r="AF48" s="18">
        <f>+[1]RADIO!AC48</f>
        <v>19.873482834185367</v>
      </c>
      <c r="AG48" s="19">
        <f>+[1]RADIO!AD48</f>
        <v>20.270849086730557</v>
      </c>
      <c r="AH48" s="20">
        <f t="shared" si="14"/>
        <v>-1.9602842034145911</v>
      </c>
      <c r="AK48" s="18">
        <f>+[1]RADIO!AG48</f>
        <v>8.1220116421758863</v>
      </c>
      <c r="AL48" s="19">
        <f>+[1]RADIO!AH48</f>
        <v>8.7987625494978126</v>
      </c>
      <c r="AM48" s="20">
        <f t="shared" si="15"/>
        <v>-7.6914327840402015</v>
      </c>
      <c r="AQ48" s="9"/>
      <c r="AS48" s="10">
        <v>2018</v>
      </c>
      <c r="AT48" s="10">
        <v>2017</v>
      </c>
      <c r="AU48" s="10" t="str">
        <f>+IF($B$3="esp","Var.%","% Chg.")</f>
        <v>% Chg.</v>
      </c>
      <c r="AX48" s="10">
        <v>2018</v>
      </c>
      <c r="AY48" s="10">
        <v>2017</v>
      </c>
      <c r="AZ48" s="10" t="str">
        <f>+IF($B$3="esp","Var.%","% Chg.")</f>
        <v>% Chg.</v>
      </c>
      <c r="BD48" s="9"/>
      <c r="BF48" s="10">
        <v>2018</v>
      </c>
      <c r="BG48" s="10">
        <v>2017</v>
      </c>
      <c r="BH48" s="10" t="str">
        <f>+IF($B$3="esp","Var.%","% Chg.")</f>
        <v>% Chg.</v>
      </c>
      <c r="BK48" s="10">
        <v>2018</v>
      </c>
      <c r="BL48" s="10">
        <v>2017</v>
      </c>
      <c r="BM48" s="10" t="str">
        <f>+IF($B$3="esp","Var.%","% Chg.")</f>
        <v>% Chg.</v>
      </c>
    </row>
    <row r="49" spans="4:65" ht="15.75" customHeight="1">
      <c r="D49" s="11" t="str">
        <f>+IF($B$3="esp","Resultados Reportados","Reported Results")</f>
        <v>Reported Results</v>
      </c>
      <c r="F49" s="12"/>
      <c r="G49" s="12"/>
      <c r="H49" s="12"/>
      <c r="K49" s="12"/>
      <c r="L49" s="12"/>
      <c r="M49" s="12"/>
      <c r="Q49" s="11" t="str">
        <f>+IF($B$3="esp","Resultados Reportados","Reported Results")</f>
        <v>Reported Results</v>
      </c>
      <c r="S49" s="12"/>
      <c r="T49" s="12"/>
      <c r="U49" s="12"/>
      <c r="X49" s="12"/>
      <c r="Y49" s="12"/>
      <c r="Z49" s="12"/>
      <c r="AD49" s="17" t="str">
        <f>+IF($B$3="esp","Música","Music")</f>
        <v>Music</v>
      </c>
      <c r="AF49" s="18" t="e">
        <f>+[1]RADIO!AC49</f>
        <v>#VALUE!</v>
      </c>
      <c r="AG49" s="19">
        <f>+[1]RADIO!AD49</f>
        <v>-2.4597437499387897</v>
      </c>
      <c r="AH49" s="20" t="e">
        <f t="shared" si="14"/>
        <v>#VALUE!</v>
      </c>
      <c r="AK49" s="18" t="e">
        <f>+[1]RADIO!AG49</f>
        <v>#VALUE!</v>
      </c>
      <c r="AL49" s="19">
        <f>+[1]RADIO!AH49</f>
        <v>-0.60181850256194958</v>
      </c>
      <c r="AM49" s="20" t="e">
        <f t="shared" si="15"/>
        <v>#VALUE!</v>
      </c>
      <c r="AQ49" s="11" t="str">
        <f>+IF($B$3="esp","Resultados Reportados","Reported Results")</f>
        <v>Reported Results</v>
      </c>
      <c r="AS49" s="12"/>
      <c r="AT49" s="12"/>
      <c r="AU49" s="12"/>
      <c r="AX49" s="12"/>
      <c r="AY49" s="12"/>
      <c r="AZ49" s="12"/>
      <c r="BD49" s="11" t="str">
        <f>+IF($B$3="esp","Resultados Reportados","Reported Results")</f>
        <v>Reported Results</v>
      </c>
      <c r="BF49" s="12"/>
      <c r="BG49" s="12"/>
      <c r="BH49" s="12"/>
      <c r="BK49" s="12"/>
      <c r="BL49" s="12"/>
      <c r="BM49" s="12"/>
    </row>
    <row r="50" spans="4:65" s="13" customFormat="1" ht="15" customHeight="1">
      <c r="D50" s="13" t="str">
        <f>+IF($B$3="esp","Ingresos de Explotación","Operating Revenues")</f>
        <v>Operating Revenues</v>
      </c>
      <c r="F50" s="14">
        <f>+[1]GRUPO!AC64</f>
        <v>1280.28846650694</v>
      </c>
      <c r="G50" s="15">
        <f>+[1]GRUPO!AD64</f>
        <v>1335.7395865590699</v>
      </c>
      <c r="H50" s="16">
        <f t="shared" ref="H50:H64" si="16">IF(G50=0,"---",IF(OR(ABS((F50-G50)/ABS(G50))&gt;2,(F50*G50)&lt;0),"---",IF(G50="0","---",((F50-G50)/ABS(G50))*100)))</f>
        <v>-4.1513421186366637</v>
      </c>
      <c r="K50" s="14">
        <f>+[1]GRUPO!AG64</f>
        <v>331.11478090347407</v>
      </c>
      <c r="L50" s="15">
        <f>+[1]GRUPO!AH64</f>
        <v>327.15206865573987</v>
      </c>
      <c r="M50" s="16">
        <f t="shared" ref="M50:M64" si="17">IF(L50=0,"---",IF(OR(ABS((K50-L50)/ABS(L50))&gt;2,(K50*L50)&lt;0),"---",IF(L50="0","---",((K50-L50)/ABS(L50))*100)))</f>
        <v>1.2112753142649819</v>
      </c>
      <c r="Q50" s="13" t="str">
        <f>+IF($B$3="esp","Ingresos de Explotación","Operating Revenues")</f>
        <v>Operating Revenues</v>
      </c>
      <c r="S50" s="14">
        <f>+[1]SANTILLANA!AC64</f>
        <v>600.54234219334398</v>
      </c>
      <c r="T50" s="15">
        <f>+[1]SANTILLANA!AD64</f>
        <v>656.20281064317601</v>
      </c>
      <c r="U50" s="16">
        <f t="shared" ref="U50:U64" si="18">IF(T50=0,"---",IF(OR(ABS((S50-T50)/ABS(T50))&gt;2,(S50*T50)&lt;0),"---",IF(T50="0","---",((S50-T50)/ABS(T50))*100)))</f>
        <v>-8.4822051272954031</v>
      </c>
      <c r="X50" s="14">
        <f>+[1]SANTILLANA!AG64</f>
        <v>132.94418191445095</v>
      </c>
      <c r="Y50" s="15">
        <f>+[1]SANTILLANA!AH64</f>
        <v>133.59365224861506</v>
      </c>
      <c r="Z50" s="16">
        <f t="shared" ref="Z50:Z64" si="19">IF(Y50=0,"---",IF(OR(ABS((X50-Y50)/ABS(Y50))&gt;2,(X50*Y50)&lt;0),"---",IF(Y50="0","---",((X50-Y50)/ABS(Y50))*100)))</f>
        <v>-0.48615358831230698</v>
      </c>
      <c r="AD50" s="17" t="str">
        <f>+IF($B$3="esp","Ajustes y Otros","Adjustments &amp; others")</f>
        <v>Adjustments &amp; others</v>
      </c>
      <c r="AE50" s="1"/>
      <c r="AF50" s="18" t="e">
        <f>+[1]RADIO!AC50</f>
        <v>#VALUE!</v>
      </c>
      <c r="AG50" s="19">
        <f>+[1]RADIO!AD50</f>
        <v>0.23840200000008416</v>
      </c>
      <c r="AH50" s="20" t="e">
        <f t="shared" si="14"/>
        <v>#VALUE!</v>
      </c>
      <c r="AI50" s="1"/>
      <c r="AK50" s="18" t="e">
        <f>+[1]RADIO!AG50</f>
        <v>#VALUE!</v>
      </c>
      <c r="AL50" s="19">
        <f>+[1]RADIO!AH50</f>
        <v>0.23840199999994605</v>
      </c>
      <c r="AM50" s="20" t="e">
        <f t="shared" si="15"/>
        <v>#VALUE!</v>
      </c>
      <c r="AN50" s="1"/>
      <c r="AQ50" s="13" t="str">
        <f>+IF($B$3="esp","Ingresos de Explotación","Operating Revenues")</f>
        <v>Operating Revenues</v>
      </c>
      <c r="AS50" s="14">
        <f>+[1]NOTICIAS!AC22</f>
        <v>203.15950386693001</v>
      </c>
      <c r="AT50" s="15">
        <f>+[1]NOTICIAS!AD22</f>
        <v>220.57753956794599</v>
      </c>
      <c r="AU50" s="16">
        <f t="shared" ref="AU50:AU55" si="20">IF(AT50=0,"---",IF(OR(ABS((AS50-AT50)/ABS(AT50))&gt;2,(AS50*AT50)&lt;0),"---",IF(AT50="0","---",((AS50-AT50)/ABS(AT50))*100)))</f>
        <v>-7.8965590672256933</v>
      </c>
      <c r="AX50" s="14">
        <f>+[1]NOTICIAS!AG22</f>
        <v>58.258105279332</v>
      </c>
      <c r="AY50" s="15">
        <f>+[1]NOTICIAS!AH22</f>
        <v>63.156584846401017</v>
      </c>
      <c r="AZ50" s="16">
        <f t="shared" ref="AZ50:AZ55" si="21">IF(AY50=0,"---",IF(OR(ABS((AX50-AY50)/ABS(AY50))&gt;2,(AX50*AY50)&lt;0),"---",IF(AY50="0","---",((AX50-AY50)/ABS(AY50))*100)))</f>
        <v>-7.756086841906173</v>
      </c>
      <c r="BA50" s="1"/>
      <c r="BD50" s="13" t="str">
        <f>+IF($B$3="esp","Ingresos de Explotación","Operating Revenues")</f>
        <v>Operating Revenues</v>
      </c>
      <c r="BE50" s="1"/>
      <c r="BF50" s="14">
        <f>+'[1]MEDIA CAPITAL'!AC33</f>
        <v>181.8087415</v>
      </c>
      <c r="BG50" s="15">
        <f>+'[1]MEDIA CAPITAL'!AD33</f>
        <v>165.46289261000001</v>
      </c>
      <c r="BH50" s="16">
        <f>IF(BG50=0,"---",IF(OR(ABS((BF50-BG50)/ABS(BG50))&gt;2,(BF50*BG50)&lt;0),"---",IF(BG50="0","---",((BF50-BG50)/ABS(BG50))*100)))</f>
        <v>9.8788608322758744</v>
      </c>
      <c r="BJ50" s="1"/>
      <c r="BK50" s="14">
        <f>+'[1]MEDIA CAPITAL'!AG33</f>
        <v>55.806220729999993</v>
      </c>
      <c r="BL50" s="15">
        <f>+'[1]MEDIA CAPITAL'!AH33</f>
        <v>50.154850620000019</v>
      </c>
      <c r="BM50" s="16">
        <f>IF(BL50=0,"---",IF(OR(ABS((BK50-BL50)/ABS(BL50))&gt;2,(BK50*BL50)&lt;0),"---",IF(BL50="0","---",((BK50-BL50)/ABS(BL50))*100)))</f>
        <v>11.267843568746276</v>
      </c>
    </row>
    <row r="51" spans="4:65" ht="15" customHeight="1">
      <c r="D51" s="17" t="str">
        <f>+IF($B$3="esp","España","Spain")</f>
        <v>Spain</v>
      </c>
      <c r="F51" s="18">
        <f>+[1]GRUPO!AC65</f>
        <v>513.37534966833562</v>
      </c>
      <c r="G51" s="19">
        <f>+[1]GRUPO!AD65</f>
        <v>527.96216505999712</v>
      </c>
      <c r="H51" s="20">
        <f t="shared" si="16"/>
        <v>-2.762852408184187</v>
      </c>
      <c r="K51" s="18">
        <f>+[1]GRUPO!AG65</f>
        <v>101.2762503947684</v>
      </c>
      <c r="L51" s="19">
        <f>+[1]GRUPO!AH65</f>
        <v>97.060579432996235</v>
      </c>
      <c r="M51" s="20">
        <f t="shared" si="17"/>
        <v>4.3433399907553234</v>
      </c>
      <c r="Q51" s="17" t="str">
        <f>+IF($B$3="esp","España","Spain")</f>
        <v>Spain</v>
      </c>
      <c r="S51" s="18">
        <f>+[1]SANTILLANA!AC65</f>
        <v>115.0839786570167</v>
      </c>
      <c r="T51" s="19">
        <f>+[1]SANTILLANA!AD65</f>
        <v>121.03364661603973</v>
      </c>
      <c r="U51" s="20">
        <f t="shared" si="18"/>
        <v>-4.9157140393343841</v>
      </c>
      <c r="X51" s="18">
        <f>+[1]SANTILLANA!AG65</f>
        <v>-12.730797823081218</v>
      </c>
      <c r="Y51" s="19">
        <f>+[1]SANTILLANA!AH65</f>
        <v>-18.030538212707881</v>
      </c>
      <c r="Z51" s="20">
        <f t="shared" si="19"/>
        <v>29.39313473122737</v>
      </c>
      <c r="AD51" s="21" t="str">
        <f>+IF($B$3="esp","Margen EBIT Ajustado","Adjusted EBIT Margin")</f>
        <v>Adjusted EBIT Margin</v>
      </c>
      <c r="AE51" s="22"/>
      <c r="AF51" s="27">
        <f>+[1]RADIO!AC51</f>
        <v>0.17637402672781588</v>
      </c>
      <c r="AG51" s="28">
        <f>+[1]RADIO!AD51</f>
        <v>0.12880525509008342</v>
      </c>
      <c r="AH51" s="29"/>
      <c r="AI51" s="22"/>
      <c r="AK51" s="27">
        <f>+[1]RADIO!AG51</f>
        <v>0.26729021764466071</v>
      </c>
      <c r="AL51" s="28">
        <f>+[1]RADIO!AH51</f>
        <v>0.20604653338631188</v>
      </c>
      <c r="AM51" s="29"/>
      <c r="AN51" s="22"/>
      <c r="AQ51" s="21" t="str">
        <f>+IF($B$3="esp","Publicidad","Advertising")</f>
        <v>Advertising</v>
      </c>
      <c r="AR51" s="22"/>
      <c r="AS51" s="23">
        <f>+[1]NOTICIAS!AC23</f>
        <v>107.23869613575501</v>
      </c>
      <c r="AT51" s="24">
        <f>+[1]NOTICIAS!AD23</f>
        <v>105.500371537343</v>
      </c>
      <c r="AU51" s="25">
        <f t="shared" si="20"/>
        <v>1.6476952384918455</v>
      </c>
      <c r="AX51" s="23">
        <f>+[1]NOTICIAS!AG23</f>
        <v>35.5602235365957</v>
      </c>
      <c r="AY51" s="24">
        <f>+[1]NOTICIAS!AH23</f>
        <v>33.829475100676802</v>
      </c>
      <c r="AZ51" s="25">
        <f t="shared" si="21"/>
        <v>5.1160960398237805</v>
      </c>
      <c r="BA51" s="22"/>
      <c r="BD51" s="21" t="str">
        <f>+IF($B$3="esp","Publicidad","Advertising")</f>
        <v>Advertising</v>
      </c>
      <c r="BF51" s="23">
        <f>+'[1]MEDIA CAPITAL'!AC34</f>
        <v>124.78730831999999</v>
      </c>
      <c r="BG51" s="24">
        <f>+'[1]MEDIA CAPITAL'!AD34</f>
        <v>118.94565168</v>
      </c>
      <c r="BH51" s="25">
        <f>IF(BG51=0,"---",IF(OR(ABS((BF51-BG51)/ABS(BG51))&gt;2,(BF51*BG51)&lt;0),"---",IF(BG51="0","---",((BF51-BG51)/ABS(BG51))*100)))</f>
        <v>4.9111981459531036</v>
      </c>
      <c r="BI51" s="22"/>
      <c r="BK51" s="23">
        <f>+'[1]MEDIA CAPITAL'!AG34</f>
        <v>40.239209509999995</v>
      </c>
      <c r="BL51" s="24">
        <f>+'[1]MEDIA CAPITAL'!AH34</f>
        <v>35.95670616000001</v>
      </c>
      <c r="BM51" s="25">
        <f>IF(BL51=0,"---",IF(OR(ABS((BK51-BL51)/ABS(BL51))&gt;2,(BK51*BL51)&lt;0),"---",IF(BL51="0","---",((BK51-BL51)/ABS(BL51))*100)))</f>
        <v>11.910165883781785</v>
      </c>
    </row>
    <row r="52" spans="4:65" ht="15" customHeight="1">
      <c r="D52" s="17" t="str">
        <f>+IF($B$3="esp","Internacional","International")</f>
        <v>International</v>
      </c>
      <c r="F52" s="18">
        <f>+[1]GRUPO!AC66</f>
        <v>766.91311683860442</v>
      </c>
      <c r="G52" s="19">
        <f>+[1]GRUPO!AD66</f>
        <v>807.77742149907294</v>
      </c>
      <c r="H52" s="20">
        <f t="shared" si="16"/>
        <v>-5.058857003533543</v>
      </c>
      <c r="K52" s="18">
        <f>+[1]GRUPO!AG66</f>
        <v>229.83853050870562</v>
      </c>
      <c r="L52" s="19">
        <f>+[1]GRUPO!AH66</f>
        <v>230.0914892227438</v>
      </c>
      <c r="M52" s="20">
        <f t="shared" si="17"/>
        <v>-0.10993831840225329</v>
      </c>
      <c r="Q52" s="17" t="str">
        <f>+IF($B$3="esp","Internacional","International")</f>
        <v>International</v>
      </c>
      <c r="S52" s="18">
        <f>+[1]SANTILLANA!AC66</f>
        <v>485.45836353632728</v>
      </c>
      <c r="T52" s="19">
        <f>+[1]SANTILLANA!AD66</f>
        <v>535.16916402713628</v>
      </c>
      <c r="U52" s="20">
        <f t="shared" si="18"/>
        <v>-9.2888013421282167</v>
      </c>
      <c r="X52" s="18">
        <f>+[1]SANTILLANA!AG66</f>
        <v>145.67497973753217</v>
      </c>
      <c r="Y52" s="19">
        <f>+[1]SANTILLANA!AH66</f>
        <v>151.62419046132294</v>
      </c>
      <c r="Z52" s="20">
        <f t="shared" si="19"/>
        <v>-3.9236553914583472</v>
      </c>
      <c r="AD52" s="34" t="str">
        <f>+IF($B$3="esp","EBITDA Ajustado a TC CTE con MX y CR","Adjusted EBITDA on ctt ccy w/MX&amp;CR")</f>
        <v>Adjusted EBITDA on ctt ccy w/MX&amp;CR</v>
      </c>
      <c r="AE52" s="13"/>
      <c r="AF52" s="35">
        <f>+[1]RADIO!AC52</f>
        <v>59.823972082400331</v>
      </c>
      <c r="AG52" s="36">
        <f>+[1]RADIO!AD52</f>
        <v>43.960166677546177</v>
      </c>
      <c r="AH52" s="37">
        <f>IF(AG52=0,"---",IF(OR(ABS((AF52-AG52)/ABS(AG52))&gt;2,(AF52*AG52)&lt;0),"---",IF(AG52="0","---",((AF52-AG52)/ABS(AG52))*100)))</f>
        <v>36.086772648560078</v>
      </c>
      <c r="AI52" s="13"/>
      <c r="AK52" s="35">
        <f>+[1]RADIO!AG52</f>
        <v>24.62422659763304</v>
      </c>
      <c r="AL52" s="36">
        <f>+[1]RADIO!AH52</f>
        <v>18.900451747629614</v>
      </c>
      <c r="AM52" s="37">
        <f>IF(AL52=0,"---",IF(OR(ABS((AK52-AL52)/ABS(AL52))&gt;2,(AK52*AL52)&lt;0),"---",IF(AL52="0","---",((AK52-AL52)/ABS(AL52))*100)))</f>
        <v>30.283799172796328</v>
      </c>
      <c r="AN52" s="13"/>
      <c r="AQ52" s="21" t="str">
        <f>+IF($B$3="esp","Circulación","Circulation")</f>
        <v>Circulation</v>
      </c>
      <c r="AR52" s="22"/>
      <c r="AS52" s="23">
        <f>+[1]NOTICIAS!AC24</f>
        <v>68.267367097613601</v>
      </c>
      <c r="AT52" s="24">
        <f>+[1]NOTICIAS!AD24</f>
        <v>79.377383016503487</v>
      </c>
      <c r="AU52" s="25">
        <f t="shared" si="20"/>
        <v>-13.996450243994543</v>
      </c>
      <c r="AX52" s="23">
        <f>+[1]NOTICIAS!AG24</f>
        <v>15.875024850081502</v>
      </c>
      <c r="AY52" s="24">
        <f>+[1]NOTICIAS!AH24</f>
        <v>18.929364127871381</v>
      </c>
      <c r="AZ52" s="25">
        <f t="shared" si="21"/>
        <v>-16.135456305648979</v>
      </c>
      <c r="BA52" s="13"/>
      <c r="BD52" s="21" t="str">
        <f>+IF($B$3="esp","Otros","Others")</f>
        <v>Others</v>
      </c>
      <c r="BE52" s="13"/>
      <c r="BF52" s="23">
        <f>+'[1]MEDIA CAPITAL'!AC35</f>
        <v>57.021433180000002</v>
      </c>
      <c r="BG52" s="24">
        <f>+'[1]MEDIA CAPITAL'!AD35</f>
        <v>46.517240930000014</v>
      </c>
      <c r="BH52" s="25">
        <f>IF(BG52=0,"---",IF(OR(ABS((BF52-BG52)/ABS(BG52))&gt;2,(BF52*BG52)&lt;0),"---",IF(BG52="0","---",((BF52-BG52)/ABS(BG52))*100)))</f>
        <v>22.58128822774955</v>
      </c>
      <c r="BI52" s="22"/>
      <c r="BJ52" s="13"/>
      <c r="BK52" s="23">
        <f>+'[1]MEDIA CAPITAL'!AG35</f>
        <v>15.567011219999998</v>
      </c>
      <c r="BL52" s="24">
        <f>+'[1]MEDIA CAPITAL'!AH35</f>
        <v>14.198144460000009</v>
      </c>
      <c r="BM52" s="25">
        <f>IF(BL52=0,"---",IF(OR(ABS((BK52-BL52)/ABS(BL52))&gt;2,(BK52*BL52)&lt;0),"---",IF(BL52="0","---",((BK52-BL52)/ABS(BL52))*100)))</f>
        <v>9.6411665894543788</v>
      </c>
    </row>
    <row r="53" spans="4:65" ht="15" customHeight="1">
      <c r="D53" s="26" t="str">
        <f>+IF($B$3="esp","Portugal","Portugal")</f>
        <v>Portugal</v>
      </c>
      <c r="F53" s="18">
        <f>+[1]GRUPO!AC67</f>
        <v>581.92903076860443</v>
      </c>
      <c r="G53" s="19">
        <f>+[1]GRUPO!AD67</f>
        <v>639.54485708907293</v>
      </c>
      <c r="H53" s="20">
        <f t="shared" si="16"/>
        <v>-9.0088796245990341</v>
      </c>
      <c r="K53" s="18">
        <f>+[1]GRUPO!AG67</f>
        <v>173.94476693870558</v>
      </c>
      <c r="L53" s="19">
        <f>+[1]GRUPO!AH67</f>
        <v>180.35608650274378</v>
      </c>
      <c r="M53" s="20">
        <f t="shared" si="17"/>
        <v>-3.5548118659919239</v>
      </c>
      <c r="Q53" s="26" t="str">
        <f>+IF($B$3="esp","Latam","Latam")</f>
        <v>Latam</v>
      </c>
      <c r="S53" s="18">
        <f>+[1]SANTILLANA!AC67</f>
        <v>481.78174853632726</v>
      </c>
      <c r="T53" s="19">
        <f>+[1]SANTILLANA!AD67</f>
        <v>531.37101202713632</v>
      </c>
      <c r="U53" s="20">
        <f t="shared" si="18"/>
        <v>-9.3323238130040505</v>
      </c>
      <c r="X53" s="18">
        <f>+[1]SANTILLANA!AG67</f>
        <v>145.53512173753217</v>
      </c>
      <c r="Y53" s="19">
        <f>+[1]SANTILLANA!AH67</f>
        <v>151.57453046132298</v>
      </c>
      <c r="Z53" s="20">
        <f t="shared" si="19"/>
        <v>-3.9844482482707604</v>
      </c>
      <c r="AQ53" s="21" t="str">
        <f>+IF($B$3="esp","Promociones y Otros","Add-ons and Others")</f>
        <v>Add-ons and Others</v>
      </c>
      <c r="AR53" s="22"/>
      <c r="AS53" s="23">
        <f>+[1]NOTICIAS!AC25</f>
        <v>27.653440633561402</v>
      </c>
      <c r="AT53" s="24">
        <f>+[1]NOTICIAS!AD25</f>
        <v>35.699785014099504</v>
      </c>
      <c r="AU53" s="25">
        <f t="shared" si="20"/>
        <v>-22.53891550708282</v>
      </c>
      <c r="AX53" s="23">
        <f>+[1]NOTICIAS!AG25</f>
        <v>6.8228568926547979</v>
      </c>
      <c r="AY53" s="24">
        <f>+[1]NOTICIAS!AH25</f>
        <v>10.397745617852834</v>
      </c>
      <c r="AZ53" s="25">
        <f t="shared" si="21"/>
        <v>-34.381382816867387</v>
      </c>
      <c r="BD53" s="13" t="str">
        <f>+IF($B$3="esp","Gastos de Explotación","Operating Expenses")</f>
        <v>Operating Expenses</v>
      </c>
      <c r="BF53" s="14">
        <f>+'[1]MEDIA CAPITAL'!AC36</f>
        <v>141.08675663605169</v>
      </c>
      <c r="BG53" s="15">
        <f>+'[1]MEDIA CAPITAL'!AD36</f>
        <v>124.77421750302872</v>
      </c>
      <c r="BH53" s="16">
        <f>IF(BG53=0,"---",IF(OR(ABS((BF53-BG53)/ABS(BG53))&gt;2,(BF53*BG53)&lt;0),"---",IF(BG53="0","---",((BF53-BG53)/ABS(BG53))*100)))</f>
        <v>13.073645709400664</v>
      </c>
      <c r="BI53" s="13"/>
      <c r="BK53" s="14">
        <f>+'[1]MEDIA CAPITAL'!AG36</f>
        <v>39.64552274238298</v>
      </c>
      <c r="BL53" s="15">
        <f>+'[1]MEDIA CAPITAL'!AH36</f>
        <v>32.327371605957126</v>
      </c>
      <c r="BM53" s="16">
        <f>IF(BL53=0,"---",IF(OR(ABS((BK53-BL53)/ABS(BL53))&gt;2,(BK53*BL53)&lt;0),"---",IF(BL53="0","---",((BK53-BL53)/ABS(BL53))*100)))</f>
        <v>22.637631124570927</v>
      </c>
    </row>
    <row r="54" spans="4:65" ht="15" customHeight="1">
      <c r="D54" s="26" t="str">
        <f>+IF($B$3="esp","Latam","Latam")</f>
        <v>Latam</v>
      </c>
      <c r="F54" s="18">
        <f>+[1]GRUPO!AC68</f>
        <v>184.98408606999999</v>
      </c>
      <c r="G54" s="19">
        <f>+[1]GRUPO!AD68</f>
        <v>168.23256441000001</v>
      </c>
      <c r="H54" s="20">
        <f t="shared" si="16"/>
        <v>9.9573597529993094</v>
      </c>
      <c r="K54" s="18">
        <f>+[1]GRUPO!AG68</f>
        <v>55.893763570000004</v>
      </c>
      <c r="L54" s="19">
        <f>+[1]GRUPO!AH68</f>
        <v>49.73540272000001</v>
      </c>
      <c r="M54" s="20">
        <f t="shared" si="17"/>
        <v>12.382247882198294</v>
      </c>
      <c r="Q54" s="26" t="str">
        <f>+IF($B$3="esp","Portugal","Portugal")</f>
        <v>Portugal</v>
      </c>
      <c r="S54" s="18">
        <f>+[1]SANTILLANA!AC68</f>
        <v>3.676615</v>
      </c>
      <c r="T54" s="19">
        <f>+[1]SANTILLANA!AD68</f>
        <v>3.798152</v>
      </c>
      <c r="U54" s="20">
        <f t="shared" si="18"/>
        <v>-3.1998982663147761</v>
      </c>
      <c r="X54" s="18">
        <f>+[1]SANTILLANA!AG68</f>
        <v>0.13985799999999982</v>
      </c>
      <c r="Y54" s="19">
        <f>+[1]SANTILLANA!AH68</f>
        <v>4.9659999999999815E-2</v>
      </c>
      <c r="Z54" s="20">
        <f t="shared" si="19"/>
        <v>181.63109142166803</v>
      </c>
      <c r="AD54" s="9"/>
      <c r="AF54" s="10">
        <v>2018</v>
      </c>
      <c r="AG54" s="10">
        <v>2017</v>
      </c>
      <c r="AH54" s="10" t="str">
        <f>+IF($B$3="esp","Var.%","% Chg.")</f>
        <v>% Chg.</v>
      </c>
      <c r="AK54" s="10">
        <v>2018</v>
      </c>
      <c r="AL54" s="10">
        <v>2017</v>
      </c>
      <c r="AM54" s="10" t="str">
        <f>+IF($B$3="esp","Var.%","% Chg.")</f>
        <v>% Chg.</v>
      </c>
      <c r="AQ54" s="13" t="str">
        <f>+IF($B$3="esp","Gastos de Explotación","Operating Expenses")</f>
        <v>Operating Expenses</v>
      </c>
      <c r="AR54" s="13"/>
      <c r="AS54" s="14">
        <f>+[1]NOTICIAS!AC26</f>
        <v>195.83673062201561</v>
      </c>
      <c r="AT54" s="15">
        <f>+[1]NOTICIAS!AD26</f>
        <v>216.61600923975644</v>
      </c>
      <c r="AU54" s="16">
        <f t="shared" si="20"/>
        <v>-9.5926790871406755</v>
      </c>
      <c r="AX54" s="14">
        <f>+[1]NOTICIAS!AG26</f>
        <v>49.101957577203223</v>
      </c>
      <c r="AY54" s="15">
        <f>+[1]NOTICIAS!AH26</f>
        <v>61.140241288959743</v>
      </c>
      <c r="AZ54" s="16">
        <f t="shared" si="21"/>
        <v>-19.689624146004647</v>
      </c>
      <c r="BD54" s="13" t="str">
        <f>+IF($B$3="esp","EBITDA","EBITDA")</f>
        <v>EBITDA</v>
      </c>
      <c r="BF54" s="14">
        <f>+'[1]MEDIA CAPITAL'!AC37</f>
        <v>40.7219848639483</v>
      </c>
      <c r="BG54" s="15">
        <f>+'[1]MEDIA CAPITAL'!AD37</f>
        <v>40.688675106971296</v>
      </c>
      <c r="BH54" s="16">
        <f>IF(BG54=0,"---",IF(OR(ABS((BF54-BG54)/ABS(BG54))&gt;2,(BF54*BG54)&lt;0),"---",IF(BG54="0","---",((BF54-BG54)/ABS(BG54))*100)))</f>
        <v>8.1864933889915767E-2</v>
      </c>
      <c r="BI54" s="13"/>
      <c r="BK54" s="14">
        <f>+'[1]MEDIA CAPITAL'!AG37</f>
        <v>16.160697987616999</v>
      </c>
      <c r="BL54" s="15">
        <f>+'[1]MEDIA CAPITAL'!AH37</f>
        <v>17.827479014042897</v>
      </c>
      <c r="BM54" s="16">
        <f>IF(BL54=0,"---",IF(OR(ABS((BK54-BL54)/ABS(BL54))&gt;2,(BK54*BL54)&lt;0),"---",IF(BL54="0","---",((BK54-BL54)/ABS(BL54))*100)))</f>
        <v>-9.349504913807257</v>
      </c>
    </row>
    <row r="55" spans="4:65" s="13" customFormat="1" ht="15" customHeight="1">
      <c r="D55" s="13" t="str">
        <f>+IF($B$3="esp","Gastos de Explotación","Operating Expenses")</f>
        <v>Operating Expenses</v>
      </c>
      <c r="F55" s="14">
        <f>+[1]GRUPO!AC69</f>
        <v>1027.3201889299389</v>
      </c>
      <c r="G55" s="15">
        <f>+[1]GRUPO!AD69</f>
        <v>1087.557910527986</v>
      </c>
      <c r="H55" s="16">
        <f t="shared" si="16"/>
        <v>-5.5388058893160874</v>
      </c>
      <c r="K55" s="14">
        <f>+[1]GRUPO!AG69</f>
        <v>268.00387598990096</v>
      </c>
      <c r="L55" s="15">
        <f>+[1]GRUPO!AH69</f>
        <v>280.35373392325187</v>
      </c>
      <c r="M55" s="16">
        <f t="shared" si="17"/>
        <v>-4.4050984306603658</v>
      </c>
      <c r="Q55" s="13" t="str">
        <f>+IF($B$3="esp","Gastos de Explotación","Operating Expenses")</f>
        <v>Operating Expenses</v>
      </c>
      <c r="S55" s="14">
        <f>+[1]SANTILLANA!AC69</f>
        <v>433.28711298431597</v>
      </c>
      <c r="T55" s="15">
        <f>+[1]SANTILLANA!AD69</f>
        <v>476.87518325750301</v>
      </c>
      <c r="U55" s="16">
        <f t="shared" si="18"/>
        <v>-9.1403519838125789</v>
      </c>
      <c r="X55" s="14">
        <f>+[1]SANTILLANA!AG69</f>
        <v>114.26529383725693</v>
      </c>
      <c r="Y55" s="15">
        <f>+[1]SANTILLANA!AH69</f>
        <v>118.15944022585501</v>
      </c>
      <c r="Z55" s="16">
        <f t="shared" si="19"/>
        <v>-3.2956709858769098</v>
      </c>
      <c r="AD55" s="11" t="str">
        <f>+IF($B$3="esp","Resultados Reportados","Reported Results")</f>
        <v>Reported Results</v>
      </c>
      <c r="AE55" s="1"/>
      <c r="AF55" s="12"/>
      <c r="AG55" s="12"/>
      <c r="AH55" s="12"/>
      <c r="AI55" s="1"/>
      <c r="AK55" s="12"/>
      <c r="AL55" s="12"/>
      <c r="AM55" s="12"/>
      <c r="AN55" s="1"/>
      <c r="AQ55" s="13" t="str">
        <f>+IF($B$3="esp","EBITDA","EBITDA")</f>
        <v>EBITDA</v>
      </c>
      <c r="AS55" s="14">
        <f>+[1]NOTICIAS!AC27</f>
        <v>7.3227732449143996</v>
      </c>
      <c r="AT55" s="15">
        <f>+[1]NOTICIAS!AD27</f>
        <v>3.9615303281895398</v>
      </c>
      <c r="AU55" s="16">
        <f t="shared" si="20"/>
        <v>84.847082775231016</v>
      </c>
      <c r="AX55" s="14">
        <f>+[1]NOTICIAS!AG27</f>
        <v>9.15614770212877</v>
      </c>
      <c r="AY55" s="15">
        <f>+[1]NOTICIAS!AH27</f>
        <v>2.01634355744127</v>
      </c>
      <c r="AZ55" s="16" t="str">
        <f t="shared" si="21"/>
        <v>---</v>
      </c>
      <c r="BA55" s="1"/>
      <c r="BD55" s="21" t="str">
        <f>+IF($B$3="esp","Margen EBITDA ","EBITDA Margin")</f>
        <v>EBITDA Margin</v>
      </c>
      <c r="BE55" s="1"/>
      <c r="BF55" s="27">
        <f>+'[1]MEDIA CAPITAL'!AC38</f>
        <v>0.22398254631748993</v>
      </c>
      <c r="BG55" s="28">
        <f>+'[1]MEDIA CAPITAL'!AD38</f>
        <v>0.24590815780596484</v>
      </c>
      <c r="BH55" s="29"/>
      <c r="BI55" s="22"/>
      <c r="BJ55" s="1"/>
      <c r="BK55" s="27">
        <f>+'[1]MEDIA CAPITAL'!AG38</f>
        <v>0.28958595970519507</v>
      </c>
      <c r="BL55" s="28">
        <f>+'[1]MEDIA CAPITAL'!AH38</f>
        <v>0.35544875109116397</v>
      </c>
      <c r="BM55" s="29"/>
    </row>
    <row r="56" spans="4:65" ht="15" customHeight="1">
      <c r="D56" s="17" t="str">
        <f>+IF($B$3="esp","España","Spain")</f>
        <v>Spain</v>
      </c>
      <c r="F56" s="18">
        <f>+[1]GRUPO!AC70</f>
        <v>464.36523146865062</v>
      </c>
      <c r="G56" s="19">
        <f>+[1]GRUPO!AD70</f>
        <v>494.28132466302094</v>
      </c>
      <c r="H56" s="20">
        <f t="shared" si="16"/>
        <v>-6.0524425467148255</v>
      </c>
      <c r="K56" s="18">
        <f>+[1]GRUPO!AG70</f>
        <v>108.89871178508093</v>
      </c>
      <c r="L56" s="19">
        <f>+[1]GRUPO!AH70</f>
        <v>128.34979887299573</v>
      </c>
      <c r="M56" s="20">
        <f t="shared" si="17"/>
        <v>-15.154746839270061</v>
      </c>
      <c r="Q56" s="17" t="str">
        <f>+IF($B$3="esp","España","Spain")</f>
        <v>Spain</v>
      </c>
      <c r="S56" s="18">
        <f>+[1]SANTILLANA!AC70</f>
        <v>95.55233307566175</v>
      </c>
      <c r="T56" s="19">
        <f>+[1]SANTILLANA!AD70</f>
        <v>99.288226069064024</v>
      </c>
      <c r="U56" s="20">
        <f t="shared" si="18"/>
        <v>-3.7626747312451929</v>
      </c>
      <c r="X56" s="18">
        <f>+[1]SANTILLANA!AG70</f>
        <v>18.553050495563539</v>
      </c>
      <c r="Y56" s="19">
        <f>+[1]SANTILLANA!AH70</f>
        <v>20.450145067291658</v>
      </c>
      <c r="Z56" s="20">
        <f t="shared" si="19"/>
        <v>-9.2766802655222556</v>
      </c>
      <c r="AD56" s="13" t="str">
        <f>+IF($B$3="esp","Ingresos de Explotación","Operating Revenues")</f>
        <v>Operating Revenues</v>
      </c>
      <c r="AE56" s="13"/>
      <c r="AF56" s="14">
        <f>+[1]RADIO!AC56</f>
        <v>287.57961784380302</v>
      </c>
      <c r="AG56" s="15">
        <f>+[1]RADIO!AD56</f>
        <v>280.66641862949501</v>
      </c>
      <c r="AH56" s="16">
        <f t="shared" ref="AH56:AH71" si="22">IF(AG56=0,"---",IF(OR(ABS((AF56-AG56)/ABS(AG56))&gt;2,(AF56*AG56)&lt;0),"---",IF(AG56="0","---",((AF56-AG56)/ABS(AG56))*100)))</f>
        <v>2.4631372887662968</v>
      </c>
      <c r="AI56" s="13"/>
      <c r="AK56" s="14">
        <f>+[1]RADIO!AG56</f>
        <v>82.802410448058026</v>
      </c>
      <c r="AL56" s="15">
        <f>+[1]RADIO!AH56</f>
        <v>77.845381979145998</v>
      </c>
      <c r="AM56" s="16">
        <f t="shared" ref="AM56:AM71" si="23">IF(AL56=0,"---",IF(OR(ABS((AK56-AL56)/ABS(AL56))&gt;2,(AK56*AL56)&lt;0),"---",IF(AL56="0","---",((AK56-AL56)/ABS(AL56))*100)))</f>
        <v>6.3677874562166918</v>
      </c>
      <c r="AN56" s="13"/>
      <c r="AQ56" s="21" t="str">
        <f>+IF($B$3="esp","Margen EBITDA ","EBITDA Margin")</f>
        <v>EBITDA Margin</v>
      </c>
      <c r="AR56" s="22"/>
      <c r="AS56" s="27">
        <f>+[1]NOTICIAS!AC28</f>
        <v>3.6044453277021361E-2</v>
      </c>
      <c r="AT56" s="28">
        <f>+[1]NOTICIAS!AD28</f>
        <v>1.795980831026199E-2</v>
      </c>
      <c r="AU56" s="29"/>
      <c r="AX56" s="27">
        <f>+[1]NOTICIAS!AG28</f>
        <v>0.1571652160369359</v>
      </c>
      <c r="AY56" s="28">
        <f>+[1]NOTICIAS!AH28</f>
        <v>3.1926101804666714E-2</v>
      </c>
      <c r="AZ56" s="29"/>
      <c r="BA56" s="13"/>
      <c r="BD56" s="13" t="str">
        <f>+IF($B$3="esp","EBIT","EBIT")</f>
        <v>EBIT</v>
      </c>
      <c r="BF56" s="14">
        <f>+'[1]MEDIA CAPITAL'!AC39</f>
        <v>33.612819723948299</v>
      </c>
      <c r="BG56" s="15">
        <f>+'[1]MEDIA CAPITAL'!AD39</f>
        <v>32.174054346971303</v>
      </c>
      <c r="BH56" s="16">
        <f>IF(BG56=0,"---",IF(OR(ABS((BF56-BG56)/ABS(BG56))&gt;2,(BF56*BG56)&lt;0),"---",IF(BG56="0","---",((BF56-BG56)/ABS(BG56))*100)))</f>
        <v>4.4718186942219589</v>
      </c>
      <c r="BI56" s="13"/>
      <c r="BK56" s="14">
        <f>+'[1]MEDIA CAPITAL'!AG39</f>
        <v>14.071976647616999</v>
      </c>
      <c r="BL56" s="15">
        <f>+'[1]MEDIA CAPITAL'!AH39</f>
        <v>15.213667004042904</v>
      </c>
      <c r="BM56" s="16">
        <f>IF(BL56=0,"---",IF(OR(ABS((BK56-BL56)/ABS(BL56))&gt;2,(BK56*BL56)&lt;0),"---",IF(BL56="0","---",((BK56-BL56)/ABS(BL56))*100)))</f>
        <v>-7.5043732462562103</v>
      </c>
    </row>
    <row r="57" spans="4:65" ht="15" customHeight="1">
      <c r="D57" s="17" t="str">
        <f>+IF($B$3="esp","Internacional","International")</f>
        <v>International</v>
      </c>
      <c r="F57" s="18">
        <f>+[1]GRUPO!AC71</f>
        <v>562.95495746128836</v>
      </c>
      <c r="G57" s="19">
        <f>+[1]GRUPO!AD71</f>
        <v>593.27658586496511</v>
      </c>
      <c r="H57" s="20">
        <f t="shared" si="16"/>
        <v>-5.1108756229557688</v>
      </c>
      <c r="K57" s="18">
        <f>+[1]GRUPO!AG71</f>
        <v>159.10516420482003</v>
      </c>
      <c r="L57" s="19">
        <f>+[1]GRUPO!AH71</f>
        <v>152.0039350502563</v>
      </c>
      <c r="M57" s="20">
        <f t="shared" si="17"/>
        <v>4.6717403416009464</v>
      </c>
      <c r="Q57" s="17" t="str">
        <f>+IF($B$3="esp","Internacional","International")</f>
        <v>International</v>
      </c>
      <c r="S57" s="18">
        <f>+[1]SANTILLANA!AC71</f>
        <v>337.73477990865422</v>
      </c>
      <c r="T57" s="19">
        <f>+[1]SANTILLANA!AD71</f>
        <v>377.58695718843899</v>
      </c>
      <c r="U57" s="20">
        <f t="shared" si="18"/>
        <v>-10.554436937263194</v>
      </c>
      <c r="X57" s="18">
        <f>+[1]SANTILLANA!AG71</f>
        <v>95.712243341693409</v>
      </c>
      <c r="Y57" s="19">
        <f>+[1]SANTILLANA!AH71</f>
        <v>97.70929515856335</v>
      </c>
      <c r="Z57" s="20">
        <f t="shared" si="19"/>
        <v>-2.0438708657442581</v>
      </c>
      <c r="AD57" s="17" t="str">
        <f>+IF($B$3="esp","Publicidad","Advertising")</f>
        <v>Advertising</v>
      </c>
      <c r="AF57" s="18">
        <f>+[1]RADIO!AC57</f>
        <v>257.61721233949197</v>
      </c>
      <c r="AG57" s="19">
        <f>+[1]RADIO!AD57</f>
        <v>250.19334435085901</v>
      </c>
      <c r="AH57" s="20">
        <f t="shared" si="22"/>
        <v>2.9672523895048508</v>
      </c>
      <c r="AK57" s="18">
        <f>+[1]RADIO!AG57</f>
        <v>73.795489894575979</v>
      </c>
      <c r="AL57" s="19">
        <f>+[1]RADIO!AH57</f>
        <v>70.415791125574003</v>
      </c>
      <c r="AM57" s="20">
        <f t="shared" si="23"/>
        <v>4.7996318936115996</v>
      </c>
      <c r="AQ57" s="13" t="str">
        <f>+IF($B$3="esp","EBIT","EBIT")</f>
        <v>EBIT</v>
      </c>
      <c r="AR57" s="13"/>
      <c r="AS57" s="14">
        <f>+[1]NOTICIAS!AC29</f>
        <v>1.04111520027463</v>
      </c>
      <c r="AT57" s="15">
        <f>+[1]NOTICIAS!AD29</f>
        <v>-14.1045021398334</v>
      </c>
      <c r="AU57" s="16" t="str">
        <f>IF(AT57=0,"---",IF(OR(ABS((AS57-AT57)/ABS(AT57))&gt;2,(AS57*AT57)&lt;0),"---",IF(AT57="0","---",((AS57-AT57)/ABS(AT57))*100)))</f>
        <v>---</v>
      </c>
      <c r="AX57" s="14">
        <f>+[1]NOTICIAS!AG29</f>
        <v>7.0876903090894006</v>
      </c>
      <c r="AY57" s="15">
        <f>+[1]NOTICIAS!AH29</f>
        <v>-9.4611020057392103</v>
      </c>
      <c r="AZ57" s="16" t="str">
        <f>IF(AY57=0,"---",IF(OR(ABS((AX57-AY57)/ABS(AY57))&gt;2,(AX57*AY57)&lt;0),"---",IF(AY57="0","---",((AX57-AY57)/ABS(AY57))*100)))</f>
        <v>---</v>
      </c>
      <c r="BD57" s="21" t="str">
        <f>+IF($B$3="esp","Margen EBIT ","EBIT Margin")</f>
        <v>EBIT Margin</v>
      </c>
      <c r="BE57" s="22"/>
      <c r="BF57" s="27">
        <f>+'[1]MEDIA CAPITAL'!AC40</f>
        <v>0.1848801077804518</v>
      </c>
      <c r="BG57" s="28">
        <f>+'[1]MEDIA CAPITAL'!AD40</f>
        <v>0.19444876031997288</v>
      </c>
      <c r="BH57" s="29"/>
      <c r="BI57" s="22"/>
      <c r="BJ57" s="22"/>
      <c r="BK57" s="27">
        <f>+'[1]MEDIA CAPITAL'!AG40</f>
        <v>0.25215785020991871</v>
      </c>
      <c r="BL57" s="28">
        <f>+'[1]MEDIA CAPITAL'!AH40</f>
        <v>0.30333391119654179</v>
      </c>
      <c r="BM57" s="29"/>
    </row>
    <row r="58" spans="4:65" ht="15" customHeight="1">
      <c r="D58" s="26" t="str">
        <f>+IF($B$3="esp","Portugal","Portugal")</f>
        <v>Portugal</v>
      </c>
      <c r="F58" s="18">
        <f>+[1]GRUPO!AC72</f>
        <v>418.67761472523671</v>
      </c>
      <c r="G58" s="19">
        <f>+[1]GRUPO!AD72</f>
        <v>465.85230194193639</v>
      </c>
      <c r="H58" s="20">
        <f t="shared" si="16"/>
        <v>-10.1265330277534</v>
      </c>
      <c r="K58" s="18">
        <f>+[1]GRUPO!AG72</f>
        <v>119.14473783243704</v>
      </c>
      <c r="L58" s="19">
        <f>+[1]GRUPO!AH72</f>
        <v>120.01032816429915</v>
      </c>
      <c r="M58" s="20">
        <f t="shared" si="17"/>
        <v>-0.72126319884491874</v>
      </c>
      <c r="Q58" s="26" t="str">
        <f>+IF($B$3="esp","Latam","Latam")</f>
        <v>Latam</v>
      </c>
      <c r="S58" s="18">
        <f>+[1]SANTILLANA!AC72</f>
        <v>334.30717890865418</v>
      </c>
      <c r="T58" s="19">
        <f>+[1]SANTILLANA!AD72</f>
        <v>373.70163018843903</v>
      </c>
      <c r="U58" s="20">
        <f t="shared" si="18"/>
        <v>-10.541685691849992</v>
      </c>
      <c r="X58" s="18">
        <f>+[1]SANTILLANA!AG72</f>
        <v>95.359886341693368</v>
      </c>
      <c r="Y58" s="19">
        <f>+[1]SANTILLANA!AH72</f>
        <v>97.162982158563409</v>
      </c>
      <c r="Z58" s="20">
        <f t="shared" si="19"/>
        <v>-1.8557435937150535</v>
      </c>
      <c r="AD58" s="38" t="str">
        <f>+IF($B$3="esp","España","Spain")</f>
        <v>Spain</v>
      </c>
      <c r="AE58" s="22"/>
      <c r="AF58" s="23">
        <f>+[1]RADIO!AC58</f>
        <v>171.95676645</v>
      </c>
      <c r="AG58" s="24">
        <f>+[1]RADIO!AD58</f>
        <v>163.13597897</v>
      </c>
      <c r="AH58" s="25">
        <f t="shared" si="22"/>
        <v>5.407015384155148</v>
      </c>
      <c r="AK58" s="23">
        <f>+[1]RADIO!AG58</f>
        <v>49.99367273</v>
      </c>
      <c r="AL58" s="24">
        <f>+[1]RADIO!AH58</f>
        <v>46.35689327</v>
      </c>
      <c r="AM58" s="25">
        <f t="shared" si="23"/>
        <v>7.8451751259904903</v>
      </c>
      <c r="AQ58" s="21" t="str">
        <f>+IF($B$3="esp","Margen EBIT ","EBIT Margin")</f>
        <v>EBIT Margin</v>
      </c>
      <c r="AR58" s="22"/>
      <c r="AS58" s="27">
        <f>+[1]NOTICIAS!AC30</f>
        <v>5.1246197222285161E-3</v>
      </c>
      <c r="AT58" s="28">
        <f>+[1]NOTICIAS!AD30</f>
        <v>-6.3943510148224747E-2</v>
      </c>
      <c r="AU58" s="29"/>
      <c r="AX58" s="27">
        <f>+[1]NOTICIAS!AG30</f>
        <v>0.12166015827507307</v>
      </c>
      <c r="AY58" s="28">
        <f>+[1]NOTICIAS!AH30</f>
        <v>-0.14980388867999964</v>
      </c>
      <c r="AZ58" s="29"/>
      <c r="BD58" s="39"/>
      <c r="BE58" s="13"/>
      <c r="BF58" s="39"/>
      <c r="BG58" s="39"/>
      <c r="BH58" s="39"/>
      <c r="BJ58" s="13"/>
      <c r="BK58" s="39"/>
      <c r="BL58" s="39"/>
      <c r="BM58" s="39"/>
    </row>
    <row r="59" spans="4:65" ht="15" customHeight="1">
      <c r="D59" s="26" t="str">
        <f>+IF($B$3="esp","Latam","Latam")</f>
        <v>Latam</v>
      </c>
      <c r="F59" s="18">
        <f>+[1]GRUPO!AC73</f>
        <v>144.27734273605168</v>
      </c>
      <c r="G59" s="19">
        <f>+[1]GRUPO!AD73</f>
        <v>127.42428392302871</v>
      </c>
      <c r="H59" s="20">
        <f t="shared" si="16"/>
        <v>13.225939588723248</v>
      </c>
      <c r="K59" s="18">
        <f>+[1]GRUPO!AG73</f>
        <v>39.960426372382997</v>
      </c>
      <c r="L59" s="19">
        <f>+[1]GRUPO!AH73</f>
        <v>31.993606885957107</v>
      </c>
      <c r="M59" s="20">
        <f t="shared" si="17"/>
        <v>24.901285793827615</v>
      </c>
      <c r="Q59" s="26" t="str">
        <f>+IF($B$3="esp","Portugal","Portugal")</f>
        <v>Portugal</v>
      </c>
      <c r="S59" s="18">
        <f>+[1]SANTILLANA!AC73</f>
        <v>3.4276010000000001</v>
      </c>
      <c r="T59" s="19">
        <f>+[1]SANTILLANA!AD73</f>
        <v>3.8853270000000006</v>
      </c>
      <c r="U59" s="20">
        <f t="shared" si="18"/>
        <v>-11.780887425948974</v>
      </c>
      <c r="X59" s="18">
        <f>+[1]SANTILLANA!AG73</f>
        <v>0.35235700000000092</v>
      </c>
      <c r="Y59" s="19">
        <f>+[1]SANTILLANA!AH73</f>
        <v>0.54631300000000138</v>
      </c>
      <c r="Z59" s="20">
        <f t="shared" si="19"/>
        <v>-35.50272462855542</v>
      </c>
      <c r="AD59" s="38" t="str">
        <f>+IF($B$3="esp","Latam","Latam")</f>
        <v>Latam</v>
      </c>
      <c r="AE59" s="22"/>
      <c r="AF59" s="23">
        <f>+[1]RADIO!AC59</f>
        <v>85.811517438043296</v>
      </c>
      <c r="AG59" s="24">
        <f>+[1]RADIO!AD59</f>
        <v>87.19654315444231</v>
      </c>
      <c r="AH59" s="25">
        <f t="shared" si="22"/>
        <v>-1.5883952118902918</v>
      </c>
      <c r="AK59" s="23">
        <f>+[1]RADIO!AG59</f>
        <v>23.805326664446895</v>
      </c>
      <c r="AL59" s="24">
        <f>+[1]RADIO!AH59</f>
        <v>24.09983040442981</v>
      </c>
      <c r="AM59" s="25">
        <f t="shared" si="23"/>
        <v>-1.222015819367682</v>
      </c>
    </row>
    <row r="60" spans="4:65" s="13" customFormat="1" ht="15" customHeight="1">
      <c r="D60" s="13" t="str">
        <f>+IF($B$3="esp","EBITDA","EBITDA")</f>
        <v>EBITDA</v>
      </c>
      <c r="F60" s="14">
        <f>+[1]GRUPO!AC74</f>
        <v>252.968277577001</v>
      </c>
      <c r="G60" s="15">
        <f>+[1]GRUPO!AD74</f>
        <v>248.18167603108401</v>
      </c>
      <c r="H60" s="16">
        <f t="shared" si="16"/>
        <v>1.9286683942441774</v>
      </c>
      <c r="K60" s="14">
        <f>+[1]GRUPO!AG74</f>
        <v>63.110904913573023</v>
      </c>
      <c r="L60" s="15">
        <f>+[1]GRUPO!AH74</f>
        <v>46.798334732488001</v>
      </c>
      <c r="M60" s="16">
        <f t="shared" si="17"/>
        <v>34.857159500080733</v>
      </c>
      <c r="Q60" s="13" t="str">
        <f>+IF($B$3="esp","EBITDA","EBITDA")</f>
        <v>EBITDA</v>
      </c>
      <c r="S60" s="14">
        <f>+[1]SANTILLANA!AC74</f>
        <v>167.25522920902802</v>
      </c>
      <c r="T60" s="15">
        <f>+[1]SANTILLANA!AD74</f>
        <v>179.327627385673</v>
      </c>
      <c r="U60" s="16">
        <f t="shared" si="18"/>
        <v>-6.732034741463087</v>
      </c>
      <c r="X60" s="14">
        <f>+[1]SANTILLANA!AG74</f>
        <v>18.678888077194017</v>
      </c>
      <c r="Y60" s="15">
        <f>+[1]SANTILLANA!AH74</f>
        <v>15.434212022760022</v>
      </c>
      <c r="Z60" s="16">
        <f t="shared" si="19"/>
        <v>21.022622014322739</v>
      </c>
      <c r="AD60" s="38" t="str">
        <f>+IF($B$3="esp","Otros","Others")</f>
        <v>Others</v>
      </c>
      <c r="AE60" s="22"/>
      <c r="AF60" s="23">
        <f>+[1]RADIO!AC60</f>
        <v>-0.15107154855132876</v>
      </c>
      <c r="AG60" s="24">
        <f>+[1]RADIO!AD60</f>
        <v>-0.13917777358329886</v>
      </c>
      <c r="AH60" s="25">
        <f t="shared" si="22"/>
        <v>-8.5457430894390587</v>
      </c>
      <c r="AI60" s="1"/>
      <c r="AK60" s="23">
        <f>+[1]RADIO!AG60</f>
        <v>-3.5094998709155334E-3</v>
      </c>
      <c r="AL60" s="24">
        <f>+[1]RADIO!AH60</f>
        <v>-4.0932548855806772E-2</v>
      </c>
      <c r="AM60" s="25">
        <f t="shared" si="23"/>
        <v>91.426138930955744</v>
      </c>
      <c r="AN60" s="1"/>
      <c r="AQ60" s="1"/>
      <c r="AR60" s="1"/>
      <c r="AS60" s="1"/>
      <c r="AT60" s="1"/>
      <c r="AU60" s="1"/>
      <c r="AX60" s="1"/>
      <c r="AY60" s="1"/>
      <c r="AZ60" s="1"/>
      <c r="BA60" s="1"/>
    </row>
    <row r="61" spans="4:65" ht="15" customHeight="1">
      <c r="D61" s="17" t="str">
        <f>+IF($B$3="esp","España","Spain")</f>
        <v>Spain</v>
      </c>
      <c r="F61" s="18">
        <f>+[1]GRUPO!AC75</f>
        <v>49.010118199684975</v>
      </c>
      <c r="G61" s="19">
        <f>+[1]GRUPO!AD75</f>
        <v>33.680840396976187</v>
      </c>
      <c r="H61" s="20">
        <f t="shared" si="16"/>
        <v>45.513347119702594</v>
      </c>
      <c r="K61" s="18">
        <f>+[1]GRUPO!AG75</f>
        <v>-7.6224613903125302</v>
      </c>
      <c r="L61" s="19">
        <f>+[1]GRUPO!AH75</f>
        <v>-31.289219439999492</v>
      </c>
      <c r="M61" s="20">
        <f t="shared" si="17"/>
        <v>75.638697523505073</v>
      </c>
      <c r="Q61" s="17" t="str">
        <f>+IF($B$3="esp","España","Spain")</f>
        <v>Spain</v>
      </c>
      <c r="S61" s="18">
        <f>+[1]SANTILLANA!AC75</f>
        <v>19.531645581354951</v>
      </c>
      <c r="T61" s="19">
        <f>+[1]SANTILLANA!AD75</f>
        <v>21.745420546975708</v>
      </c>
      <c r="U61" s="20">
        <f t="shared" si="18"/>
        <v>-10.18041918682802</v>
      </c>
      <c r="X61" s="18">
        <f>+[1]SANTILLANA!AG75</f>
        <v>-31.283848318644758</v>
      </c>
      <c r="Y61" s="19">
        <f>+[1]SANTILLANA!AH75</f>
        <v>-38.480683279999539</v>
      </c>
      <c r="Z61" s="20">
        <f t="shared" si="19"/>
        <v>18.702461463555561</v>
      </c>
      <c r="AD61" s="17" t="str">
        <f>+IF($B$3="esp","Otros","Others")</f>
        <v>Others</v>
      </c>
      <c r="AF61" s="18">
        <f>+[1]RADIO!AC61</f>
        <v>29.96240550431105</v>
      </c>
      <c r="AG61" s="19">
        <f>+[1]RADIO!AD61</f>
        <v>30.473074278636005</v>
      </c>
      <c r="AH61" s="20">
        <f t="shared" si="22"/>
        <v>-1.6758032670270282</v>
      </c>
      <c r="AI61" s="13"/>
      <c r="AK61" s="18">
        <f>+[1]RADIO!AG61</f>
        <v>9.0069205534820469</v>
      </c>
      <c r="AL61" s="19">
        <f>+[1]RADIO!AH61</f>
        <v>7.4295908535719946</v>
      </c>
      <c r="AM61" s="20">
        <f t="shared" si="23"/>
        <v>21.230370971931848</v>
      </c>
      <c r="AN61" s="13"/>
      <c r="BA61" s="13"/>
    </row>
    <row r="62" spans="4:65" ht="15" customHeight="1">
      <c r="D62" s="17" t="str">
        <f>+IF($B$3="esp","Internacional","International")</f>
        <v>International</v>
      </c>
      <c r="F62" s="18">
        <f>+[1]GRUPO!AC76</f>
        <v>203.95815937731601</v>
      </c>
      <c r="G62" s="19">
        <f>+[1]GRUPO!AD76</f>
        <v>214.50083563410783</v>
      </c>
      <c r="H62" s="20">
        <f t="shared" si="16"/>
        <v>-4.9149814384757704</v>
      </c>
      <c r="K62" s="18">
        <f>+[1]GRUPO!AG76</f>
        <v>70.733366303885532</v>
      </c>
      <c r="L62" s="19">
        <f>+[1]GRUPO!AH76</f>
        <v>78.087554172487501</v>
      </c>
      <c r="M62" s="20">
        <f t="shared" si="17"/>
        <v>-9.417874521152644</v>
      </c>
      <c r="Q62" s="17" t="str">
        <f>+IF($B$3="esp","Internacional","International")</f>
        <v>International</v>
      </c>
      <c r="S62" s="18">
        <f>+[1]SANTILLANA!AC76</f>
        <v>147.72358362767307</v>
      </c>
      <c r="T62" s="19">
        <f>+[1]SANTILLANA!AD76</f>
        <v>157.58220683869729</v>
      </c>
      <c r="U62" s="20">
        <f t="shared" si="18"/>
        <v>-6.2561779079002289</v>
      </c>
      <c r="X62" s="18">
        <f>+[1]SANTILLANA!AG76</f>
        <v>49.962736395838775</v>
      </c>
      <c r="Y62" s="19">
        <f>+[1]SANTILLANA!AH76</f>
        <v>53.914895302759561</v>
      </c>
      <c r="Z62" s="20">
        <f t="shared" si="19"/>
        <v>-7.3303655413358477</v>
      </c>
      <c r="AD62" s="13" t="str">
        <f>+IF($B$3="esp","Gastos de Explotación","Operating Expenses")</f>
        <v>Operating Expenses</v>
      </c>
      <c r="AE62" s="13"/>
      <c r="AF62" s="14">
        <f>+[1]RADIO!AC62</f>
        <v>234.67236964832952</v>
      </c>
      <c r="AG62" s="15">
        <f>+[1]RADIO!AD62</f>
        <v>239.31410903682431</v>
      </c>
      <c r="AH62" s="16">
        <f t="shared" si="22"/>
        <v>-1.9396012241720939</v>
      </c>
      <c r="AK62" s="14">
        <f>+[1]RADIO!AG62</f>
        <v>61.873384345284222</v>
      </c>
      <c r="AL62" s="15">
        <f>+[1]RADIO!AH62</f>
        <v>60.609970659846795</v>
      </c>
      <c r="AM62" s="16">
        <f t="shared" si="23"/>
        <v>2.0844980977270469</v>
      </c>
    </row>
    <row r="63" spans="4:65" ht="15" customHeight="1">
      <c r="D63" s="26" t="str">
        <f>+IF($B$3="esp","Portugal","Portugal")</f>
        <v>Portugal</v>
      </c>
      <c r="F63" s="18">
        <f>+[1]GRUPO!AC77</f>
        <v>163.2514160433677</v>
      </c>
      <c r="G63" s="19">
        <f>+[1]GRUPO!AD77</f>
        <v>173.69255514713655</v>
      </c>
      <c r="H63" s="20">
        <f t="shared" si="16"/>
        <v>-6.011276128055151</v>
      </c>
      <c r="K63" s="18">
        <f>+[1]GRUPO!AG77</f>
        <v>54.800029106268511</v>
      </c>
      <c r="L63" s="19">
        <f>+[1]GRUPO!AH77</f>
        <v>60.345758338444611</v>
      </c>
      <c r="M63" s="20">
        <f t="shared" si="17"/>
        <v>-9.1899238403357177</v>
      </c>
      <c r="Q63" s="26" t="str">
        <f>+IF($B$3="esp","Latam","Latam")</f>
        <v>Latam</v>
      </c>
      <c r="S63" s="18">
        <f>+[1]SANTILLANA!AC77</f>
        <v>147.47456962767308</v>
      </c>
      <c r="T63" s="19">
        <f>+[1]SANTILLANA!AD77</f>
        <v>157.66938183869729</v>
      </c>
      <c r="U63" s="20">
        <f t="shared" si="18"/>
        <v>-6.4659429066919003</v>
      </c>
      <c r="X63" s="18">
        <f>+[1]SANTILLANA!AG77</f>
        <v>50.175235395838783</v>
      </c>
      <c r="Y63" s="19">
        <f>+[1]SANTILLANA!AH77</f>
        <v>54.41154830275957</v>
      </c>
      <c r="Z63" s="20">
        <f t="shared" si="19"/>
        <v>-7.7856871180155993</v>
      </c>
      <c r="AD63" s="17" t="str">
        <f>+IF($B$3="esp","España","Spain")</f>
        <v>Spain</v>
      </c>
      <c r="AF63" s="18">
        <f>+[1]RADIO!AC63</f>
        <v>158.06001231999988</v>
      </c>
      <c r="AG63" s="19">
        <f>+[1]RADIO!AD63</f>
        <v>158.2166118599998</v>
      </c>
      <c r="AH63" s="20">
        <f t="shared" si="22"/>
        <v>-9.8977938004693219E-2</v>
      </c>
      <c r="AK63" s="18">
        <f>+[1]RADIO!AG63</f>
        <v>41.761535139999893</v>
      </c>
      <c r="AL63" s="19">
        <f>+[1]RADIO!AH63</f>
        <v>41.282772249999724</v>
      </c>
      <c r="AM63" s="20">
        <f t="shared" si="23"/>
        <v>1.1597159393775269</v>
      </c>
    </row>
    <row r="64" spans="4:65" ht="15" customHeight="1">
      <c r="D64" s="26" t="str">
        <f>+IF($B$3="esp","Latam","Latam")</f>
        <v>Latam</v>
      </c>
      <c r="F64" s="18">
        <f>+[1]GRUPO!AC78</f>
        <v>40.70674333394831</v>
      </c>
      <c r="G64" s="19">
        <f>+[1]GRUPO!AD78</f>
        <v>40.808280486971299</v>
      </c>
      <c r="H64" s="20">
        <f t="shared" si="16"/>
        <v>-0.24881507334131825</v>
      </c>
      <c r="K64" s="18">
        <f>+[1]GRUPO!AG78</f>
        <v>15.933337197617011</v>
      </c>
      <c r="L64" s="19">
        <f>+[1]GRUPO!AH78</f>
        <v>17.741795834042897</v>
      </c>
      <c r="M64" s="20">
        <f t="shared" si="17"/>
        <v>-10.19321072873481</v>
      </c>
      <c r="Q64" s="26" t="str">
        <f>+IF($B$3="esp","Portugal","Portugal")</f>
        <v>Portugal</v>
      </c>
      <c r="S64" s="18">
        <f>+[1]SANTILLANA!AC78</f>
        <v>0.24901400000000001</v>
      </c>
      <c r="T64" s="19">
        <f>+[1]SANTILLANA!AD78</f>
        <v>-8.7175000000000488E-2</v>
      </c>
      <c r="U64" s="20" t="str">
        <f t="shared" si="18"/>
        <v>---</v>
      </c>
      <c r="X64" s="18">
        <f>+[1]SANTILLANA!AG78</f>
        <v>-0.21249900000000099</v>
      </c>
      <c r="Y64" s="19">
        <f>+[1]SANTILLANA!AH78</f>
        <v>-0.49665300000000145</v>
      </c>
      <c r="Z64" s="20">
        <f t="shared" si="19"/>
        <v>57.213789104263867</v>
      </c>
      <c r="AD64" s="17" t="str">
        <f>+IF($B$3="esp","Latam","Latam")</f>
        <v>Latam</v>
      </c>
      <c r="AF64" s="18">
        <f>+[1]RADIO!AC64</f>
        <v>71.231336321180308</v>
      </c>
      <c r="AG64" s="19">
        <f>+[1]RADIO!AD64</f>
        <v>73.065937280811397</v>
      </c>
      <c r="AH64" s="20">
        <f t="shared" si="22"/>
        <v>-2.510884042423545</v>
      </c>
      <c r="AK64" s="18">
        <f>+[1]RADIO!AG64</f>
        <v>20.764866551827403</v>
      </c>
      <c r="AL64" s="19">
        <f>+[1]RADIO!AH64</f>
        <v>18.076614731879289</v>
      </c>
      <c r="AM64" s="20">
        <f t="shared" si="23"/>
        <v>14.871433948344359</v>
      </c>
    </row>
    <row r="65" spans="4:53" s="22" customFormat="1" ht="15" customHeight="1">
      <c r="D65" s="21" t="str">
        <f>+IF($B$3="esp","Margen EBITDA ","EBITDA Margin")</f>
        <v>EBITDA Margin</v>
      </c>
      <c r="F65" s="27">
        <f>+[1]GRUPO!AC79</f>
        <v>0.19758693778378245</v>
      </c>
      <c r="G65" s="28">
        <f>+[1]GRUPO!AD79</f>
        <v>0.18580094393280061</v>
      </c>
      <c r="H65" s="29"/>
      <c r="K65" s="27">
        <f>+[1]GRUPO!AG79</f>
        <v>0.1906012916166705</v>
      </c>
      <c r="L65" s="28">
        <f>+[1]GRUPO!AH79</f>
        <v>0.1430476503626624</v>
      </c>
      <c r="M65" s="29"/>
      <c r="Q65" s="21" t="str">
        <f>+IF($B$3="esp","Margen EBITDA ","EBITDA Margin")</f>
        <v>EBITDA Margin</v>
      </c>
      <c r="S65" s="27">
        <f>+[1]SANTILLANA!AC79</f>
        <v>0.27850697187839651</v>
      </c>
      <c r="T65" s="28">
        <f>+[1]SANTILLANA!AD79</f>
        <v>0.27328079745636163</v>
      </c>
      <c r="U65" s="29"/>
      <c r="X65" s="27">
        <f>+[1]SANTILLANA!AG79</f>
        <v>0.14050173394736301</v>
      </c>
      <c r="Y65" s="28">
        <f>+[1]SANTILLANA!AH79</f>
        <v>0.1155310283308766</v>
      </c>
      <c r="Z65" s="29"/>
      <c r="AD65" s="17" t="str">
        <f>+IF($B$3="esp","Música","Music")</f>
        <v>Music</v>
      </c>
      <c r="AE65" s="1"/>
      <c r="AF65" s="18">
        <f>+[1]RADIO!AC65</f>
        <v>14.548858948960691</v>
      </c>
      <c r="AG65" s="19">
        <f>+[1]RADIO!AD65</f>
        <v>17.617776317017139</v>
      </c>
      <c r="AH65" s="20">
        <f t="shared" si="22"/>
        <v>-17.419436555634768</v>
      </c>
      <c r="AI65" s="1"/>
      <c r="AK65" s="18">
        <f>+[1]RADIO!AG65</f>
        <v>2.2913049533363221</v>
      </c>
      <c r="AL65" s="19">
        <f>+[1]RADIO!AH65</f>
        <v>4.1388509231696169</v>
      </c>
      <c r="AM65" s="20">
        <f t="shared" si="23"/>
        <v>-44.639104044327503</v>
      </c>
      <c r="AN65" s="1"/>
      <c r="BA65" s="1"/>
    </row>
    <row r="66" spans="4:53" s="13" customFormat="1" ht="15" customHeight="1">
      <c r="D66" s="13" t="str">
        <f>+IF($B$3="esp","EBIT","EBIT")</f>
        <v>EBIT</v>
      </c>
      <c r="F66" s="14">
        <f>+[1]GRUPO!AC80</f>
        <v>85.328178512892094</v>
      </c>
      <c r="G66" s="15">
        <f>+[1]GRUPO!AD80</f>
        <v>52.640916778721468</v>
      </c>
      <c r="H66" s="16">
        <f>IF(G66=0,"---",IF(OR(ABS((F66-G66)/ABS(G66))&gt;2,(F66*G66)&lt;0),"---",IF(G66="0","---",((F66-G66)/ABS(G66))*100)))</f>
        <v>62.094780513745697</v>
      </c>
      <c r="K66" s="14">
        <f>+[1]GRUPO!AG80</f>
        <v>-33.441163530707939</v>
      </c>
      <c r="L66" s="15">
        <f>+[1]GRUPO!AH80</f>
        <v>6.2630934220744052</v>
      </c>
      <c r="M66" s="16" t="str">
        <f>IF(L66=0,"---",IF(OR(ABS((K66-L66)/ABS(L66))&gt;2,(K66*L66)&lt;0),"---",IF(L66="0","---",((K66-L66)/ABS(L66))*100)))</f>
        <v>---</v>
      </c>
      <c r="Q66" s="13" t="str">
        <f>+IF($B$3="esp","EBIT","EBIT")</f>
        <v>EBIT</v>
      </c>
      <c r="S66" s="14">
        <f>+[1]SANTILLANA!AC80</f>
        <v>104.04308265610199</v>
      </c>
      <c r="T66" s="15">
        <f>+[1]SANTILLANA!AD80</f>
        <v>110.192803159823</v>
      </c>
      <c r="U66" s="16">
        <f>IF(T66=0,"---",IF(OR(ABS((S66-T66)/ABS(T66))&gt;2,(S66*T66)&lt;0),"---",IF(T66="0","---",((S66-T66)/ABS(T66))*100)))</f>
        <v>-5.580873094589939</v>
      </c>
      <c r="X66" s="14">
        <f>+[1]SANTILLANA!AG80</f>
        <v>9.0984881621784837</v>
      </c>
      <c r="Y66" s="15">
        <f>+[1]SANTILLANA!AH80</f>
        <v>5.9156186664639989</v>
      </c>
      <c r="Z66" s="16">
        <f>IF(Y66=0,"---",IF(OR(ABS((X66-Y66)/ABS(Y66))&gt;2,(X66*Y66)&lt;0),"---",IF(Y66="0","---",((X66-Y66)/ABS(Y66))*100)))</f>
        <v>53.804507612337574</v>
      </c>
      <c r="AD66" s="17" t="str">
        <f>+IF($B$3="esp","Ajustes y Otros","Adjustments &amp; others")</f>
        <v>Adjustments &amp; others</v>
      </c>
      <c r="AE66" s="1"/>
      <c r="AF66" s="18">
        <f>+[1]RADIO!AC66</f>
        <v>-9.1678379418113618</v>
      </c>
      <c r="AG66" s="19">
        <f>+[1]RADIO!AD66</f>
        <v>-9.5862164210040319</v>
      </c>
      <c r="AH66" s="20">
        <f t="shared" si="22"/>
        <v>4.3643754826562784</v>
      </c>
      <c r="AK66" s="18">
        <f>+[1]RADIO!AG66</f>
        <v>-2.9443222998793956</v>
      </c>
      <c r="AL66" s="19">
        <f>+[1]RADIO!AH66</f>
        <v>-2.8882672452018348</v>
      </c>
      <c r="AM66" s="20">
        <f t="shared" si="23"/>
        <v>-1.9407849038444402</v>
      </c>
    </row>
    <row r="67" spans="4:53" ht="15" customHeight="1">
      <c r="D67" s="17" t="str">
        <f>+IF($B$3="esp","España","Spain")</f>
        <v>Spain</v>
      </c>
      <c r="F67" s="18">
        <f>+[1]GRUPO!AC81</f>
        <v>-55.687274290314946</v>
      </c>
      <c r="G67" s="19">
        <f>+[1]GRUPO!AD81</f>
        <v>-96.105159096399206</v>
      </c>
      <c r="H67" s="20">
        <f>IF(G67=0,"---",IF(OR(ABS((F67-G67)/ABS(G67))&gt;2,(F67*G67)&lt;0),"---",IF(G67="0","---",((F67-G67)/ABS(G67))*100)))</f>
        <v>42.055895007200093</v>
      </c>
      <c r="K67" s="18">
        <f>+[1]GRUPO!AG81</f>
        <v>-77.917213300312596</v>
      </c>
      <c r="L67" s="19">
        <f>+[1]GRUPO!AH81</f>
        <v>-45.992348549999811</v>
      </c>
      <c r="M67" s="20">
        <f>IF(L67=0,"---",IF(OR(ABS((K67-L67)/ABS(L67))&gt;2,(K67*L67)&lt;0),"---",IF(L67="0","---",((K67-L67)/ABS(L67))*100)))</f>
        <v>-69.413425834530287</v>
      </c>
      <c r="Q67" s="17" t="str">
        <f>+IF($B$3="esp","España","Spain")</f>
        <v>Spain</v>
      </c>
      <c r="S67" s="18">
        <f>+[1]SANTILLANA!AC81</f>
        <v>4.5075296613550648</v>
      </c>
      <c r="T67" s="19">
        <f>+[1]SANTILLANA!AD81</f>
        <v>4.1364912669760514</v>
      </c>
      <c r="U67" s="20">
        <f>IF(T67=0,"---",IF(OR(ABS((S67-T67)/ABS(T67))&gt;2,(S67*T67)&lt;0),"---",IF(T67="0","---",((S67-T67)/ABS(T67))*100)))</f>
        <v>8.9698822125220659</v>
      </c>
      <c r="X67" s="18">
        <f>+[1]SANTILLANA!AG81</f>
        <v>-21.745731518644575</v>
      </c>
      <c r="Y67" s="19">
        <f>+[1]SANTILLANA!AH81</f>
        <v>-27.157973459999567</v>
      </c>
      <c r="Z67" s="20">
        <f>IF(Y67=0,"---",IF(OR(ABS((X67-Y67)/ABS(Y67))&gt;2,(X67*Y67)&lt;0),"---",IF(Y67="0","---",((X67-Y67)/ABS(Y67))*100)))</f>
        <v>19.928740078218922</v>
      </c>
      <c r="AD67" s="13" t="str">
        <f>+IF($B$3="esp","EBITDA","EBITDA")</f>
        <v>EBITDA</v>
      </c>
      <c r="AE67" s="13"/>
      <c r="AF67" s="14">
        <f>+[1]RADIO!AC67</f>
        <v>52.9072481954735</v>
      </c>
      <c r="AG67" s="15">
        <f>+[1]RADIO!AD67</f>
        <v>41.3523095926707</v>
      </c>
      <c r="AH67" s="16">
        <f t="shared" si="22"/>
        <v>27.942668055597075</v>
      </c>
      <c r="AK67" s="14">
        <f>+[1]RADIO!AG67</f>
        <v>20.9290261027738</v>
      </c>
      <c r="AL67" s="15">
        <f>+[1]RADIO!AH67</f>
        <v>17.235411319299203</v>
      </c>
      <c r="AM67" s="16">
        <f t="shared" si="23"/>
        <v>21.430383731769165</v>
      </c>
    </row>
    <row r="68" spans="4:53" ht="15" customHeight="1">
      <c r="D68" s="17" t="str">
        <f>+IF($B$3="esp","Internacional","International")</f>
        <v>International</v>
      </c>
      <c r="F68" s="18">
        <f>+[1]GRUPO!AC82</f>
        <v>141.01545280320704</v>
      </c>
      <c r="G68" s="19">
        <f>+[1]GRUPO!AD82</f>
        <v>148.74607587512068</v>
      </c>
      <c r="H68" s="20">
        <f>IF(G68=0,"---",IF(OR(ABS((F68-G68)/ABS(G68))&gt;2,(F68*G68)&lt;0),"---",IF(G68="0","---",((F68-G68)/ABS(G68))*100)))</f>
        <v>-5.1971946328210112</v>
      </c>
      <c r="K68" s="18">
        <f>+[1]GRUPO!AG82</f>
        <v>44.476049769604657</v>
      </c>
      <c r="L68" s="19">
        <f>+[1]GRUPO!AH82</f>
        <v>52.255441972074223</v>
      </c>
      <c r="M68" s="20">
        <f>IF(L68=0,"---",IF(OR(ABS((K68-L68)/ABS(L68))&gt;2,(K68*L68)&lt;0),"---",IF(L68="0","---",((K68-L68)/ABS(L68))*100)))</f>
        <v>-14.887238360029457</v>
      </c>
      <c r="Q68" s="17" t="str">
        <f>+IF($B$3="esp","Internacional","International")</f>
        <v>International</v>
      </c>
      <c r="S68" s="18">
        <f>+[1]SANTILLANA!AC82</f>
        <v>99.535552994746922</v>
      </c>
      <c r="T68" s="19">
        <f>+[1]SANTILLANA!AD82</f>
        <v>106.05631189284695</v>
      </c>
      <c r="U68" s="20">
        <f>IF(T68=0,"---",IF(OR(ABS((S68-T68)/ABS(T68))&gt;2,(S68*T68)&lt;0),"---",IF(T68="0","---",((S68-T68)/ABS(T68))*100)))</f>
        <v>-6.1483930392452431</v>
      </c>
      <c r="X68" s="18">
        <f>+[1]SANTILLANA!AG82</f>
        <v>30.844219680823059</v>
      </c>
      <c r="Y68" s="19">
        <f>+[1]SANTILLANA!AH82</f>
        <v>33.073592126463566</v>
      </c>
      <c r="Z68" s="20">
        <f>IF(Y68=0,"---",IF(OR(ABS((X68-Y68)/ABS(Y68))&gt;2,(X68*Y68)&lt;0),"---",IF(Y68="0","---",((X68-Y68)/ABS(Y68))*100)))</f>
        <v>-6.7406420116570676</v>
      </c>
      <c r="AD68" s="17" t="str">
        <f>+IF($B$3="esp","España","Spain")</f>
        <v>Spain</v>
      </c>
      <c r="AF68" s="18">
        <f>+[1]RADIO!AC68</f>
        <v>31.086117908330099</v>
      </c>
      <c r="AG68" s="19">
        <f>+[1]RADIO!AD68</f>
        <v>21.667378890000208</v>
      </c>
      <c r="AH68" s="20">
        <f t="shared" si="22"/>
        <v>43.469674233078408</v>
      </c>
      <c r="AK68" s="18">
        <f>+[1]RADIO!AG68</f>
        <v>13.574757458330097</v>
      </c>
      <c r="AL68" s="19">
        <f>+[1]RADIO!AH68</f>
        <v>9.5663743100003096</v>
      </c>
      <c r="AM68" s="20">
        <f t="shared" si="23"/>
        <v>41.900755902260514</v>
      </c>
    </row>
    <row r="69" spans="4:53" ht="15" customHeight="1">
      <c r="D69" s="26" t="str">
        <f>+IF($B$3="esp","Portugal","Portugal")</f>
        <v>Portugal</v>
      </c>
      <c r="F69" s="18">
        <f>+[1]GRUPO!AC83</f>
        <v>107.28967097925874</v>
      </c>
      <c r="G69" s="19">
        <f>+[1]GRUPO!AD83</f>
        <v>115.81733737814938</v>
      </c>
      <c r="H69" s="20">
        <f>IF(G69=0,"---",IF(OR(ABS((F69-G69)/ABS(G69))&gt;2,(F69*G69)&lt;0),"---",IF(G69="0","---",((F69-G69)/ABS(G69))*100)))</f>
        <v>-7.3630309519613411</v>
      </c>
      <c r="K69" s="18">
        <f>+[1]GRUPO!AG83</f>
        <v>30.576780421987664</v>
      </c>
      <c r="L69" s="19">
        <f>+[1]GRUPO!AH83</f>
        <v>37.135315988031323</v>
      </c>
      <c r="M69" s="20">
        <f>IF(L69=0,"---",IF(OR(ABS((K69-L69)/ABS(L69))&gt;2,(K69*L69)&lt;0),"---",IF(L69="0","---",((K69-L69)/ABS(L69))*100)))</f>
        <v>-17.661181523694232</v>
      </c>
      <c r="Q69" s="26" t="str">
        <f>+IF($B$3="esp","Latam","Latam")</f>
        <v>Latam</v>
      </c>
      <c r="S69" s="18">
        <f>+[1]SANTILLANA!AC83</f>
        <v>99.707601994746923</v>
      </c>
      <c r="T69" s="19">
        <f>+[1]SANTILLANA!AD83</f>
        <v>106.94526489284695</v>
      </c>
      <c r="U69" s="20">
        <f>IF(T69=0,"---",IF(OR(ABS((S69-T69)/ABS(T69))&gt;2,(S69*T69)&lt;0),"---",IF(T69="0","---",((S69-T69)/ABS(T69))*100)))</f>
        <v>-6.7676328684133438</v>
      </c>
      <c r="X69" s="18">
        <f>+[1]SANTILLANA!AG83</f>
        <v>31.137613680823065</v>
      </c>
      <c r="Y69" s="19">
        <f>+[1]SANTILLANA!AH83</f>
        <v>33.928976126463567</v>
      </c>
      <c r="Z69" s="20">
        <f>IF(Y69=0,"---",IF(OR(ABS((X69-Y69)/ABS(Y69))&gt;2,(X69*Y69)&lt;0),"---",IF(Y69="0","---",((X69-Y69)/ABS(Y69))*100)))</f>
        <v>-8.227075391948901</v>
      </c>
      <c r="AD69" s="17" t="str">
        <f>+IF($B$3="esp","Latam","Latam")</f>
        <v>Latam</v>
      </c>
      <c r="AF69" s="18">
        <f>+[1]RADIO!AC69</f>
        <v>20.555362387736</v>
      </c>
      <c r="AG69" s="19">
        <f>+[1]RADIO!AD69</f>
        <v>21.532908511175702</v>
      </c>
      <c r="AH69" s="20">
        <f t="shared" si="22"/>
        <v>-4.5397774431278028</v>
      </c>
      <c r="AK69" s="18">
        <f>+[1]RADIO!AG69</f>
        <v>6.1631119548120008</v>
      </c>
      <c r="AL69" s="19">
        <f>+[1]RADIO!AH69</f>
        <v>7.9952464649852004</v>
      </c>
      <c r="AM69" s="20">
        <f t="shared" si="23"/>
        <v>-22.915297460771786</v>
      </c>
    </row>
    <row r="70" spans="4:53" ht="15" customHeight="1">
      <c r="D70" s="26" t="str">
        <f>+IF($B$3="esp","Latam","Latam")</f>
        <v>Latam</v>
      </c>
      <c r="F70" s="18">
        <f>+[1]GRUPO!AC84</f>
        <v>33.725781823948303</v>
      </c>
      <c r="G70" s="19">
        <f>+[1]GRUPO!AD84</f>
        <v>32.928738496971299</v>
      </c>
      <c r="H70" s="20">
        <f>IF(G70=0,"---",IF(OR(ABS((F70-G70)/ABS(G70))&gt;2,(F70*G70)&lt;0),"---",IF(G70="0","---",((F70-G70)/ABS(G70))*100)))</f>
        <v>2.4205097533581923</v>
      </c>
      <c r="K70" s="18">
        <f>+[1]GRUPO!AG84</f>
        <v>13.899269347617</v>
      </c>
      <c r="L70" s="19">
        <f>+[1]GRUPO!AH84</f>
        <v>15.120125984042897</v>
      </c>
      <c r="M70" s="20">
        <f>IF(L70=0,"---",IF(OR(ABS((K70-L70)/ABS(L70))&gt;2,(K70*L70)&lt;0),"---",IF(L70="0","---",((K70-L70)/ABS(L70))*100)))</f>
        <v>-8.0743813756203728</v>
      </c>
      <c r="Q70" s="26" t="str">
        <f>+IF($B$3="esp","Portugal","Portugal")</f>
        <v>Portugal</v>
      </c>
      <c r="S70" s="18">
        <f>+[1]SANTILLANA!AC84</f>
        <v>-0.17204900000000001</v>
      </c>
      <c r="T70" s="19">
        <f>+[1]SANTILLANA!AD84</f>
        <v>-0.88895300000000099</v>
      </c>
      <c r="U70" s="20">
        <f>IF(T70=0,"---",IF(OR(ABS((S70-T70)/ABS(T70))&gt;2,(S70*T70)&lt;0),"---",IF(T70="0","---",((S70-T70)/ABS(T70))*100)))</f>
        <v>80.645883415658673</v>
      </c>
      <c r="X70" s="18">
        <f>+[1]SANTILLANA!AG84</f>
        <v>-0.29339399999999999</v>
      </c>
      <c r="Y70" s="19">
        <f>+[1]SANTILLANA!AH84</f>
        <v>-0.85538400000000214</v>
      </c>
      <c r="Z70" s="20">
        <f>IF(Y70=0,"---",IF(OR(ABS((X70-Y70)/ABS(Y70))&gt;2,(X70*Y70)&lt;0),"---",IF(Y70="0","---",((X70-Y70)/ABS(Y70))*100)))</f>
        <v>65.700317050587898</v>
      </c>
      <c r="AD70" s="17" t="str">
        <f>+IF($B$3="esp","Música","Music")</f>
        <v>Music</v>
      </c>
      <c r="AF70" s="18">
        <f>+[1]RADIO!AC70</f>
        <v>0.12177187940718298</v>
      </c>
      <c r="AG70" s="19">
        <f>+[1]RADIO!AD70</f>
        <v>-1.8479778085049399</v>
      </c>
      <c r="AH70" s="20" t="str">
        <f t="shared" si="22"/>
        <v>---</v>
      </c>
      <c r="AK70" s="18">
        <f>+[1]RADIO!AG70</f>
        <v>4.7160669631750779E-2</v>
      </c>
      <c r="AL70" s="19">
        <f>+[1]RADIO!AH70</f>
        <v>-0.32620945568631976</v>
      </c>
      <c r="AM70" s="20" t="str">
        <f t="shared" si="23"/>
        <v>---</v>
      </c>
    </row>
    <row r="71" spans="4:53" s="22" customFormat="1" ht="15" customHeight="1">
      <c r="D71" s="21" t="str">
        <f>+IF($B$3="esp","Margen EBIT ","EBIT Margin")</f>
        <v>EBIT Margin</v>
      </c>
      <c r="F71" s="27">
        <f>+[1]GRUPO!AC85</f>
        <v>6.6647619458524238E-2</v>
      </c>
      <c r="G71" s="28">
        <f>+[1]GRUPO!AD85</f>
        <v>3.9409565538389882E-2</v>
      </c>
      <c r="H71" s="29"/>
      <c r="K71" s="27">
        <f>+[1]GRUPO!AG85</f>
        <v>-0.10099568324754624</v>
      </c>
      <c r="L71" s="28">
        <f>+[1]GRUPO!AH85</f>
        <v>1.9144287999795655E-2</v>
      </c>
      <c r="M71" s="29"/>
      <c r="Q71" s="21" t="str">
        <f>+IF($B$3="esp","Margen EBIT ","EBIT Margin")</f>
        <v>EBIT Margin</v>
      </c>
      <c r="S71" s="27">
        <f>+[1]SANTILLANA!AC85</f>
        <v>0.17324853777355373</v>
      </c>
      <c r="T71" s="28">
        <f>+[1]SANTILLANA!AD85</f>
        <v>0.16792491798658668</v>
      </c>
      <c r="U71" s="29"/>
      <c r="X71" s="27">
        <f>+[1]SANTILLANA!AG85</f>
        <v>6.8438407993163058E-2</v>
      </c>
      <c r="Y71" s="28">
        <f>+[1]SANTILLANA!AH85</f>
        <v>4.4280686745917786E-2</v>
      </c>
      <c r="Z71" s="29"/>
      <c r="AD71" s="17" t="str">
        <f>+IF($B$3="esp","Ajustes y Otros","Adjustments &amp; others")</f>
        <v>Adjustments &amp; others</v>
      </c>
      <c r="AE71" s="1"/>
      <c r="AF71" s="18">
        <f>+[1]RADIO!AC71</f>
        <v>1.1439960200002175</v>
      </c>
      <c r="AG71" s="19">
        <f>+[1]RADIO!AD71</f>
        <v>-2.6978419498391304E-13</v>
      </c>
      <c r="AH71" s="20" t="str">
        <f t="shared" si="22"/>
        <v>---</v>
      </c>
      <c r="AK71" s="18">
        <f>+[1]RADIO!AG71</f>
        <v>1.1439960199999515</v>
      </c>
      <c r="AL71" s="19">
        <f>+[1]RADIO!AH71</f>
        <v>1.2878587085651816E-14</v>
      </c>
      <c r="AM71" s="20" t="str">
        <f t="shared" si="23"/>
        <v>---</v>
      </c>
    </row>
    <row r="72" spans="4:53" s="13" customFormat="1" ht="15" customHeight="1">
      <c r="D72" s="13" t="str">
        <f>+IF($B$3="esp","Resultado Financiero","Financial Result")</f>
        <v>Financial Result</v>
      </c>
      <c r="F72" s="14">
        <f>+[1]GRUPO!AC86</f>
        <v>-85.579592177397004</v>
      </c>
      <c r="G72" s="15">
        <f>+[1]GRUPO!AD86</f>
        <v>-69.151449704683998</v>
      </c>
      <c r="H72" s="16">
        <f t="shared" ref="H72:H80" si="24">IF(G72=0,"---",IF(OR(ABS((F72-G72)/ABS(G72))&gt;2,(F72*G72)&lt;0),"---",IF(G72="0","---",((F72-G72)/ABS(G72))*100)))</f>
        <v>-23.756757874014951</v>
      </c>
      <c r="K72" s="14">
        <f>+[1]GRUPO!AG86</f>
        <v>-21.069146674855403</v>
      </c>
      <c r="L72" s="15">
        <f>+[1]GRUPO!AH86</f>
        <v>-28.731669632776196</v>
      </c>
      <c r="M72" s="16">
        <f t="shared" ref="M72:M80" si="25">IF(L72=0,"---",IF(OR(ABS((K72-L72)/ABS(L72))&gt;2,(K72*L72)&lt;0),"---",IF(L72="0","---",((K72-L72)/ABS(L72))*100)))</f>
        <v>26.66925749828205</v>
      </c>
      <c r="Q72" s="1"/>
      <c r="R72" s="1"/>
      <c r="S72" s="1"/>
      <c r="T72" s="1"/>
      <c r="U72" s="1"/>
      <c r="X72" s="1"/>
      <c r="Y72" s="1"/>
      <c r="Z72" s="1"/>
      <c r="AD72" s="21" t="str">
        <f>+IF($B$3="esp","Margen EBITDA ","EBITDA Margin")</f>
        <v>EBITDA Margin</v>
      </c>
      <c r="AE72" s="22"/>
      <c r="AF72" s="27">
        <f>+[1]RADIO!AC72</f>
        <v>0.18397426282209514</v>
      </c>
      <c r="AG72" s="28">
        <f>+[1]RADIO!AD72</f>
        <v>0.14733615013365556</v>
      </c>
      <c r="AH72" s="29"/>
      <c r="AK72" s="27">
        <f>+[1]RADIO!AG72</f>
        <v>0.2527586575019164</v>
      </c>
      <c r="AL72" s="28">
        <f>+[1]RADIO!AH72</f>
        <v>0.22140570039101867</v>
      </c>
      <c r="AM72" s="29"/>
    </row>
    <row r="73" spans="4:53" ht="15" customHeight="1">
      <c r="D73" s="17" t="str">
        <f>+IF($B$3="esp","Gastos por intereses de financiación","Interests on debt")</f>
        <v>Interests on debt</v>
      </c>
      <c r="F73" s="18">
        <f>+[1]GRUPO!AC87</f>
        <v>-52.985602591597598</v>
      </c>
      <c r="G73" s="19">
        <f>+[1]GRUPO!AD87</f>
        <v>-52.793500243514103</v>
      </c>
      <c r="H73" s="20">
        <f t="shared" si="24"/>
        <v>-0.3638749982429802</v>
      </c>
      <c r="K73" s="18">
        <f>+[1]GRUPO!AG87</f>
        <v>-13.682407743213801</v>
      </c>
      <c r="L73" s="19">
        <f>+[1]GRUPO!AH87</f>
        <v>-12.814852814476502</v>
      </c>
      <c r="M73" s="20">
        <f t="shared" si="25"/>
        <v>-6.7699172303973061</v>
      </c>
      <c r="AD73" s="13" t="str">
        <f>+IF($B$3="esp","EBIT","EBIT")</f>
        <v>EBIT</v>
      </c>
      <c r="AE73" s="13"/>
      <c r="AF73" s="14">
        <f>+[1]RADIO!AC73</f>
        <v>43.093025044143502</v>
      </c>
      <c r="AG73" s="15">
        <f>+[1]RADIO!AD73</f>
        <v>28.415233759236664</v>
      </c>
      <c r="AH73" s="16">
        <f>IF(AG73=0,"---",IF(OR(ABS((AF73-AG73)/ABS(AG73))&gt;2,(AF73*AG73)&lt;0),"---",IF(AG73="0","---",((AF73-AG73)/ABS(AG73))*100)))</f>
        <v>51.654656123093382</v>
      </c>
      <c r="AK73" s="14">
        <f>+[1]RADIO!AG73</f>
        <v>18.400775795474303</v>
      </c>
      <c r="AL73" s="15">
        <f>+[1]RADIO!AH73</f>
        <v>12.653451202159697</v>
      </c>
      <c r="AM73" s="16">
        <f>IF(AL73=0,"---",IF(OR(ABS((AK73-AL73)/ABS(AL73))&gt;2,(AK73*AL73)&lt;0),"---",IF(AL73="0","---",((AK73-AL73)/ABS(AL73))*100)))</f>
        <v>45.421004131534083</v>
      </c>
    </row>
    <row r="74" spans="4:53" ht="15" customHeight="1">
      <c r="D74" s="17" t="str">
        <f>+IF($B$3="esp","Otros resultados financieros","Other financial results")</f>
        <v>Other financial results</v>
      </c>
      <c r="F74" s="18">
        <f>+[1]GRUPO!AC88</f>
        <v>-32.593989585799406</v>
      </c>
      <c r="G74" s="19">
        <f>+[1]GRUPO!AD88</f>
        <v>-16.357949461169895</v>
      </c>
      <c r="H74" s="20">
        <f t="shared" si="24"/>
        <v>-99.254739496354546</v>
      </c>
      <c r="K74" s="18">
        <f>+[1]GRUPO!AG88</f>
        <v>-7.3867389316416023</v>
      </c>
      <c r="L74" s="19">
        <f>+[1]GRUPO!AH88</f>
        <v>-15.916816818299694</v>
      </c>
      <c r="M74" s="20">
        <f t="shared" si="25"/>
        <v>53.591606814567292</v>
      </c>
      <c r="AD74" s="17" t="str">
        <f>+IF($B$3="esp","España","Spain")</f>
        <v>Spain</v>
      </c>
      <c r="AF74" s="18">
        <f>+[1]RADIO!AC74</f>
        <v>24.919812658330098</v>
      </c>
      <c r="AG74" s="19">
        <f>+[1]RADIO!AD74</f>
        <v>15.071721170000398</v>
      </c>
      <c r="AH74" s="20">
        <f>IF(AG74=0,"---",IF(OR(ABS((AF74-AG74)/ABS(AG74))&gt;2,(AF74*AG74)&lt;0),"---",IF(AG74="0","---",((AF74-AG74)/ABS(AG74))*100)))</f>
        <v>65.341518578063244</v>
      </c>
      <c r="AK74" s="18">
        <f>+[1]RADIO!AG74</f>
        <v>11.709868358329997</v>
      </c>
      <c r="AL74" s="19">
        <f>+[1]RADIO!AH74</f>
        <v>7.2404862800004981</v>
      </c>
      <c r="AM74" s="20">
        <f>IF(AL74=0,"---",IF(OR(ABS((AK74-AL74)/ABS(AL74))&gt;2,(AK74*AL74)&lt;0),"---",IF(AL74="0","---",((AK74-AL74)/ABS(AL74))*100)))</f>
        <v>61.727650678307633</v>
      </c>
    </row>
    <row r="75" spans="4:53" s="13" customFormat="1" ht="15" customHeight="1">
      <c r="D75" s="13" t="str">
        <f>+IF($B$3="esp","Resultado puesta en equivalencia","Result from associates")</f>
        <v>Result from associates</v>
      </c>
      <c r="F75" s="14">
        <f>+[1]GRUPO!AC89</f>
        <v>3.8298239088826098</v>
      </c>
      <c r="G75" s="15">
        <f>+[1]GRUPO!AD89</f>
        <v>3.6567800838288198</v>
      </c>
      <c r="H75" s="16">
        <f t="shared" si="24"/>
        <v>4.7321364995131194</v>
      </c>
      <c r="K75" s="14">
        <f>+[1]GRUPO!AG89</f>
        <v>0.76748546965497999</v>
      </c>
      <c r="L75" s="15">
        <f>+[1]GRUPO!AH89</f>
        <v>2.0364633459382997</v>
      </c>
      <c r="M75" s="16">
        <f t="shared" si="25"/>
        <v>-62.312826735343897</v>
      </c>
      <c r="AD75" s="17" t="str">
        <f>+IF($B$3="esp","Latam","Latam")</f>
        <v>Latam</v>
      </c>
      <c r="AE75" s="1"/>
      <c r="AF75" s="18">
        <f>+[1]RADIO!AC75</f>
        <v>16.916292547433699</v>
      </c>
      <c r="AG75" s="19">
        <f>+[1]RADIO!AD75</f>
        <v>15.661629859174965</v>
      </c>
      <c r="AH75" s="20">
        <f>IF(AG75=0,"---",IF(OR(ABS((AF75-AG75)/ABS(AG75))&gt;2,(AF75*AG75)&lt;0),"---",IF(AG75="0","---",((AF75-AG75)/ABS(AG75))*100)))</f>
        <v>8.01106078703374</v>
      </c>
      <c r="AI75" s="1"/>
      <c r="AK75" s="18">
        <f>+[1]RADIO!AG75</f>
        <v>5.1138382484156981</v>
      </c>
      <c r="AL75" s="19">
        <f>+[1]RADIO!AH75</f>
        <v>5.7763814247211993</v>
      </c>
      <c r="AM75" s="20">
        <f>IF(AL75=0,"---",IF(OR(ABS((AK75-AL75)/ABS(AL75))&gt;2,(AK75*AL75)&lt;0),"---",IF(AL75="0","---",((AK75-AL75)/ABS(AL75))*100)))</f>
        <v>-11.469865432881784</v>
      </c>
      <c r="AN75" s="1"/>
      <c r="BA75" s="1"/>
    </row>
    <row r="76" spans="4:53" s="13" customFormat="1" ht="15" customHeight="1">
      <c r="D76" s="13" t="str">
        <f>+IF($B$3="esp","Resultado antes de impuestos","Profit before tax")</f>
        <v>Profit before tax</v>
      </c>
      <c r="F76" s="14">
        <f>+[1]GRUPO!AC90</f>
        <v>3.5784102443777006</v>
      </c>
      <c r="G76" s="15">
        <f>+[1]GRUPO!AD90</f>
        <v>-12.853752842133709</v>
      </c>
      <c r="H76" s="16" t="str">
        <f t="shared" si="24"/>
        <v>---</v>
      </c>
      <c r="K76" s="14">
        <f>+[1]GRUPO!AG90</f>
        <v>-53.742824735908364</v>
      </c>
      <c r="L76" s="15">
        <f>+[1]GRUPO!AH90</f>
        <v>-20.432112864763489</v>
      </c>
      <c r="M76" s="16">
        <f t="shared" si="25"/>
        <v>-163.03116614332808</v>
      </c>
      <c r="AD76" s="17" t="str">
        <f>+IF($B$3="esp","Música","Music")</f>
        <v>Music</v>
      </c>
      <c r="AE76" s="1"/>
      <c r="AF76" s="18">
        <f>+[1]RADIO!AC76</f>
        <v>0.11292601837954999</v>
      </c>
      <c r="AG76" s="19">
        <f>+[1]RADIO!AD76</f>
        <v>-2.5565192699387898</v>
      </c>
      <c r="AH76" s="20" t="str">
        <f>IF(AG76=0,"---",IF(OR(ABS((AF76-AG76)/ABS(AG76))&gt;2,(AF76*AG76)&lt;0),"---",IF(AG76="0","---",((AF76-AG76)/ABS(AG76))*100)))</f>
        <v>---</v>
      </c>
      <c r="AI76" s="1"/>
      <c r="AK76" s="18">
        <f>+[1]RADIO!AG76</f>
        <v>5.2453687285039935E-3</v>
      </c>
      <c r="AL76" s="19">
        <f>+[1]RADIO!AH76</f>
        <v>-0.60181850256194958</v>
      </c>
      <c r="AM76" s="20" t="str">
        <f>IF(AL76=0,"---",IF(OR(ABS((AK76-AL76)/ABS(AL76))&gt;2,(AK76*AL76)&lt;0),"---",IF(AL76="0","---",((AK76-AL76)/ABS(AL76))*100)))</f>
        <v>---</v>
      </c>
      <c r="AN76" s="1"/>
      <c r="BA76" s="1"/>
    </row>
    <row r="77" spans="4:53" ht="15" customHeight="1">
      <c r="D77" s="17" t="str">
        <f>+IF($B$3="esp","Impuesto sobre sociedades","Income tax expense")</f>
        <v>Income tax expense</v>
      </c>
      <c r="F77" s="18">
        <f>+[1]GRUPO!AC91</f>
        <v>240.15153522372029</v>
      </c>
      <c r="G77" s="19">
        <f>+[1]GRUPO!AD91</f>
        <v>61.559345703595817</v>
      </c>
      <c r="H77" s="20" t="str">
        <f t="shared" si="24"/>
        <v>---</v>
      </c>
      <c r="K77" s="18">
        <f>+[1]GRUPO!AG91</f>
        <v>202.92692474052029</v>
      </c>
      <c r="L77" s="19">
        <f>+[1]GRUPO!AH91</f>
        <v>19.408578206328819</v>
      </c>
      <c r="M77" s="20" t="str">
        <f t="shared" si="25"/>
        <v>---</v>
      </c>
      <c r="AD77" s="17" t="str">
        <f>+IF($B$3="esp","Ajustes y Otros","Adjustments &amp; others")</f>
        <v>Adjustments &amp; others</v>
      </c>
      <c r="AF77" s="18">
        <f>+[1]RADIO!AC77</f>
        <v>1.1439938200001551</v>
      </c>
      <c r="AG77" s="19">
        <f>+[1]RADIO!AD77</f>
        <v>0.23840200000008993</v>
      </c>
      <c r="AH77" s="20" t="str">
        <f>IF(AG77=0,"---",IF(OR(ABS((AF77-AG77)/ABS(AG77))&gt;2,(AF77*AG77)&lt;0),"---",IF(AG77="0","---",((AF77-AG77)/ABS(AG77))*100)))</f>
        <v>---</v>
      </c>
      <c r="AI77" s="22"/>
      <c r="AK77" s="18">
        <f>+[1]RADIO!AG77</f>
        <v>1.5718238200001038</v>
      </c>
      <c r="AL77" s="19">
        <f>+[1]RADIO!AH77</f>
        <v>0.2384019999999496</v>
      </c>
      <c r="AM77" s="20" t="str">
        <f>IF(AL77=0,"---",IF(OR(ABS((AK77-AL77)/ABS(AL77))&gt;2,(AK77*AL77)&lt;0),"---",IF(AL77="0","---",((AK77-AL77)/ABS(AL77))*100)))</f>
        <v>---</v>
      </c>
      <c r="AN77" s="22"/>
      <c r="BA77" s="22"/>
    </row>
    <row r="78" spans="4:53" s="13" customFormat="1" ht="15" customHeight="1">
      <c r="D78" s="13" t="str">
        <f>+IF($B$3="esp","Resultado operaciones en discontinuación","Results from discontinued activities")</f>
        <v>Results from discontinued activities</v>
      </c>
      <c r="F78" s="14">
        <f>+[1]GRUPO!AC92</f>
        <v>0</v>
      </c>
      <c r="G78" s="15">
        <f>+[1]GRUPO!AD92</f>
        <v>-0.98472851000000106</v>
      </c>
      <c r="H78" s="16">
        <f t="shared" si="24"/>
        <v>100</v>
      </c>
      <c r="K78" s="14">
        <f>+[1]GRUPO!AG92</f>
        <v>0</v>
      </c>
      <c r="L78" s="15">
        <f>+[1]GRUPO!AH92</f>
        <v>1.4500000005024383E-5</v>
      </c>
      <c r="M78" s="16">
        <f t="shared" si="25"/>
        <v>-100</v>
      </c>
      <c r="AD78" s="21" t="str">
        <f>+IF($B$3="esp","Margen EBIT ","EBIT Margin")</f>
        <v>EBIT Margin</v>
      </c>
      <c r="AE78" s="22"/>
      <c r="AF78" s="27">
        <f>+[1]RADIO!AC78</f>
        <v>0.14984728530917374</v>
      </c>
      <c r="AG78" s="28">
        <f>+AG73/AG56</f>
        <v>0.10124201497988021</v>
      </c>
      <c r="AH78" s="29"/>
      <c r="AK78" s="27">
        <f>+[1]RADIO!AG78</f>
        <v>0.22222512238357015</v>
      </c>
      <c r="AL78" s="28">
        <f>+AL73/AL56</f>
        <v>0.16254594531438527</v>
      </c>
      <c r="AM78" s="29"/>
    </row>
    <row r="79" spans="4:53" s="13" customFormat="1" ht="15" customHeight="1">
      <c r="D79" s="13" t="str">
        <f>+IF($B$3="esp","Resultado atribuido a socios externos","Minority interest")</f>
        <v>Minority interest</v>
      </c>
      <c r="F79" s="14">
        <f>+[1]GRUPO!AC93</f>
        <v>32.7724083772301</v>
      </c>
      <c r="G79" s="15">
        <f>+[1]GRUPO!AD93</f>
        <v>27.1681582724474</v>
      </c>
      <c r="H79" s="16">
        <f t="shared" si="24"/>
        <v>20.628008894023019</v>
      </c>
      <c r="K79" s="14">
        <f>+[1]GRUPO!AG93</f>
        <v>9.7084073170736005</v>
      </c>
      <c r="L79" s="15">
        <f>+[1]GRUPO!AH93</f>
        <v>7.1059425665993992</v>
      </c>
      <c r="M79" s="16">
        <f t="shared" si="25"/>
        <v>36.623779689787582</v>
      </c>
      <c r="AD79" s="1"/>
      <c r="AE79" s="1"/>
      <c r="AF79" s="1"/>
      <c r="AG79" s="1"/>
      <c r="AH79" s="1"/>
      <c r="AI79" s="1"/>
      <c r="AK79" s="1"/>
      <c r="AL79" s="1"/>
      <c r="AM79" s="1"/>
      <c r="AN79" s="1"/>
      <c r="BA79" s="1"/>
    </row>
    <row r="80" spans="4:53" s="13" customFormat="1" ht="15" customHeight="1">
      <c r="D80" s="13" t="str">
        <f>+IF($B$3="esp","Resultado Neto","Net Profit")</f>
        <v>Net Profit</v>
      </c>
      <c r="F80" s="14">
        <f>+[1]GRUPO!AC94</f>
        <v>-269.34553435656738</v>
      </c>
      <c r="G80" s="15">
        <f>+[1]GRUPO!AD94</f>
        <v>-102.56614004480481</v>
      </c>
      <c r="H80" s="16">
        <f t="shared" si="24"/>
        <v>-162.60667920125195</v>
      </c>
      <c r="K80" s="14">
        <f>+[1]GRUPO!AG94</f>
        <v>-266.37815779349808</v>
      </c>
      <c r="L80" s="15">
        <f>+[1]GRUPO!AH94</f>
        <v>-46.946773727692076</v>
      </c>
      <c r="M80" s="16" t="str">
        <f t="shared" si="25"/>
        <v>---</v>
      </c>
    </row>
    <row r="81" spans="4:65">
      <c r="AD81" s="13"/>
      <c r="AE81" s="13"/>
      <c r="AF81" s="13"/>
      <c r="AG81" s="13"/>
      <c r="AH81" s="13"/>
      <c r="AI81" s="13"/>
      <c r="AK81" s="13"/>
      <c r="AL81" s="13"/>
      <c r="AM81" s="13"/>
      <c r="AN81" s="13"/>
      <c r="BA81" s="13"/>
    </row>
    <row r="82" spans="4:65">
      <c r="AD82" s="13"/>
      <c r="AE82" s="13"/>
      <c r="AF82" s="13"/>
      <c r="AG82" s="13"/>
      <c r="AH82" s="13"/>
      <c r="AI82" s="13"/>
      <c r="AK82" s="13"/>
      <c r="AL82" s="13"/>
      <c r="AM82" s="13"/>
      <c r="AN82" s="13"/>
      <c r="BA82" s="13"/>
    </row>
    <row r="83" spans="4:65"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</row>
    <row r="84" spans="4:65">
      <c r="AD84" s="13"/>
      <c r="AE84" s="13"/>
      <c r="AF84" s="13"/>
      <c r="AG84" s="13"/>
      <c r="AH84" s="13"/>
      <c r="AI84" s="13"/>
      <c r="AK84" s="13"/>
      <c r="AL84" s="13"/>
      <c r="AM84" s="13"/>
      <c r="AN84" s="13"/>
      <c r="BA84" s="13"/>
    </row>
    <row r="85" spans="4:65">
      <c r="F85" s="7" t="str">
        <f>+F6</f>
        <v>JANUARY - DECEMBER</v>
      </c>
      <c r="G85" s="8"/>
      <c r="H85" s="8"/>
      <c r="K85" s="7" t="str">
        <f>+K6</f>
        <v>OCTOBER - DECEMBER</v>
      </c>
      <c r="L85" s="8"/>
      <c r="M85" s="8"/>
    </row>
    <row r="87" spans="4:65">
      <c r="D87" s="9" t="str">
        <f>+IF($B$3="esp","Millones de €","€ Millions")</f>
        <v>€ Millions</v>
      </c>
      <c r="F87" s="10">
        <v>2018</v>
      </c>
      <c r="G87" s="10">
        <v>2017</v>
      </c>
      <c r="H87" s="10" t="str">
        <f>+IF($B$3="esp","Var.%","% Chg.")</f>
        <v>% Chg.</v>
      </c>
      <c r="I87" s="13"/>
      <c r="J87" s="13"/>
      <c r="K87" s="10">
        <v>2018</v>
      </c>
      <c r="L87" s="10">
        <v>2017</v>
      </c>
      <c r="M87" s="10" t="str">
        <f>+IF($B$3="esp","Var.%","% Chg.")</f>
        <v>% Chg.</v>
      </c>
      <c r="Q87" s="9" t="str">
        <f>+IF($B$3="esp","Millones de €","€ Millions")</f>
        <v>€ Millions</v>
      </c>
      <c r="S87" s="10">
        <v>2018</v>
      </c>
      <c r="T87" s="10">
        <v>2017</v>
      </c>
      <c r="U87" s="10" t="str">
        <f>+IF($B$3="esp","Var.%","% Chg.")</f>
        <v>% Chg.</v>
      </c>
      <c r="X87" s="10">
        <v>2018</v>
      </c>
      <c r="Y87" s="10">
        <v>2017</v>
      </c>
      <c r="Z87" s="10" t="str">
        <f>+IF($B$3="esp","Var.%","% Chg.")</f>
        <v>% Chg.</v>
      </c>
      <c r="AD87" s="9" t="str">
        <f>+IF($B$3="esp","Millones de €","€ Millions")</f>
        <v>€ Millions</v>
      </c>
      <c r="AF87" s="10">
        <v>2018</v>
      </c>
      <c r="AG87" s="10">
        <v>2017</v>
      </c>
      <c r="AH87" s="10" t="str">
        <f>+IF($B$3="esp","Var.%","% Chg.")</f>
        <v>% Chg.</v>
      </c>
      <c r="AK87" s="10">
        <v>2018</v>
      </c>
      <c r="AL87" s="10">
        <v>2017</v>
      </c>
      <c r="AM87" s="10" t="str">
        <f>+IF($B$3="esp","Var.%","% Chg.")</f>
        <v>% Chg.</v>
      </c>
      <c r="AQ87" s="9" t="str">
        <f>+IF($B$3="esp","Millones de €","€ Millions")</f>
        <v>€ Millions</v>
      </c>
      <c r="AS87" s="10">
        <v>2018</v>
      </c>
      <c r="AT87" s="10">
        <v>2017</v>
      </c>
      <c r="AU87" s="10" t="str">
        <f>+IF($B$3="esp","Var.%","% Chg.")</f>
        <v>% Chg.</v>
      </c>
      <c r="AX87" s="10">
        <v>2018</v>
      </c>
      <c r="AY87" s="10">
        <v>2017</v>
      </c>
      <c r="AZ87" s="10" t="str">
        <f>+IF($B$3="esp","Var.%","% Chg.")</f>
        <v>% Chg.</v>
      </c>
      <c r="BD87" s="9" t="str">
        <f>+IF($B$3="esp","Millones de €","€ Millions")</f>
        <v>€ Millions</v>
      </c>
      <c r="BF87" s="10">
        <v>2018</v>
      </c>
      <c r="BG87" s="10">
        <v>2017</v>
      </c>
      <c r="BH87" s="10" t="str">
        <f>+IF($B$3="esp","Var.%","% Chg.")</f>
        <v>% Chg.</v>
      </c>
      <c r="BK87" s="10">
        <v>2018</v>
      </c>
      <c r="BL87" s="10">
        <v>2017</v>
      </c>
      <c r="BM87" s="10" t="str">
        <f>+IF($B$3="esp","Var.%","% Chg.")</f>
        <v>% Chg.</v>
      </c>
    </row>
    <row r="88" spans="4:65" ht="15.75" customHeight="1">
      <c r="D88" s="11" t="str">
        <f>+IF($B$3="esp","Efectos Extraordinarios","Extraordinary Effects")</f>
        <v>Extraordinary Effects</v>
      </c>
      <c r="F88" s="12"/>
      <c r="G88" s="12"/>
      <c r="H88" s="12"/>
      <c r="K88" s="12"/>
      <c r="L88" s="12"/>
      <c r="M88" s="12"/>
      <c r="Q88" s="11" t="str">
        <f>+IF($B$3="esp","Efectos Extraordinarios","Extraordinary Effects")</f>
        <v>Extraordinary Effects</v>
      </c>
      <c r="S88" s="12"/>
      <c r="T88" s="12"/>
      <c r="U88" s="12"/>
      <c r="X88" s="12"/>
      <c r="Y88" s="12"/>
      <c r="Z88" s="12"/>
      <c r="AD88" s="11" t="str">
        <f>+IF($B$3="esp","Efectos Extraordinarios","Extraordinary Effects")</f>
        <v>Extraordinary Effects</v>
      </c>
      <c r="AF88" s="12"/>
      <c r="AG88" s="12"/>
      <c r="AH88" s="12"/>
      <c r="AK88" s="12"/>
      <c r="AL88" s="12"/>
      <c r="AM88" s="12"/>
      <c r="AQ88" s="11" t="str">
        <f>+IF($B$3="esp","Efectos Extraordinarios","Extraordinary Effects")</f>
        <v>Extraordinary Effects</v>
      </c>
      <c r="AS88" s="12"/>
      <c r="AT88" s="12"/>
      <c r="AU88" s="12"/>
      <c r="AX88" s="12"/>
      <c r="AY88" s="12"/>
      <c r="AZ88" s="12"/>
      <c r="BD88" s="11" t="str">
        <f>+IF($B$3="esp","Efectos Extraordinarios","Extraordinary Effects")</f>
        <v>Extraordinary Effects</v>
      </c>
      <c r="BF88" s="12"/>
      <c r="BG88" s="12"/>
      <c r="BH88" s="12"/>
      <c r="BK88" s="12"/>
      <c r="BL88" s="12"/>
      <c r="BM88" s="12"/>
    </row>
    <row r="89" spans="4:65" s="13" customFormat="1" ht="15" customHeight="1">
      <c r="D89" s="13" t="str">
        <f>+IF($B$3="esp","Efectos extraordinarios en Ingresos","One-offs in Operating Revenues")</f>
        <v>One-offs in Operating Revenues</v>
      </c>
      <c r="F89" s="14">
        <f>+[1]GRUPO!AC107</f>
        <v>-0.18545047568297157</v>
      </c>
      <c r="G89" s="15">
        <f>+[1]GRUPO!AD107</f>
        <v>15.75622111162132</v>
      </c>
      <c r="H89" s="16" t="str">
        <f t="shared" ref="H89:H97" si="26">IF(G89=0,"---",IF(OR(ABS((F89-G89)/ABS(G89))&gt;2,(F89*G89)&lt;0),"---",IF(G89="0","---",((F89-G89)/ABS(G89))*100)))</f>
        <v>---</v>
      </c>
      <c r="I89" s="1"/>
      <c r="J89" s="1"/>
      <c r="K89" s="14">
        <f>+[1]GRUPO!AG107</f>
        <v>7.2072909369174738</v>
      </c>
      <c r="L89" s="15">
        <f>+[1]GRUPO!AH107</f>
        <v>1.9837850090386002</v>
      </c>
      <c r="M89" s="16" t="str">
        <f t="shared" ref="M89:M97" si="27">IF(L89=0,"---",IF(OR(ABS((K89-L89)/ABS(L89))&gt;2,(K89*L89)&lt;0),"---",IF(L89="0","---",((K89-L89)/ABS(L89))*100)))</f>
        <v>---</v>
      </c>
      <c r="Q89" s="13" t="str">
        <f>+IF($B$3="esp","Efectos extraordinarios en Ingresos","One-offs in Operating Revenues")</f>
        <v>One-offs in Operating Revenues</v>
      </c>
      <c r="S89" s="14">
        <f>+[1]SANTILLANA!AC93</f>
        <v>0.30911639075603947</v>
      </c>
      <c r="T89" s="15">
        <f>+[1]SANTILLANA!AD93</f>
        <v>11.12222111162132</v>
      </c>
      <c r="U89" s="16">
        <f>IF(T89=0,"---",IF(OR(ABS((S89-T89)/ABS(T89))&gt;2,(S89*T89)&lt;0),"---",IF(T89="0","---",((S89-T89)/ABS(T89))*100)))</f>
        <v>-97.220731473922484</v>
      </c>
      <c r="X89" s="14">
        <f>+[1]SANTILLANA!AG93</f>
        <v>6.3831484779274907</v>
      </c>
      <c r="Y89" s="15">
        <f>+[1]SANTILLANA!AH93</f>
        <v>1.9837850090386002</v>
      </c>
      <c r="Z89" s="16" t="str">
        <f>IF(Y89=0,"---",IF(OR(ABS((X89-Y89)/ABS(Y89))&gt;2,(X89*Y89)&lt;0),"---",IF(Y89="0","---",((X89-Y89)/ABS(Y89))*100)))</f>
        <v>---</v>
      </c>
      <c r="AD89" s="13" t="str">
        <f>+IF($B$3="esp","Efectos extraordinarios en Ingresos","One-offs in Operating Revenues")</f>
        <v>One-offs in Operating Revenues</v>
      </c>
      <c r="AF89" s="14">
        <f>+[1]RADIO!AC86</f>
        <v>-0.49456686643901049</v>
      </c>
      <c r="AG89" s="15">
        <f>+[1]RADIO!AD86</f>
        <v>0</v>
      </c>
      <c r="AH89" s="16" t="str">
        <f>IF(AG89=0,"---",IF(OR(ABS((AF89-AG89)/ABS(AG89))&gt;2,(AF89*AG89)&lt;0),"---",IF(AG89="0","---",((AF89-AG89)/ABS(AG89))*100)))</f>
        <v>---</v>
      </c>
      <c r="AK89" s="14">
        <f>+[1]RADIO!AG86</f>
        <v>0.8241424589899834</v>
      </c>
      <c r="AL89" s="15">
        <f>+[1]RADIO!AH86</f>
        <v>0</v>
      </c>
      <c r="AM89" s="16" t="str">
        <f>IF(AL89=0,"---",IF(OR(ABS((AK89-AL89)/ABS(AL89))&gt;2,(AK89*AL89)&lt;0),"---",IF(AL89="0","---",((AK89-AL89)/ABS(AL89))*100)))</f>
        <v>---</v>
      </c>
      <c r="AQ89" s="13" t="str">
        <f>+IF($B$3="esp","Efectos extraordinarios en Ingresos","One-offs in Operating Revenues")</f>
        <v>One-offs in Operating Revenues</v>
      </c>
      <c r="AS89" s="14">
        <f>+[1]NOTICIAS!AC38</f>
        <v>0</v>
      </c>
      <c r="AT89" s="15">
        <f>+[1]NOTICIAS!AD38</f>
        <v>0</v>
      </c>
      <c r="AU89" s="16" t="str">
        <f>IF(AT89=0,"---",IF(OR(ABS((AS89-AT89)/ABS(AT89))&gt;2,(AS89*AT89)&lt;0),"---",IF(AT89="0","---",((AS89-AT89)/ABS(AT89))*100)))</f>
        <v>---</v>
      </c>
      <c r="AX89" s="14">
        <f>+[1]NOTICIAS!AG38</f>
        <v>0</v>
      </c>
      <c r="AY89" s="15">
        <f>+[1]NOTICIAS!AH38</f>
        <v>0</v>
      </c>
      <c r="AZ89" s="16" t="str">
        <f>IF(AY89=0,"---",IF(OR(ABS((AX89-AY89)/ABS(AY89))&gt;2,(AX89*AY89)&lt;0),"---",IF(AY89="0","---",((AX89-AY89)/ABS(AY89))*100)))</f>
        <v>---</v>
      </c>
      <c r="BD89" s="13" t="str">
        <f>+IF($B$3="esp","Efectos extraordinarios en Ingresos","One-offs in Operating Revenues")</f>
        <v>One-offs in Operating Revenues</v>
      </c>
      <c r="BF89" s="14">
        <f>+'[1]MEDIA CAPITAL'!AC48</f>
        <v>0</v>
      </c>
      <c r="BG89" s="15">
        <f>+'[1]MEDIA CAPITAL'!AD48</f>
        <v>0</v>
      </c>
      <c r="BH89" s="16" t="str">
        <f t="shared" ref="BH89:BH102" si="28">IF(BG89=0,"---",IF(OR(ABS((BF89-BG89)/ABS(BG89))&gt;2,(BF89*BG89)&lt;0),"---",IF(BG89="0","---",((BF89-BG89)/ABS(BG89))*100)))</f>
        <v>---</v>
      </c>
      <c r="BK89" s="14">
        <f>+'[1]MEDIA CAPITAL'!AG48</f>
        <v>0</v>
      </c>
      <c r="BL89" s="15">
        <f>+'[1]MEDIA CAPITAL'!AH48</f>
        <v>0</v>
      </c>
      <c r="BM89" s="16" t="str">
        <f t="shared" ref="BM89:BM102" si="29">IF(BL89=0,"---",IF(OR(ABS((BK89-BL89)/ABS(BL89))&gt;2,(BK89*BL89)&lt;0),"---",IF(BL89="0","---",((BK89-BL89)/ABS(BL89))*100)))</f>
        <v>---</v>
      </c>
    </row>
    <row r="90" spans="4:65" ht="15" customHeight="1">
      <c r="D90" s="17" t="str">
        <f>+IF($B$3="esp","Santillana USA","Santillana USA")</f>
        <v>Santillana USA</v>
      </c>
      <c r="F90" s="18">
        <f>+[1]GRUPO!AC108</f>
        <v>7.12672389184503</v>
      </c>
      <c r="G90" s="19">
        <f>+[1]GRUPO!AD108</f>
        <v>11.12222111162132</v>
      </c>
      <c r="H90" s="20">
        <f t="shared" si="26"/>
        <v>-35.923555013678865</v>
      </c>
      <c r="K90" s="18">
        <f>+[1]GRUPO!AG108</f>
        <v>-0.25113496392750001</v>
      </c>
      <c r="L90" s="19">
        <f>+[1]GRUPO!AH108</f>
        <v>1.9837850090386002</v>
      </c>
      <c r="M90" s="20" t="str">
        <f t="shared" si="27"/>
        <v>---</v>
      </c>
      <c r="Q90" s="17" t="str">
        <f>+IF($B$3="esp","Santillana USA","Santillana USA")</f>
        <v>Santillana USA</v>
      </c>
      <c r="S90" s="18">
        <f>+S89</f>
        <v>0.30911639075603947</v>
      </c>
      <c r="T90" s="19">
        <f>+T89</f>
        <v>11.12222111162132</v>
      </c>
      <c r="U90" s="20">
        <f>IF(T90=0,"---",IF(OR(ABS((S90-T90)/ABS(T90))&gt;2,(S90*T90)&lt;0),"---",IF(T90="0","---",((S90-T90)/ABS(T90))*100)))</f>
        <v>-97.220731473922484</v>
      </c>
      <c r="X90" s="18">
        <f>+X89</f>
        <v>6.3831484779274907</v>
      </c>
      <c r="Y90" s="19">
        <f>+Y89</f>
        <v>1.9837850090386002</v>
      </c>
      <c r="Z90" s="20" t="str">
        <f>IF(Y90=0,"---",IF(OR(ABS((X90-Y90)/ABS(Y90))&gt;2,(X90*Y90)&lt;0),"---",IF(Y90="0","---",((X90-Y90)/ABS(Y90))*100)))</f>
        <v>---</v>
      </c>
      <c r="AD90" s="17"/>
      <c r="AF90" s="18"/>
      <c r="AG90" s="19"/>
      <c r="AH90" s="20"/>
      <c r="AK90" s="18"/>
      <c r="AL90" s="19"/>
      <c r="AM90" s="20"/>
      <c r="AQ90" s="17"/>
      <c r="AS90" s="18"/>
      <c r="AT90" s="19"/>
      <c r="AU90" s="20"/>
      <c r="AX90" s="18"/>
      <c r="AY90" s="19"/>
      <c r="AZ90" s="20"/>
      <c r="BD90" s="17"/>
      <c r="BF90" s="18"/>
      <c r="BG90" s="19"/>
      <c r="BH90" s="20" t="str">
        <f t="shared" si="28"/>
        <v>---</v>
      </c>
      <c r="BK90" s="18"/>
      <c r="BL90" s="19"/>
      <c r="BM90" s="20" t="str">
        <f t="shared" si="29"/>
        <v>---</v>
      </c>
    </row>
    <row r="91" spans="4:65" ht="15" customHeight="1">
      <c r="D91" s="17" t="str">
        <f>+IF($B$3="esp","Actas Fiscales","Tax Effects")</f>
        <v>Tax Effects</v>
      </c>
      <c r="F91" s="18">
        <f>+[1]GRUPO!AC109</f>
        <v>0</v>
      </c>
      <c r="G91" s="19">
        <f>+[1]GRUPO!AD109</f>
        <v>4.6340000000000003</v>
      </c>
      <c r="H91" s="20">
        <f t="shared" si="26"/>
        <v>-100</v>
      </c>
      <c r="K91" s="18">
        <f>+[1]GRUPO!AG109</f>
        <v>0</v>
      </c>
      <c r="L91" s="19">
        <f>+[1]GRUPO!AH109</f>
        <v>0</v>
      </c>
      <c r="M91" s="20" t="str">
        <f t="shared" si="27"/>
        <v>---</v>
      </c>
      <c r="Q91" s="17"/>
      <c r="S91" s="18"/>
      <c r="T91" s="19"/>
      <c r="U91" s="20"/>
      <c r="X91" s="18"/>
      <c r="Y91" s="19"/>
      <c r="Z91" s="20"/>
      <c r="AD91" s="17"/>
      <c r="AF91" s="18"/>
      <c r="AG91" s="19"/>
      <c r="AH91" s="20"/>
      <c r="AK91" s="18"/>
      <c r="AL91" s="19"/>
      <c r="AM91" s="20"/>
      <c r="AQ91" s="17"/>
      <c r="AS91" s="18"/>
      <c r="AT91" s="19"/>
      <c r="AU91" s="20"/>
      <c r="AX91" s="18"/>
      <c r="AY91" s="19"/>
      <c r="AZ91" s="20"/>
      <c r="BD91" s="17"/>
      <c r="BF91" s="18"/>
      <c r="BG91" s="19"/>
      <c r="BH91" s="20" t="str">
        <f t="shared" si="28"/>
        <v>---</v>
      </c>
      <c r="BK91" s="18"/>
      <c r="BL91" s="19"/>
      <c r="BM91" s="20" t="str">
        <f t="shared" si="29"/>
        <v>---</v>
      </c>
    </row>
    <row r="92" spans="4:65" ht="15" customHeight="1">
      <c r="D92" s="17"/>
      <c r="F92" s="18"/>
      <c r="G92" s="19"/>
      <c r="H92" s="20" t="str">
        <f t="shared" si="26"/>
        <v>---</v>
      </c>
      <c r="K92" s="18"/>
      <c r="L92" s="19"/>
      <c r="M92" s="20" t="str">
        <f t="shared" si="27"/>
        <v>---</v>
      </c>
      <c r="Q92" s="17"/>
      <c r="S92" s="18"/>
      <c r="T92" s="19"/>
      <c r="U92" s="20"/>
      <c r="X92" s="18"/>
      <c r="Y92" s="19"/>
      <c r="Z92" s="20"/>
      <c r="AD92" s="17"/>
      <c r="AF92" s="18"/>
      <c r="AG92" s="19"/>
      <c r="AH92" s="20"/>
      <c r="AK92" s="18"/>
      <c r="AL92" s="19"/>
      <c r="AM92" s="20"/>
      <c r="AQ92" s="17"/>
      <c r="AS92" s="18"/>
      <c r="AT92" s="19"/>
      <c r="AU92" s="20"/>
      <c r="AX92" s="18"/>
      <c r="AY92" s="19"/>
      <c r="AZ92" s="20"/>
      <c r="BD92" s="17"/>
      <c r="BF92" s="18"/>
      <c r="BG92" s="19"/>
      <c r="BH92" s="20" t="str">
        <f t="shared" si="28"/>
        <v>---</v>
      </c>
      <c r="BK92" s="18"/>
      <c r="BL92" s="19"/>
      <c r="BM92" s="20" t="str">
        <f t="shared" si="29"/>
        <v>---</v>
      </c>
    </row>
    <row r="93" spans="4:65" ht="15" customHeight="1">
      <c r="D93" s="13" t="str">
        <f>+IF($B$3="esp","Efectos extraordinarios en Gastos","One-offs in Operating Expenses")</f>
        <v>One-offs in Operating Expenses</v>
      </c>
      <c r="E93" s="13"/>
      <c r="F93" s="14">
        <f>+[1]GRUPO!AC111</f>
        <v>-23.193992759760249</v>
      </c>
      <c r="G93" s="15">
        <f>+[1]GRUPO!AD111</f>
        <v>-38.002356733285438</v>
      </c>
      <c r="H93" s="16">
        <f t="shared" si="26"/>
        <v>38.966962174098178</v>
      </c>
      <c r="K93" s="14">
        <f>+[1]GRUPO!AG111</f>
        <v>-8.968448534902663</v>
      </c>
      <c r="L93" s="15">
        <f>+[1]GRUPO!AH111</f>
        <v>-14.229910177831421</v>
      </c>
      <c r="M93" s="16">
        <f t="shared" si="27"/>
        <v>36.974665174805644</v>
      </c>
      <c r="Q93" s="17"/>
      <c r="S93" s="18"/>
      <c r="T93" s="19"/>
      <c r="U93" s="20"/>
      <c r="X93" s="18"/>
      <c r="Y93" s="19"/>
      <c r="Z93" s="20"/>
      <c r="AD93" s="17"/>
      <c r="AF93" s="18"/>
      <c r="AG93" s="19"/>
      <c r="AH93" s="20"/>
      <c r="AK93" s="18"/>
      <c r="AL93" s="19"/>
      <c r="AM93" s="20"/>
      <c r="AQ93" s="17"/>
      <c r="AS93" s="18"/>
      <c r="AT93" s="19"/>
      <c r="AU93" s="20"/>
      <c r="AX93" s="18"/>
      <c r="AY93" s="19"/>
      <c r="AZ93" s="20"/>
      <c r="BD93" s="17"/>
      <c r="BF93" s="18"/>
      <c r="BG93" s="19"/>
      <c r="BH93" s="20" t="str">
        <f t="shared" si="28"/>
        <v>---</v>
      </c>
      <c r="BK93" s="18"/>
      <c r="BL93" s="19"/>
      <c r="BM93" s="20" t="str">
        <f t="shared" si="29"/>
        <v>---</v>
      </c>
    </row>
    <row r="94" spans="4:65" ht="15" customHeight="1">
      <c r="D94" s="17" t="str">
        <f>+IF($B$3="esp","Indemnizaciones y otros no recurrentes","Redundancies and other non-recurrent")</f>
        <v>Redundancies and other non-recurrent</v>
      </c>
      <c r="F94" s="18">
        <f>+[1]GRUPO!AC112</f>
        <v>-26.746813054287855</v>
      </c>
      <c r="G94" s="19">
        <f>+[1]GRUPO!AD112</f>
        <v>-29.434454900601047</v>
      </c>
      <c r="H94" s="20">
        <f t="shared" si="26"/>
        <v>9.1309380635355684</v>
      </c>
      <c r="I94" s="13"/>
      <c r="J94" s="13"/>
      <c r="K94" s="18">
        <f>+[1]GRUPO!AG112</f>
        <v>-3.8928446490233597</v>
      </c>
      <c r="L94" s="19">
        <f>+[1]GRUPO!AH112</f>
        <v>-12.22060508053211</v>
      </c>
      <c r="M94" s="20">
        <f t="shared" si="27"/>
        <v>68.145238117343226</v>
      </c>
      <c r="Q94" s="17"/>
      <c r="S94" s="18"/>
      <c r="T94" s="19"/>
      <c r="U94" s="20"/>
      <c r="X94" s="18"/>
      <c r="Y94" s="19"/>
      <c r="Z94" s="20"/>
      <c r="AD94" s="17"/>
      <c r="AF94" s="18"/>
      <c r="AG94" s="19"/>
      <c r="AH94" s="20"/>
      <c r="AK94" s="18"/>
      <c r="AL94" s="19"/>
      <c r="AM94" s="20"/>
      <c r="AQ94" s="17"/>
      <c r="AS94" s="18"/>
      <c r="AT94" s="19"/>
      <c r="AU94" s="20"/>
      <c r="AX94" s="18"/>
      <c r="AY94" s="19"/>
      <c r="AZ94" s="20"/>
      <c r="BD94" s="17"/>
      <c r="BF94" s="18"/>
      <c r="BG94" s="19"/>
      <c r="BH94" s="20" t="str">
        <f t="shared" si="28"/>
        <v>---</v>
      </c>
      <c r="BK94" s="18"/>
      <c r="BL94" s="19"/>
      <c r="BM94" s="20" t="str">
        <f t="shared" si="29"/>
        <v>---</v>
      </c>
    </row>
    <row r="95" spans="4:65" ht="15" customHeight="1">
      <c r="D95" s="17" t="str">
        <f>+IF($B$3="esp","Santillana USA","Santillana USA")</f>
        <v>Santillana USA</v>
      </c>
      <c r="F95" s="18">
        <f>+[1]GRUPO!AC113</f>
        <v>0</v>
      </c>
      <c r="G95" s="19">
        <f>+[1]GRUPO!AD113</f>
        <v>-8.5679018326843899</v>
      </c>
      <c r="H95" s="20">
        <f t="shared" si="26"/>
        <v>100</v>
      </c>
      <c r="I95" s="13"/>
      <c r="J95" s="13"/>
      <c r="K95" s="18">
        <f>+[1]GRUPO!AG113</f>
        <v>0</v>
      </c>
      <c r="L95" s="19">
        <f>+[1]GRUPO!AH113</f>
        <v>-2.0093050972993094</v>
      </c>
      <c r="M95" s="20">
        <f t="shared" si="27"/>
        <v>100</v>
      </c>
      <c r="Q95" s="13" t="str">
        <f>+IF($B$3="esp","Efectos extraordinarios en Gastos","One-offs in Operating Expenses")</f>
        <v>One-offs in Operating Expenses</v>
      </c>
      <c r="R95" s="13"/>
      <c r="S95" s="14">
        <f>+[1]SANTILLANA!AC99</f>
        <v>-7.621022488504428</v>
      </c>
      <c r="T95" s="15">
        <f>+[1]SANTILLANA!AD99</f>
        <v>-14.35416040085962</v>
      </c>
      <c r="U95" s="16">
        <f>IF(T95=0,"---",IF(OR(ABS((S95-T95)/ABS(T95))&gt;2,(S95*T95)&lt;0),"---",IF(T95="0","---",((S95-T95)/ABS(T95))*100)))</f>
        <v>46.907222187317679</v>
      </c>
      <c r="X95" s="14">
        <f>+[1]SANTILLANA!AG99</f>
        <v>2.5793750383436045</v>
      </c>
      <c r="Y95" s="15">
        <f>+[1]SANTILLANA!AH99</f>
        <v>-4.0988538169373001</v>
      </c>
      <c r="Z95" s="16" t="str">
        <f>IF(Y95=0,"---",IF(OR(ABS((X95-Y95)/ABS(Y95))&gt;2,(X95*Y95)&lt;0),"---",IF(Y95="0","---",((X95-Y95)/ABS(Y95))*100)))</f>
        <v>---</v>
      </c>
      <c r="AD95" s="13" t="str">
        <f>+IF($B$3="esp","Efectos extraordinarios en Gastos","One-offs in Operating Expenses")</f>
        <v>One-offs in Operating Expenses</v>
      </c>
      <c r="AE95" s="13"/>
      <c r="AF95" s="14">
        <f>+[1]RADIO!AC92</f>
        <v>-9.3419986044499392</v>
      </c>
      <c r="AG95" s="15">
        <f>+[1]RADIO!AD92</f>
        <v>-5.2037158875555898</v>
      </c>
      <c r="AH95" s="16">
        <f>IF(AG95=0,"---",IF(OR(ABS((AF95-AG95)/ABS(AG95))&gt;2,(AF95*AG95)&lt;0),"---",IF(AG95="0","---",((AF95-AG95)/ABS(AG95))*100)))</f>
        <v>-79.525531491656437</v>
      </c>
      <c r="AK95" s="14">
        <f>+[1]RADIO!AG92</f>
        <v>-1.7097424614188474</v>
      </c>
      <c r="AL95" s="15">
        <f>+[1]RADIO!AH92</f>
        <v>-0.85395989477660983</v>
      </c>
      <c r="AM95" s="16">
        <f>IF(AL95=0,"---",IF(OR(ABS((AK95-AL95)/ABS(AL95))&gt;2,(AK95*AL95)&lt;0),"---",IF(AL95="0","---",((AK95-AL95)/ABS(AL95))*100)))</f>
        <v>-100.21343764230339</v>
      </c>
      <c r="AQ95" s="13" t="str">
        <f>+IF($B$3="esp","Efectos extraordinarios en Gastos","One-offs in Operating Expenses")</f>
        <v>One-offs in Operating Expenses</v>
      </c>
      <c r="AR95" s="13"/>
      <c r="AS95" s="14">
        <f>+[1]NOTICIAS!AC44</f>
        <v>-7.6184790452693001</v>
      </c>
      <c r="AT95" s="15">
        <f>+[1]NOTICIAS!AD44</f>
        <v>-8.5169714500071496</v>
      </c>
      <c r="AU95" s="16">
        <f>IF(AT95=0,"---",IF(OR(ABS((AS95-AT95)/ABS(AT95))&gt;2,(AS95*AT95)&lt;0),"---",IF(AT95="0","---",((AS95-AT95)/ABS(AT95))*100)))</f>
        <v>10.549435442067793</v>
      </c>
      <c r="AX95" s="14">
        <f>+[1]NOTICIAS!AG44</f>
        <v>-2.4822129354750597</v>
      </c>
      <c r="AY95" s="15">
        <f>+[1]NOTICIAS!AH44</f>
        <v>-5.9494277212819897</v>
      </c>
      <c r="AZ95" s="16">
        <f>IF(AY95=0,"---",IF(OR(ABS((AX95-AY95)/ABS(AY95))&gt;2,(AX95*AY95)&lt;0),"---",IF(AY95="0","---",((AX95-AY95)/ABS(AY95))*100)))</f>
        <v>58.278122673953767</v>
      </c>
      <c r="BD95" s="13" t="str">
        <f>+IF($B$3="esp","Efectos extraordinarios en Gastos","One-offs in Operating Expenses")</f>
        <v>One-offs in Operating Expenses</v>
      </c>
      <c r="BF95" s="14">
        <f>+'[1]MEDIA CAPITAL'!AC54</f>
        <v>-0.73810732999999829</v>
      </c>
      <c r="BG95" s="15">
        <f>+'[1]MEDIA CAPITAL'!AD54</f>
        <v>-1.0507418299999998</v>
      </c>
      <c r="BH95" s="16">
        <f t="shared" si="28"/>
        <v>29.753693159812773</v>
      </c>
      <c r="BI95" s="13"/>
      <c r="BK95" s="14">
        <f>+'[1]MEDIA CAPITAL'!AG54</f>
        <v>-0.18008339000000007</v>
      </c>
      <c r="BL95" s="15">
        <f>+'[1]MEDIA CAPITAL'!AH54</f>
        <v>-0.13356973999999866</v>
      </c>
      <c r="BM95" s="16">
        <f t="shared" si="29"/>
        <v>-34.823493704488662</v>
      </c>
    </row>
    <row r="96" spans="4:65" s="13" customFormat="1" ht="15" customHeight="1">
      <c r="D96" s="17"/>
      <c r="E96" s="1"/>
      <c r="F96" s="18"/>
      <c r="G96" s="19"/>
      <c r="H96" s="20" t="str">
        <f t="shared" si="26"/>
        <v>---</v>
      </c>
      <c r="I96" s="1"/>
      <c r="J96" s="1"/>
      <c r="K96" s="18"/>
      <c r="L96" s="19"/>
      <c r="M96" s="20" t="str">
        <f t="shared" si="27"/>
        <v>---</v>
      </c>
      <c r="Q96" s="17" t="str">
        <f>+IF($B$3="esp","Indemnizaciones","Redundancies")</f>
        <v>Redundancies</v>
      </c>
      <c r="R96" s="1"/>
      <c r="S96" s="18">
        <f>+[1]SANTILLANA!AC100</f>
        <v>-4.6707261518452494</v>
      </c>
      <c r="T96" s="19">
        <f>+[1]SANTILLANA!AD100</f>
        <v>-5.7862585681752297</v>
      </c>
      <c r="U96" s="20">
        <f>IF(T96=0,"---",IF(OR(ABS((S96-T96)/ABS(T96))&gt;2,(S96*T96)&lt;0),"---",IF(T96="0","---",((S96-T96)/ABS(T96))*100)))</f>
        <v>19.278993553199918</v>
      </c>
      <c r="X96" s="18">
        <f>+[1]SANTILLANA!AG100</f>
        <v>-1.4771206255684595</v>
      </c>
      <c r="Y96" s="19">
        <f>+[1]SANTILLANA!AH100</f>
        <v>-2.0895487196379898</v>
      </c>
      <c r="Z96" s="20">
        <f>IF(Y96=0,"---",IF(OR(ABS((X96-Y96)/ABS(Y96))&gt;2,(X96*Y96)&lt;0),"---",IF(Y96="0","---",((X96-Y96)/ABS(Y96))*100)))</f>
        <v>29.309108149229097</v>
      </c>
      <c r="AD96" s="17" t="str">
        <f>+IF($B$3="esp","Indemnizaciones","Redundancies")</f>
        <v>Redundancies</v>
      </c>
      <c r="AE96" s="1"/>
      <c r="AF96" s="18">
        <f>+[1]RADIO!AC93</f>
        <v>-8.7394746465815132</v>
      </c>
      <c r="AG96" s="19">
        <f>+[1]RADIO!AD93</f>
        <v>-5.2037158875555898</v>
      </c>
      <c r="AH96" s="20">
        <f>IF(AG96=0,"---",IF(OR(ABS((AF96-AG96)/ABS(AG96))&gt;2,(AF96*AG96)&lt;0),"---",IF(AG96="0","---",((AF96-AG96)/ABS(AG96))*100)))</f>
        <v>-67.946806386595824</v>
      </c>
      <c r="AK96" s="18">
        <f>+[1]RADIO!AG93</f>
        <v>-2.7288506833860868</v>
      </c>
      <c r="AL96" s="19">
        <f>+[1]RADIO!AH93</f>
        <v>-0.85395989477660983</v>
      </c>
      <c r="AM96" s="20" t="str">
        <f>IF(AL96=0,"---",IF(OR(ABS((AK96-AL96)/ABS(AL96))&gt;2,(AK96*AL96)&lt;0),"---",IF(AL96="0","---",((AK96-AL96)/ABS(AL96))*100)))</f>
        <v>---</v>
      </c>
      <c r="AQ96" s="17" t="str">
        <f>+IF($B$3="esp","Indemnizaciones y otros no recurrentes","Redundancies and other non-recurrent")</f>
        <v>Redundancies and other non-recurrent</v>
      </c>
      <c r="AR96" s="1"/>
      <c r="AS96" s="18">
        <f>+[1]NOTICIAS!AC45</f>
        <v>-7.6184790452693001</v>
      </c>
      <c r="AT96" s="19">
        <f>+[1]NOTICIAS!AD45</f>
        <v>-8.5169714500071496</v>
      </c>
      <c r="AU96" s="20">
        <f>IF(AT96=0,"---",IF(OR(ABS((AS96-AT96)/ABS(AT96))&gt;2,(AS96*AT96)&lt;0),"---",IF(AT96="0","---",((AS96-AT96)/ABS(AT96))*100)))</f>
        <v>10.549435442067793</v>
      </c>
      <c r="AX96" s="18">
        <f>+[1]NOTICIAS!AG45</f>
        <v>-2.4822129354750597</v>
      </c>
      <c r="AY96" s="19">
        <f>+[1]NOTICIAS!AH45</f>
        <v>-5.9494277212819897</v>
      </c>
      <c r="AZ96" s="20">
        <f>IF(AY96=0,"---",IF(OR(ABS((AX96-AY96)/ABS(AY96))&gt;2,(AX96*AY96)&lt;0),"---",IF(AY96="0","---",((AX96-AY96)/ABS(AY96))*100)))</f>
        <v>58.278122673953767</v>
      </c>
      <c r="BD96" s="17" t="str">
        <f>+IF($B$3="esp","Indemnizaciones","Redundancies")</f>
        <v>Redundancies</v>
      </c>
      <c r="BF96" s="18">
        <f>+'[1]MEDIA CAPITAL'!AC55</f>
        <v>-0.73810732999999829</v>
      </c>
      <c r="BG96" s="19">
        <f>+'[1]MEDIA CAPITAL'!AD55</f>
        <v>-1.0507418299999998</v>
      </c>
      <c r="BH96" s="20">
        <f t="shared" si="28"/>
        <v>29.753693159812773</v>
      </c>
      <c r="BI96" s="1"/>
      <c r="BK96" s="18">
        <f>+'[1]MEDIA CAPITAL'!AG55</f>
        <v>-0.18008339000000007</v>
      </c>
      <c r="BL96" s="19">
        <f>+'[1]MEDIA CAPITAL'!AH55</f>
        <v>-0.13356973999999866</v>
      </c>
      <c r="BM96" s="20">
        <f t="shared" si="29"/>
        <v>-34.823493704488662</v>
      </c>
    </row>
    <row r="97" spans="1:65" ht="15" customHeight="1">
      <c r="D97" s="17"/>
      <c r="F97" s="18"/>
      <c r="G97" s="19"/>
      <c r="H97" s="20" t="str">
        <f t="shared" si="26"/>
        <v>---</v>
      </c>
      <c r="K97" s="18"/>
      <c r="L97" s="19"/>
      <c r="M97" s="20" t="str">
        <f t="shared" si="27"/>
        <v>---</v>
      </c>
      <c r="Q97" s="17" t="str">
        <f>+IF($B$3="esp","Santillana USA","Santillana USA")</f>
        <v>Santillana USA</v>
      </c>
      <c r="S97" s="18">
        <f>+[1]SANTILLANA!AC101</f>
        <v>0</v>
      </c>
      <c r="T97" s="19">
        <f>+[1]SANTILLANA!AD101</f>
        <v>-8.5679018326843899</v>
      </c>
      <c r="U97" s="20">
        <f>IF(T97=0,"---",IF(OR(ABS((S97-T97)/ABS(T97))&gt;2,(S97*T97)&lt;0),"---",IF(T97="0","---",((S97-T97)/ABS(T97))*100)))</f>
        <v>100</v>
      </c>
      <c r="V97" s="13"/>
      <c r="X97" s="18">
        <f>+[1]SANTILLANA!AG101</f>
        <v>0</v>
      </c>
      <c r="Y97" s="19">
        <f>+[1]SANTILLANA!AH101</f>
        <v>-2.0093050972993094</v>
      </c>
      <c r="Z97" s="20">
        <f>IF(Y97=0,"---",IF(OR(ABS((X97-Y97)/ABS(Y97))&gt;2,(X97*Y97)&lt;0),"---",IF(Y97="0","---",((X97-Y97)/ABS(Y97))*100)))</f>
        <v>100</v>
      </c>
      <c r="AA97" s="13"/>
      <c r="AD97" s="17"/>
      <c r="AF97" s="18"/>
      <c r="AG97" s="19"/>
      <c r="AH97" s="20"/>
      <c r="AK97" s="18"/>
      <c r="AL97" s="19"/>
      <c r="AM97" s="20"/>
      <c r="AQ97" s="17"/>
      <c r="AS97" s="18"/>
      <c r="AT97" s="19"/>
      <c r="AU97" s="20"/>
      <c r="AX97" s="18"/>
      <c r="AY97" s="19"/>
      <c r="AZ97" s="20"/>
      <c r="BD97" s="17"/>
      <c r="BF97" s="18"/>
      <c r="BG97" s="19"/>
      <c r="BH97" s="20" t="str">
        <f t="shared" si="28"/>
        <v>---</v>
      </c>
      <c r="BK97" s="18"/>
      <c r="BL97" s="19"/>
      <c r="BM97" s="20" t="str">
        <f t="shared" si="29"/>
        <v>---</v>
      </c>
    </row>
    <row r="98" spans="1:65" ht="15" customHeight="1">
      <c r="D98" s="13" t="str">
        <f>+IF($B$3="esp","Efectos extraordinarios en Amort.y Provisiones","One-offs in Amortization&amp;Provisions")</f>
        <v>One-offs in Amortization&amp;Provisions</v>
      </c>
      <c r="E98" s="13"/>
      <c r="F98" s="14">
        <f>+[1]GRUPO!AC116</f>
        <v>-79.319147032820396</v>
      </c>
      <c r="G98" s="15">
        <f>+[1]GRUPO!AD116</f>
        <v>-100.01569602357949</v>
      </c>
      <c r="H98" s="16">
        <f>IF(G98=0,"---",IF(OR(ABS((F98-G98)/ABS(G98))&gt;2,(F98*G98)&lt;0),"---",IF(G98="0","---",((F98-G98)/ABS(G98))*100)))</f>
        <v>20.693300965360198</v>
      </c>
      <c r="K98" s="14">
        <f>+[1]GRUPO!AG116</f>
        <v>-79.905770787514484</v>
      </c>
      <c r="L98" s="15">
        <f>+[1]GRUPO!AH116</f>
        <v>-26.176324179701538</v>
      </c>
      <c r="M98" s="16" t="str">
        <f>IF(L98=0,"---",IF(OR(ABS((K98-L98)/ABS(L98))&gt;2,(K98*L98)&lt;0),"---",IF(L98="0","---",((K98-L98)/ABS(L98))*100)))</f>
        <v>---</v>
      </c>
      <c r="Q98" s="17"/>
      <c r="S98" s="18"/>
      <c r="T98" s="19"/>
      <c r="U98" s="20"/>
      <c r="V98" s="13"/>
      <c r="X98" s="18"/>
      <c r="Y98" s="19"/>
      <c r="Z98" s="20"/>
      <c r="AA98" s="13"/>
      <c r="AD98" s="17"/>
      <c r="AF98" s="18"/>
      <c r="AG98" s="19"/>
      <c r="AH98" s="20"/>
      <c r="AK98" s="18"/>
      <c r="AL98" s="19"/>
      <c r="AM98" s="20"/>
      <c r="AQ98" s="17"/>
      <c r="AS98" s="18"/>
      <c r="AT98" s="19"/>
      <c r="AU98" s="20"/>
      <c r="AX98" s="18"/>
      <c r="AY98" s="19"/>
      <c r="AZ98" s="20"/>
      <c r="BD98" s="17"/>
      <c r="BF98" s="18"/>
      <c r="BG98" s="19"/>
      <c r="BH98" s="20" t="str">
        <f t="shared" si="28"/>
        <v>---</v>
      </c>
      <c r="BK98" s="18"/>
      <c r="BL98" s="19"/>
      <c r="BM98" s="20" t="str">
        <f t="shared" si="29"/>
        <v>---</v>
      </c>
    </row>
    <row r="99" spans="1:65" ht="15" customHeight="1">
      <c r="D99" s="17" t="str">
        <f>+IF($B$3="esp","Fondo de Comercio","Goodwill")</f>
        <v>Goodwill</v>
      </c>
      <c r="F99" s="18">
        <f>+[1]GRUPO!AC117</f>
        <v>-78.980999999999995</v>
      </c>
      <c r="G99" s="19">
        <f>+[1]GRUPO!AD117</f>
        <v>-86.754480999999998</v>
      </c>
      <c r="H99" s="20">
        <f>IF(G99=0,"---",IF(OR(ABS((F99-G99)/ABS(G99))&gt;2,(F99*G99)&lt;0),"---",IF(G99="0","---",((F99-G99)/ABS(G99))*100)))</f>
        <v>8.9603221763265495</v>
      </c>
      <c r="K99" s="18">
        <f>+[1]GRUPO!AG117</f>
        <v>-78.980999999999995</v>
      </c>
      <c r="L99" s="19">
        <f>+[1]GRUPO!AH117</f>
        <v>-13.200480999999996</v>
      </c>
      <c r="M99" s="20" t="str">
        <f>IF(L99=0,"---",IF(OR(ABS((K99-L99)/ABS(L99))&gt;2,(K99*L99)&lt;0),"---",IF(L99="0","---",((K99-L99)/ABS(L99))*100)))</f>
        <v>---</v>
      </c>
      <c r="Q99" s="17"/>
      <c r="S99" s="18"/>
      <c r="T99" s="19"/>
      <c r="U99" s="20"/>
      <c r="V99" s="13"/>
      <c r="X99" s="18"/>
      <c r="Y99" s="19"/>
      <c r="Z99" s="20"/>
      <c r="AA99" s="13"/>
      <c r="AD99" s="17"/>
      <c r="AF99" s="18"/>
      <c r="AG99" s="19"/>
      <c r="AH99" s="20"/>
      <c r="AK99" s="18"/>
      <c r="AL99" s="19"/>
      <c r="AM99" s="20"/>
      <c r="AQ99" s="17"/>
      <c r="AS99" s="18"/>
      <c r="AT99" s="19"/>
      <c r="AU99" s="20"/>
      <c r="AX99" s="18"/>
      <c r="AY99" s="19"/>
      <c r="AZ99" s="20"/>
      <c r="BD99" s="17"/>
      <c r="BF99" s="18"/>
      <c r="BG99" s="19"/>
      <c r="BH99" s="20" t="str">
        <f t="shared" si="28"/>
        <v>---</v>
      </c>
      <c r="BK99" s="18"/>
      <c r="BL99" s="19"/>
      <c r="BM99" s="20" t="str">
        <f t="shared" si="29"/>
        <v>---</v>
      </c>
    </row>
    <row r="100" spans="1:65" ht="15" customHeight="1">
      <c r="A100" s="41"/>
      <c r="D100" s="17" t="str">
        <f>+IF($B$3="esp","Santillana USA","Santillana USA")</f>
        <v>Santillana USA</v>
      </c>
      <c r="F100" s="18">
        <f>+[1]GRUPO!AC118</f>
        <v>0</v>
      </c>
      <c r="G100" s="19">
        <f>+[1]GRUPO!AD118</f>
        <v>-2.0251850235794939</v>
      </c>
      <c r="H100" s="20">
        <f>IF(G100=0,"---",IF(OR(ABS((F100-G100)/ABS(G100))&gt;2,(F100*G100)&lt;0),"---",IF(G100="0","---",((F100-G100)/ABS(G100))*100)))</f>
        <v>100</v>
      </c>
      <c r="K100" s="18">
        <f>+[1]GRUPO!AG118</f>
        <v>0</v>
      </c>
      <c r="L100" s="19">
        <f>+[1]GRUPO!AH118</f>
        <v>-1.7398131797015428</v>
      </c>
      <c r="M100" s="20">
        <f>IF(L100=0,"---",IF(OR(ABS((K100-L100)/ABS(L100))&gt;2,(K100*L100)&lt;0),"---",IF(L100="0","---",((K100-L100)/ABS(L100))*100)))</f>
        <v>100</v>
      </c>
      <c r="Q100" s="17"/>
      <c r="S100" s="18"/>
      <c r="T100" s="19"/>
      <c r="U100" s="20"/>
      <c r="X100" s="18"/>
      <c r="Y100" s="19"/>
      <c r="Z100" s="20"/>
      <c r="AD100" s="17"/>
      <c r="AF100" s="18"/>
      <c r="AG100" s="19"/>
      <c r="AH100" s="20"/>
      <c r="AK100" s="18"/>
      <c r="AL100" s="19"/>
      <c r="AM100" s="20"/>
      <c r="AQ100" s="17"/>
      <c r="AS100" s="18"/>
      <c r="AT100" s="19"/>
      <c r="AU100" s="20"/>
      <c r="AX100" s="18"/>
      <c r="AY100" s="19"/>
      <c r="AZ100" s="20"/>
      <c r="BD100" s="17"/>
      <c r="BF100" s="18"/>
      <c r="BG100" s="19"/>
      <c r="BH100" s="20" t="str">
        <f t="shared" si="28"/>
        <v>---</v>
      </c>
      <c r="BK100" s="18"/>
      <c r="BL100" s="19"/>
      <c r="BM100" s="20" t="str">
        <f t="shared" si="29"/>
        <v>---</v>
      </c>
    </row>
    <row r="101" spans="1:65" ht="15" customHeight="1">
      <c r="D101" s="17" t="str">
        <f>+IF($B$3="esp","Otros deterioros","Other impairments")</f>
        <v>Other impairments</v>
      </c>
      <c r="F101" s="18">
        <f>+[1]GRUPO!AC119</f>
        <v>0</v>
      </c>
      <c r="G101" s="19">
        <f>+[1]GRUPO!AD119</f>
        <v>-11.236030000000001</v>
      </c>
      <c r="H101" s="20">
        <f>IF(G101=0,"---",IF(OR(ABS((F101-G101)/ABS(G101))&gt;2,(F101*G101)&lt;0),"---",IF(G101="0","---",((F101-G101)/ABS(G101))*100)))</f>
        <v>100</v>
      </c>
      <c r="K101" s="18">
        <f>+[1]GRUPO!AG119</f>
        <v>0</v>
      </c>
      <c r="L101" s="19">
        <f>+[1]GRUPO!AH119</f>
        <v>-11.236030000000001</v>
      </c>
      <c r="M101" s="20">
        <f>IF(L101=0,"---",IF(OR(ABS((K101-L101)/ABS(L101))&gt;2,(K101*L101)&lt;0),"---",IF(L101="0","---",((K101-L101)/ABS(L101))*100)))</f>
        <v>100</v>
      </c>
      <c r="Q101" s="13" t="str">
        <f>+IF($B$3="esp","Efectos extraordinarios en Amort.y Provisiones","One-offs in Amortization&amp;Provisions")</f>
        <v>One-offs in Amortization&amp;Provisions</v>
      </c>
      <c r="R101" s="13"/>
      <c r="S101" s="14">
        <f>+[1]SANTILLANA!AC103</f>
        <v>0.27124236749410896</v>
      </c>
      <c r="T101" s="15">
        <f>+[1]SANTILLANA!AD103</f>
        <v>-2.0251850235794939</v>
      </c>
      <c r="U101" s="16" t="str">
        <f>IF(T101=0,"---",IF(OR(ABS((S101-T101)/ABS(T101))&gt;2,(S101*T101)&lt;0),"---",IF(T101="0","---",((S101-T101)/ABS(T101))*100)))</f>
        <v>---</v>
      </c>
      <c r="X101" s="14">
        <f>+[1]SANTILLANA!AG103</f>
        <v>0.82188877727756071</v>
      </c>
      <c r="Y101" s="15">
        <f>+[1]SANTILLANA!AH103</f>
        <v>-1.7398131797015428</v>
      </c>
      <c r="Z101" s="16" t="str">
        <f>IF(Y101=0,"---",IF(OR(ABS((X101-Y101)/ABS(Y101))&gt;2,(X101*Y101)&lt;0),"---",IF(Y101="0","---",((X101-Y101)/ABS(Y101))*100)))</f>
        <v>---</v>
      </c>
      <c r="AD101" s="13" t="str">
        <f>+IF($B$3="esp","Efectos extraordinarios en Amort.y Provisiones","One-offs in Amortization&amp;Provisions")</f>
        <v>One-offs in Amortization&amp;Provisions</v>
      </c>
      <c r="AE101" s="13"/>
      <c r="AF101" s="14">
        <f>+[1]RADIO!AC98</f>
        <v>6.6904665326288665E-2</v>
      </c>
      <c r="AG101" s="15">
        <f>+[1]RADIO!AD98</f>
        <v>-2.5323600000000002</v>
      </c>
      <c r="AH101" s="16" t="str">
        <f>IF(AG101=0,"---",IF(OR(ABS((AF101-AG101)/ABS(AG101))&gt;2,(AF101*AG101)&lt;0),"---",IF(AG101="0","---",((AF101-AG101)/ABS(AG101))*100)))</f>
        <v>---</v>
      </c>
      <c r="AK101" s="14">
        <f>+[1]RADIO!AG98</f>
        <v>0.10288201023691809</v>
      </c>
      <c r="AL101" s="15">
        <f>+[1]RADIO!AH98</f>
        <v>-2.5323600000000002</v>
      </c>
      <c r="AM101" s="16" t="str">
        <f>IF(AL101=0,"---",IF(OR(ABS((AK101-AL101)/ABS(AL101))&gt;2,(AK101*AL101)&lt;0),"---",IF(AL101="0","---",((AK101-AL101)/ABS(AL101))*100)))</f>
        <v>---</v>
      </c>
      <c r="AQ101" s="13" t="str">
        <f>+IF($B$3="esp","Efectos extraordinarios en Amort.y Provisiones","One-offs in Amortization&amp;Provisions")</f>
        <v>One-offs in Amortization&amp;Provisions</v>
      </c>
      <c r="AR101" s="13"/>
      <c r="AS101" s="14">
        <f>+[1]NOTICIAS!AC50</f>
        <v>0</v>
      </c>
      <c r="AT101" s="15">
        <f>+[1]NOTICIAS!AD50</f>
        <v>-8.7036700000000007</v>
      </c>
      <c r="AU101" s="16">
        <f>IF(AT101=0,"---",IF(OR(ABS((AS101-AT101)/ABS(AT101))&gt;2,(AS101*AT101)&lt;0),"---",IF(AT101="0","---",((AS101-AT101)/ABS(AT101))*100)))</f>
        <v>100</v>
      </c>
      <c r="AX101" s="14">
        <f>+[1]NOTICIAS!AG50</f>
        <v>0</v>
      </c>
      <c r="AY101" s="15">
        <f>+[1]NOTICIAS!AH50</f>
        <v>-8.7036700000000007</v>
      </c>
      <c r="AZ101" s="16">
        <f>IF(AY101=0,"---",IF(OR(ABS((AX101-AY101)/ABS(AY101))&gt;2,(AX101*AY101)&lt;0),"---",IF(AY101="0","---",((AX101-AY101)/ABS(AY101))*100)))</f>
        <v>100</v>
      </c>
      <c r="BD101" s="13" t="str">
        <f>+IF($B$3="esp","Efectos extraordinarios en Amort.y Provisiones","One-offs in Amortization&amp;Provisions")</f>
        <v>One-offs in Amortization&amp;Provisions</v>
      </c>
      <c r="BF101" s="14">
        <f>+'[1]MEDIA CAPITAL'!AC60</f>
        <v>0</v>
      </c>
      <c r="BG101" s="15">
        <f>+'[1]MEDIA CAPITAL'!AD60</f>
        <v>0</v>
      </c>
      <c r="BH101" s="16" t="str">
        <f t="shared" si="28"/>
        <v>---</v>
      </c>
      <c r="BI101" s="13"/>
      <c r="BK101" s="14">
        <f>+'[1]MEDIA CAPITAL'!AG60</f>
        <v>0</v>
      </c>
      <c r="BL101" s="15">
        <f>+'[1]MEDIA CAPITAL'!AH60</f>
        <v>0</v>
      </c>
      <c r="BM101" s="16" t="str">
        <f t="shared" si="29"/>
        <v>---</v>
      </c>
    </row>
    <row r="102" spans="1:65" ht="15" customHeight="1">
      <c r="D102" s="17"/>
      <c r="F102" s="18"/>
      <c r="G102" s="19"/>
      <c r="H102" s="20" t="str">
        <f t="shared" ref="H102" si="30">IF(G102=0,"---",IF(OR(ABS((F102-G102)/ABS(G102))&gt;2,(F102*G102)&lt;0),"---",IF(G102="0","---",((F102-G102)/ABS(G102))*100)))</f>
        <v>---</v>
      </c>
      <c r="K102" s="18"/>
      <c r="L102" s="19"/>
      <c r="M102" s="20" t="str">
        <f t="shared" ref="M102" si="31">IF(L102=0,"---",IF(OR(ABS((K102-L102)/ABS(L102))&gt;2,(K102*L102)&lt;0),"---",IF(L102="0","---",((K102-L102)/ABS(L102))*100)))</f>
        <v>---</v>
      </c>
      <c r="N102" s="13"/>
      <c r="Q102" s="17" t="str">
        <f>+IF($B$3="esp","Santillana USA","Santillana USA")</f>
        <v>Santillana USA</v>
      </c>
      <c r="S102" s="18">
        <f>+[1]SANTILLANA!AC104</f>
        <v>0</v>
      </c>
      <c r="T102" s="19">
        <f>+[1]SANTILLANA!AD104</f>
        <v>-2.0251850235794939</v>
      </c>
      <c r="U102" s="20">
        <f>IF(T102=0,"---",IF(OR(ABS((S102-T102)/ABS(T102))&gt;2,(S102*T102)&lt;0),"---",IF(T102="0","---",((S102-T102)/ABS(T102))*100)))</f>
        <v>100</v>
      </c>
      <c r="X102" s="18">
        <f>+[1]SANTILLANA!AG104</f>
        <v>0</v>
      </c>
      <c r="Y102" s="19">
        <f>+[1]SANTILLANA!AH104</f>
        <v>-1.7398131797015428</v>
      </c>
      <c r="Z102" s="20">
        <f>IF(Y102=0,"---",IF(OR(ABS((X102-Y102)/ABS(Y102))&gt;2,(X102*Y102)&lt;0),"---",IF(Y102="0","---",((X102-Y102)/ABS(Y102))*100)))</f>
        <v>100</v>
      </c>
      <c r="AD102" s="17" t="str">
        <f>+IF($B$3="esp","Deterioros y Pérdidas de inmovilizado","Impairment &amp; Losses from fixed assets")</f>
        <v>Impairment &amp; Losses from fixed assets</v>
      </c>
      <c r="AF102" s="18">
        <f>+[1]RADIO!AC99</f>
        <v>0</v>
      </c>
      <c r="AG102" s="19">
        <f>+[1]RADIO!AD99</f>
        <v>-2.5323600000000002</v>
      </c>
      <c r="AH102" s="20">
        <f>IF(AG102=0,"---",IF(OR(ABS((AF102-AG102)/ABS(AG102))&gt;2,(AF102*AG102)&lt;0),"---",IF(AG102="0","---",((AF102-AG102)/ABS(AG102))*100)))</f>
        <v>100</v>
      </c>
      <c r="AK102" s="18">
        <f>+[1]RADIO!AG99</f>
        <v>0</v>
      </c>
      <c r="AL102" s="19">
        <f>+[1]RADIO!AH99</f>
        <v>-2.5323600000000002</v>
      </c>
      <c r="AM102" s="20">
        <f>IF(AL102=0,"---",IF(OR(ABS((AK102-AL102)/ABS(AL102))&gt;2,(AK102*AL102)&lt;0),"---",IF(AL102="0","---",((AK102-AL102)/ABS(AL102))*100)))</f>
        <v>100</v>
      </c>
      <c r="AQ102" s="17" t="str">
        <f>+IF($B$3="esp","Deterioros y Pérdidas de inmovilizado","Impairment &amp; Losses from fixed assets")</f>
        <v>Impairment &amp; Losses from fixed assets</v>
      </c>
      <c r="AS102" s="18">
        <f>+[1]NOTICIAS!AC51</f>
        <v>0</v>
      </c>
      <c r="AT102" s="19">
        <f>+[1]NOTICIAS!AD51</f>
        <v>-8.7036700000000007</v>
      </c>
      <c r="AU102" s="20">
        <f>IF(AT102=0,"---",IF(OR(ABS((AS102-AT102)/ABS(AT102))&gt;2,(AS102*AT102)&lt;0),"---",IF(AT102="0","---",((AS102-AT102)/ABS(AT102))*100)))</f>
        <v>100</v>
      </c>
      <c r="AX102" s="18">
        <f>+[1]NOTICIAS!AG51</f>
        <v>0</v>
      </c>
      <c r="AY102" s="19">
        <f>+[1]NOTICIAS!AH51</f>
        <v>-8.7036700000000007</v>
      </c>
      <c r="AZ102" s="20">
        <f>IF(AY102=0,"---",IF(OR(ABS((AX102-AY102)/ABS(AY102))&gt;2,(AX102*AY102)&lt;0),"---",IF(AY102="0","---",((AX102-AY102)/ABS(AY102))*100)))</f>
        <v>100</v>
      </c>
      <c r="BD102" s="17" t="str">
        <f>+IF($B$3="esp","Deterioros y Pérdidas de inmovilizado","Impairment &amp; Losses from fixed assets")</f>
        <v>Impairment &amp; Losses from fixed assets</v>
      </c>
      <c r="BF102" s="18"/>
      <c r="BG102" s="19"/>
      <c r="BH102" s="20" t="str">
        <f t="shared" si="28"/>
        <v>---</v>
      </c>
      <c r="BK102" s="18"/>
      <c r="BL102" s="19"/>
      <c r="BM102" s="20" t="str">
        <f t="shared" si="29"/>
        <v>---</v>
      </c>
    </row>
    <row r="103" spans="1:65" s="13" customFormat="1" ht="15" customHeight="1">
      <c r="N103" s="1"/>
      <c r="Q103" s="17"/>
      <c r="R103" s="1"/>
      <c r="S103" s="18"/>
      <c r="T103" s="19"/>
      <c r="U103" s="20"/>
      <c r="X103" s="18"/>
      <c r="Y103" s="19"/>
      <c r="Z103" s="20"/>
      <c r="AD103" s="17"/>
      <c r="AE103" s="1"/>
      <c r="AF103" s="18"/>
      <c r="AG103" s="19"/>
      <c r="AH103" s="20"/>
      <c r="AK103" s="18"/>
      <c r="AL103" s="19"/>
      <c r="AM103" s="20"/>
      <c r="AQ103" s="17"/>
      <c r="AR103" s="1"/>
      <c r="AS103" s="18"/>
      <c r="AT103" s="19"/>
      <c r="AU103" s="20"/>
      <c r="AX103" s="18"/>
      <c r="AY103" s="19"/>
      <c r="AZ103" s="20"/>
    </row>
    <row r="104" spans="1:65" ht="15" customHeight="1">
      <c r="Q104" s="17"/>
      <c r="S104" s="18"/>
      <c r="T104" s="19"/>
      <c r="U104" s="20"/>
      <c r="X104" s="18"/>
      <c r="Y104" s="19"/>
      <c r="Z104" s="20"/>
      <c r="AD104" s="17"/>
      <c r="AF104" s="18"/>
      <c r="AG104" s="19"/>
      <c r="AH104" s="20"/>
      <c r="AK104" s="18"/>
      <c r="AL104" s="19"/>
      <c r="AM104" s="20"/>
      <c r="AQ104" s="17"/>
      <c r="AS104" s="18"/>
      <c r="AT104" s="19"/>
      <c r="AU104" s="20"/>
      <c r="AX104" s="18"/>
      <c r="AY104" s="19"/>
      <c r="AZ104" s="20"/>
    </row>
    <row r="105" spans="1:65" ht="15" customHeight="1">
      <c r="A105" s="41"/>
      <c r="D105" s="17"/>
      <c r="F105" s="19"/>
      <c r="G105" s="19"/>
      <c r="H105" s="20"/>
      <c r="K105" s="19"/>
      <c r="L105" s="19"/>
      <c r="M105" s="20"/>
      <c r="Q105" s="17"/>
      <c r="S105" s="18"/>
      <c r="T105" s="19"/>
      <c r="U105" s="20"/>
      <c r="X105" s="18"/>
      <c r="Y105" s="19"/>
      <c r="Z105" s="20"/>
      <c r="AD105" s="17"/>
      <c r="AF105" s="18"/>
      <c r="AG105" s="19"/>
      <c r="AH105" s="20"/>
      <c r="AK105" s="18"/>
      <c r="AL105" s="19"/>
      <c r="AM105" s="20"/>
      <c r="AQ105" s="17"/>
      <c r="AS105" s="18"/>
      <c r="AT105" s="19"/>
      <c r="AU105" s="20"/>
      <c r="AX105" s="18"/>
      <c r="AY105" s="19"/>
      <c r="AZ105" s="20"/>
    </row>
    <row r="106" spans="1:65" ht="15" customHeight="1">
      <c r="Q106" s="17"/>
      <c r="S106" s="18"/>
      <c r="T106" s="19"/>
      <c r="U106" s="20"/>
      <c r="X106" s="18"/>
      <c r="Y106" s="19"/>
      <c r="Z106" s="20"/>
      <c r="AD106" s="17"/>
      <c r="AF106" s="18"/>
      <c r="AG106" s="19"/>
      <c r="AH106" s="20"/>
      <c r="AK106" s="18"/>
      <c r="AL106" s="19"/>
      <c r="AM106" s="20"/>
      <c r="AQ106" s="17"/>
      <c r="AS106" s="18"/>
      <c r="AT106" s="19"/>
      <c r="AU106" s="20"/>
      <c r="AX106" s="18"/>
      <c r="AY106" s="19"/>
      <c r="AZ106" s="20"/>
    </row>
    <row r="107" spans="1:65" ht="15" customHeight="1">
      <c r="D107" s="17"/>
      <c r="F107" s="19"/>
      <c r="G107" s="19"/>
      <c r="H107" s="20"/>
      <c r="K107" s="19"/>
      <c r="L107" s="19"/>
      <c r="M107" s="20"/>
    </row>
    <row r="108" spans="1:65" ht="15" customHeight="1"/>
    <row r="109" spans="1:65" ht="15" customHeight="1">
      <c r="D109" s="17"/>
      <c r="F109" s="19"/>
      <c r="G109" s="19"/>
      <c r="H109" s="20"/>
      <c r="K109" s="19"/>
      <c r="L109" s="19"/>
      <c r="M109" s="20"/>
    </row>
    <row r="112" spans="1:65"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</row>
    <row r="115" spans="4:65">
      <c r="D115" s="9" t="str">
        <f>+IF($B$3="esp","Millones de €","€ Millions")</f>
        <v>€ Millions</v>
      </c>
      <c r="F115" s="7" t="str">
        <f>+F85</f>
        <v>JANUARY - DECEMBER</v>
      </c>
      <c r="G115" s="8"/>
      <c r="H115" s="8"/>
      <c r="K115" s="7" t="str">
        <f>+K85</f>
        <v>OCTOBER - DECEMBER</v>
      </c>
      <c r="L115" s="8"/>
      <c r="M115" s="8"/>
      <c r="Q115" s="9" t="str">
        <f>+IF($B$3="esp","Millones de €","€ Millions")</f>
        <v>€ Millions</v>
      </c>
      <c r="S115" s="7" t="str">
        <f>+S6</f>
        <v>JANUARY - DECEMBER</v>
      </c>
      <c r="T115" s="8"/>
      <c r="U115" s="8"/>
      <c r="X115" s="7" t="str">
        <f>+X6</f>
        <v>OCTOBER - DECEMBER</v>
      </c>
      <c r="Y115" s="8"/>
      <c r="Z115" s="8"/>
      <c r="AD115" s="9" t="str">
        <f>+IF($B$3="esp","Millones de €","€ Millions")</f>
        <v>€ Millions</v>
      </c>
      <c r="AF115" s="7" t="str">
        <f>+AF6</f>
        <v>JANUARY - DECEMBER</v>
      </c>
      <c r="AG115" s="8"/>
      <c r="AH115" s="8"/>
      <c r="AK115" s="7" t="str">
        <f>+AK6</f>
        <v>OCTOBER - DECEMBER</v>
      </c>
      <c r="AL115" s="8"/>
      <c r="AM115" s="8"/>
      <c r="AQ115" s="9" t="str">
        <f>+IF($B$3="esp","Millones de €","€ Millions")</f>
        <v>€ Millions</v>
      </c>
      <c r="AS115" s="7" t="str">
        <f>+AS6</f>
        <v>JANUARY - DECEMBER</v>
      </c>
      <c r="AT115" s="8"/>
      <c r="AU115" s="8"/>
      <c r="AX115" s="7" t="str">
        <f>+AX6</f>
        <v>OCTOBER - DECEMBER</v>
      </c>
      <c r="AY115" s="8"/>
      <c r="AZ115" s="8"/>
      <c r="BF115" s="7" t="str">
        <f>+BF6</f>
        <v>JANUARY - DECEMBER</v>
      </c>
      <c r="BG115" s="8"/>
      <c r="BH115" s="8"/>
      <c r="BK115" s="7" t="str">
        <f>+BK6</f>
        <v>OCTOBER - DECEMBER</v>
      </c>
      <c r="BL115" s="8"/>
      <c r="BM115" s="8"/>
    </row>
    <row r="116" spans="4:65" ht="6.75" customHeight="1">
      <c r="D116" s="9"/>
    </row>
    <row r="117" spans="4:65" ht="15">
      <c r="D117" s="42" t="str">
        <f>+IF($B$3="esp","GRUPO","GROUP")</f>
        <v>GROUP</v>
      </c>
      <c r="F117" s="10">
        <v>2018</v>
      </c>
      <c r="G117" s="10">
        <v>2017</v>
      </c>
      <c r="H117" s="10" t="str">
        <f>+IF($B$3="esp","Var.%","% Chg.")</f>
        <v>% Chg.</v>
      </c>
      <c r="K117" s="10">
        <v>2018</v>
      </c>
      <c r="L117" s="10">
        <v>2017</v>
      </c>
      <c r="M117" s="10" t="str">
        <f>+IF($B$3="esp","Var.%","% Chg.")</f>
        <v>% Chg.</v>
      </c>
      <c r="Q117" s="42" t="str">
        <f>+IF($B$3="esp","EDUCACIÓN","EDUCATION")</f>
        <v>EDUCATION</v>
      </c>
      <c r="S117" s="10">
        <v>2018</v>
      </c>
      <c r="T117" s="10">
        <v>2017</v>
      </c>
      <c r="U117" s="10" t="str">
        <f>+IF($B$3="esp","Var.%","% Chg.")</f>
        <v>% Chg.</v>
      </c>
      <c r="X117" s="10">
        <v>2018</v>
      </c>
      <c r="Y117" s="10">
        <v>2017</v>
      </c>
      <c r="Z117" s="10" t="str">
        <f>+IF($B$3="esp","Var.%","% Chg.")</f>
        <v>% Chg.</v>
      </c>
      <c r="AD117" s="42" t="str">
        <f>+IF($B$3="esp","RADIO","RADIO")</f>
        <v>RADIO</v>
      </c>
      <c r="AF117" s="10">
        <v>2018</v>
      </c>
      <c r="AG117" s="10">
        <v>2017</v>
      </c>
      <c r="AH117" s="10" t="str">
        <f>+IF($B$3="esp","Var.%","% Chg.")</f>
        <v>% Chg.</v>
      </c>
      <c r="AK117" s="10">
        <v>2018</v>
      </c>
      <c r="AL117" s="10">
        <v>2017</v>
      </c>
      <c r="AM117" s="10" t="str">
        <f>+IF($B$3="esp","Var.%","% Chg.")</f>
        <v>% Chg.</v>
      </c>
      <c r="AQ117" s="42" t="str">
        <f>+IF($B$3="esp","PRENSA","PRESS")</f>
        <v>PRESS</v>
      </c>
      <c r="AS117" s="10">
        <v>2018</v>
      </c>
      <c r="AT117" s="10">
        <v>2017</v>
      </c>
      <c r="AU117" s="10" t="str">
        <f>+IF($B$3="esp","Var.%","% Chg.")</f>
        <v>% Chg.</v>
      </c>
      <c r="AX117" s="10">
        <v>2018</v>
      </c>
      <c r="AY117" s="10">
        <v>2017</v>
      </c>
      <c r="AZ117" s="10" t="str">
        <f>+IF($B$3="esp","Var.%","% Chg.")</f>
        <v>% Chg.</v>
      </c>
      <c r="BD117" s="42" t="str">
        <f>+IF($B$3="esp","MEDIA CAPITAL","MEDIA CAPITAL")</f>
        <v>MEDIA CAPITAL</v>
      </c>
      <c r="BF117" s="10">
        <v>2018</v>
      </c>
      <c r="BG117" s="10">
        <v>2017</v>
      </c>
      <c r="BH117" s="10" t="str">
        <f>+IF($B$3="esp","Var.%","% Chg.")</f>
        <v>% Chg.</v>
      </c>
      <c r="BK117" s="10">
        <v>2018</v>
      </c>
      <c r="BL117" s="10">
        <v>2017</v>
      </c>
      <c r="BM117" s="10" t="str">
        <f>+IF($B$3="esp","Var.%","% Chg.")</f>
        <v>% Chg.</v>
      </c>
    </row>
    <row r="118" spans="4:65" ht="15.75" customHeight="1">
      <c r="D118" s="11"/>
      <c r="F118" s="12"/>
      <c r="G118" s="12"/>
      <c r="H118" s="12"/>
      <c r="K118" s="12"/>
      <c r="L118" s="12"/>
      <c r="M118" s="12"/>
      <c r="Q118" s="11"/>
      <c r="S118" s="12"/>
      <c r="T118" s="12"/>
      <c r="U118" s="12"/>
      <c r="X118" s="12"/>
      <c r="Y118" s="12"/>
      <c r="Z118" s="12"/>
      <c r="AD118" s="11"/>
      <c r="AF118" s="12"/>
      <c r="AG118" s="12"/>
      <c r="AH118" s="12"/>
      <c r="AK118" s="12"/>
      <c r="AL118" s="12"/>
      <c r="AM118" s="12"/>
      <c r="AQ118" s="11"/>
      <c r="AS118" s="12"/>
      <c r="AT118" s="12"/>
      <c r="AU118" s="12"/>
      <c r="AX118" s="12"/>
      <c r="AY118" s="12"/>
      <c r="AZ118" s="12"/>
      <c r="BD118" s="11"/>
      <c r="BF118" s="12"/>
      <c r="BG118" s="12"/>
      <c r="BH118" s="12"/>
      <c r="BK118" s="12"/>
      <c r="BL118" s="12"/>
      <c r="BM118" s="12"/>
    </row>
    <row r="119" spans="4:65" s="13" customFormat="1" ht="15" customHeight="1">
      <c r="D119" s="13" t="str">
        <f>+IF($B$3="esp","EBITDA","EBITDA")</f>
        <v>EBITDA</v>
      </c>
      <c r="F119" s="14">
        <f>+[1]GRUPO!AC158</f>
        <v>252.968277577001</v>
      </c>
      <c r="G119" s="15">
        <f>+[1]GRUPO!AD158</f>
        <v>248.18167603108401</v>
      </c>
      <c r="H119" s="16">
        <f t="shared" ref="H119:H125" si="32">IF(G119=0,"---",IF(OR(ABS((F119-G119)/ABS(G119))&gt;2,(F119*G119)&lt;0),"---",IF(G119="0","---",((F119-G119)/ABS(G119))*100)))</f>
        <v>1.9286683942441774</v>
      </c>
      <c r="K119" s="14">
        <f>+[1]GRUPO!AG158</f>
        <v>63.110904913573023</v>
      </c>
      <c r="L119" s="15">
        <f>+[1]GRUPO!AH158</f>
        <v>46.798334732488001</v>
      </c>
      <c r="M119" s="16">
        <f t="shared" ref="M119:M125" si="33">IF(L119=0,"---",IF(OR(ABS((K119-L119)/ABS(L119))&gt;2,(K119*L119)&lt;0),"---",IF(L119="0","---",((K119-L119)/ABS(L119))*100)))</f>
        <v>34.857159500080733</v>
      </c>
      <c r="Q119" s="13" t="str">
        <f>+IF($B$3="esp","EBITDA","EBITDA")</f>
        <v>EBITDA</v>
      </c>
      <c r="S119" s="14">
        <f>+[1]SANTILLANA!AC202</f>
        <v>167.25522920902802</v>
      </c>
      <c r="T119" s="15">
        <f>+[1]SANTILLANA!AD202</f>
        <v>179.327627385673</v>
      </c>
      <c r="U119" s="16">
        <f>IF(T119=0,"---",IF(OR(ABS((S119-T119)/ABS(T119))&gt;2,(S119*T119)&lt;0),"---",IF(T119="0","---",((S119-T119)/ABS(T119))*100)))</f>
        <v>-6.732034741463087</v>
      </c>
      <c r="X119" s="14">
        <f>+[1]SANTILLANA!AG202</f>
        <v>18.678888077194017</v>
      </c>
      <c r="Y119" s="15">
        <f>+[1]SANTILLANA!AH202</f>
        <v>15.434212022760022</v>
      </c>
      <c r="Z119" s="16">
        <f>IF(Y119=0,"---",IF(OR(ABS((X119-Y119)/ABS(Y119))&gt;2,(X119*Y119)&lt;0),"---",IF(Y119="0","---",((X119-Y119)/ABS(Y119))*100)))</f>
        <v>21.022622014322739</v>
      </c>
      <c r="AD119" s="13" t="str">
        <f>+IF($B$3="esp","EBITDA","EBITDA")</f>
        <v>EBITDA</v>
      </c>
      <c r="AF119" s="14">
        <f>+[1]RADIO!AC113</f>
        <v>52.9072481954735</v>
      </c>
      <c r="AG119" s="15">
        <f>+[1]RADIO!AD113</f>
        <v>41.3523095926707</v>
      </c>
      <c r="AH119" s="16">
        <f t="shared" ref="AH119:AH125" si="34">IF(AG119=0,"---",IF(OR(ABS((AF119-AG119)/ABS(AG119))&gt;2,(AF119*AG119)&lt;0),"---",IF(AG119="0","---",((AF119-AG119)/ABS(AG119))*100)))</f>
        <v>27.942668055597075</v>
      </c>
      <c r="AK119" s="14">
        <f>+[1]RADIO!AG113</f>
        <v>20.9290261027738</v>
      </c>
      <c r="AL119" s="15">
        <f>+[1]RADIO!AH113</f>
        <v>17.235411319299203</v>
      </c>
      <c r="AM119" s="16">
        <f t="shared" ref="AM119:AM125" si="35">IF(AL119=0,"---",IF(OR(ABS((AK119-AL119)/ABS(AL119))&gt;2,(AK119*AL119)&lt;0),"---",IF(AL119="0","---",((AK119-AL119)/ABS(AL119))*100)))</f>
        <v>21.430383731769165</v>
      </c>
      <c r="AQ119" s="13" t="str">
        <f>+IF($B$3="esp","EBITDA","EBITDA")</f>
        <v>EBITDA</v>
      </c>
      <c r="AS119" s="14">
        <f>+[1]NOTICIAS!AC65</f>
        <v>7.3227732449143996</v>
      </c>
      <c r="AT119" s="15">
        <f>+[1]NOTICIAS!AD65</f>
        <v>3.9615303281895398</v>
      </c>
      <c r="AU119" s="16">
        <f>IF(AT119=0,"---",IF(OR(ABS((AS119-AT119)/ABS(AT119))&gt;2,(AS119*AT119)&lt;0),"---",IF(AT119="0","---",((AS119-AT119)/ABS(AT119))*100)))</f>
        <v>84.847082775231016</v>
      </c>
      <c r="AX119" s="14">
        <f>+[1]NOTICIAS!AG65</f>
        <v>9.15614770212877</v>
      </c>
      <c r="AY119" s="15">
        <f>+[1]NOTICIAS!AH65</f>
        <v>2.01634355744127</v>
      </c>
      <c r="AZ119" s="16" t="str">
        <f>IF(AY119=0,"---",IF(OR(ABS((AX119-AY119)/ABS(AY119))&gt;2,(AX119*AY119)&lt;0),"---",IF(AY119="0","---",((AX119-AY119)/ABS(AY119))*100)))</f>
        <v>---</v>
      </c>
      <c r="BD119" s="13" t="str">
        <f>+IF($B$3="esp","EBITDA","EBITDA")</f>
        <v>EBITDA</v>
      </c>
      <c r="BF119" s="14">
        <f>+'[1]MEDIA CAPITAL'!AC75</f>
        <v>40.7219848639483</v>
      </c>
      <c r="BG119" s="15">
        <f>+'[1]MEDIA CAPITAL'!AD75</f>
        <v>40.688675106971296</v>
      </c>
      <c r="BH119" s="16">
        <f>IF(BG119=0,"---",IF(OR(ABS((BF119-BG119)/ABS(BG119))&gt;2,(BF119*BG119)&lt;0),"---",IF(BG119="0","---",((BF119-BG119)/ABS(BG119))*100)))</f>
        <v>8.1864933889915767E-2</v>
      </c>
      <c r="BK119" s="14">
        <f>+'[1]MEDIA CAPITAL'!AG75</f>
        <v>16.160697987616999</v>
      </c>
      <c r="BL119" s="15">
        <f>+'[1]MEDIA CAPITAL'!AH75</f>
        <v>17.827479014042897</v>
      </c>
      <c r="BM119" s="16">
        <f>IF(BL119=0,"---",IF(OR(ABS((BK119-BL119)/ABS(BL119))&gt;2,(BK119*BL119)&lt;0),"---",IF(BL119="0","---",((BK119-BL119)/ABS(BL119))*100)))</f>
        <v>-9.349504913807257</v>
      </c>
    </row>
    <row r="120" spans="4:65" ht="15" customHeight="1">
      <c r="D120" s="17" t="str">
        <f>+IF($B$3="esp","Efectos extraordinarios","Extraordinary effects")</f>
        <v>Extraordinary effects</v>
      </c>
      <c r="F120" s="18">
        <f>+[1]GRUPO!AC159</f>
        <v>23.379443235443205</v>
      </c>
      <c r="G120" s="19">
        <f>+[1]GRUPO!AD159</f>
        <v>22.246135621664109</v>
      </c>
      <c r="H120" s="20">
        <f t="shared" si="32"/>
        <v>5.0944021606855552</v>
      </c>
      <c r="K120" s="18">
        <f>+[1]GRUPO!AG159</f>
        <v>1.761157597985175</v>
      </c>
      <c r="L120" s="19">
        <f>+[1]GRUPO!AH159</f>
        <v>12.246125168792815</v>
      </c>
      <c r="M120" s="20">
        <f t="shared" si="33"/>
        <v>-85.618654278716761</v>
      </c>
      <c r="Q120" s="17" t="str">
        <f>+IF($B$3="esp","Efectos extraordinarios","Extraordinary effects")</f>
        <v>Extraordinary effects</v>
      </c>
      <c r="S120" s="18">
        <f>+[1]SANTILLANA!AC203</f>
        <v>1.411313424430034</v>
      </c>
      <c r="T120" s="19">
        <f>+[1]SANTILLANA!AD203</f>
        <v>5.2426992892383169</v>
      </c>
      <c r="U120" s="20">
        <f t="shared" ref="U120:U125" si="36">IF(T120=0,"---",IF(OR(ABS((S120-T120)/ABS(T120))&gt;2,(S120*T120)&lt;0),"---",IF(T120="0","---",((S120-T120)/ABS(T120))*100)))</f>
        <v>-73.080404834070194</v>
      </c>
      <c r="X120" s="18">
        <f>+[1]SANTILLANA!AG203</f>
        <v>-0.84953218844694334</v>
      </c>
      <c r="Y120" s="19">
        <f>+[1]SANTILLANA!AH203</f>
        <v>4.1258288078986993</v>
      </c>
      <c r="Z120" s="20" t="str">
        <f t="shared" ref="Z120:Z125" si="37">IF(Y120=0,"---",IF(OR(ABS((X120-Y120)/ABS(Y120))&gt;2,(X120*Y120)&lt;0),"---",IF(Y120="0","---",((X120-Y120)/ABS(Y120))*100)))</f>
        <v>---</v>
      </c>
      <c r="AD120" s="17" t="str">
        <f>+IF($B$3="esp","Efectos extraordinarios","Extraordinary effects")</f>
        <v>Extraordinary effects</v>
      </c>
      <c r="AF120" s="18">
        <f>+[1]RADIO!AC114</f>
        <v>8.8947490622033314</v>
      </c>
      <c r="AG120" s="19">
        <f>+[1]RADIO!AD114</f>
        <v>5.203715887555596</v>
      </c>
      <c r="AH120" s="20">
        <f t="shared" si="34"/>
        <v>70.930720554414606</v>
      </c>
      <c r="AK120" s="18">
        <f>+[1]RADIO!AG114</f>
        <v>2.4361660736348334</v>
      </c>
      <c r="AL120" s="19">
        <f>+[1]RADIO!AH114</f>
        <v>0.85395989477661516</v>
      </c>
      <c r="AM120" s="20">
        <f t="shared" si="35"/>
        <v>185.27874535280171</v>
      </c>
      <c r="AQ120" s="17" t="str">
        <f>+IF($B$3="esp","Efectos extraordinarios","Extraordinary effects")</f>
        <v>Extraordinary effects</v>
      </c>
      <c r="AS120" s="18">
        <f>+[1]NOTICIAS!AC66</f>
        <v>6.3464790452692998</v>
      </c>
      <c r="AT120" s="19">
        <f>+[1]NOTICIAS!AD66</f>
        <v>8.5169714500071496</v>
      </c>
      <c r="AU120" s="20">
        <f t="shared" ref="AU120:AU125" si="38">IF(AT120=0,"---",IF(OR(ABS((AS120-AT120)/ABS(AT120))&gt;2,(AS120*AT120)&lt;0),"---",IF(AT120="0","---",((AS120-AT120)/ABS(AT120))*100)))</f>
        <v>-25.484321715508717</v>
      </c>
      <c r="AX120" s="18">
        <f>+[1]NOTICIAS!AG66</f>
        <v>1.2102129354750595</v>
      </c>
      <c r="AY120" s="19">
        <f>+[1]NOTICIAS!AH66</f>
        <v>5.9494277212819906</v>
      </c>
      <c r="AZ120" s="20">
        <f t="shared" ref="AZ120:AZ125" si="39">IF(AY120=0,"---",IF(OR(ABS((AX120-AY120)/ABS(AY120))&gt;2,(AX120*AY120)&lt;0),"---",IF(AY120="0","---",((AX120-AY120)/ABS(AY120))*100)))</f>
        <v>-79.658330310561681</v>
      </c>
      <c r="BD120" s="17" t="str">
        <f>+IF($B$3="esp","Efectos extraordinarios","Extraordinary effects")</f>
        <v>Extraordinary effects</v>
      </c>
      <c r="BF120" s="18">
        <f>+'[1]MEDIA CAPITAL'!AC76</f>
        <v>0.73810732999999829</v>
      </c>
      <c r="BG120" s="19">
        <f>+'[1]MEDIA CAPITAL'!AD76</f>
        <v>1.0507418299999998</v>
      </c>
      <c r="BH120" s="20">
        <f t="shared" ref="BH120:BH125" si="40">IF(BG120=0,"---",IF(OR(ABS((BF120-BG120)/ABS(BG120))&gt;2,(BF120*BG120)&lt;0),"---",IF(BG120="0","---",((BF120-BG120)/ABS(BG120))*100)))</f>
        <v>-29.753693159812773</v>
      </c>
      <c r="BK120" s="18">
        <f>+'[1]MEDIA CAPITAL'!AG76</f>
        <v>0.18008339000000007</v>
      </c>
      <c r="BL120" s="19">
        <f>+'[1]MEDIA CAPITAL'!AH76</f>
        <v>0.13356973999999866</v>
      </c>
      <c r="BM120" s="20">
        <f t="shared" ref="BM120:BM125" si="41">IF(BL120=0,"---",IF(OR(ABS((BK120-BL120)/ABS(BL120))&gt;2,(BK120*BL120)&lt;0),"---",IF(BL120="0","---",((BK120-BL120)/ABS(BL120))*100)))</f>
        <v>34.823493704488662</v>
      </c>
    </row>
    <row r="121" spans="4:65" ht="15" customHeight="1">
      <c r="D121" s="13" t="str">
        <f>+IF($B$3="esp","EBITDA Ajustado","Adjusted EBITDA")</f>
        <v>Adjusted EBITDA</v>
      </c>
      <c r="E121" s="13"/>
      <c r="F121" s="14">
        <f>+[1]GRUPO!AC160</f>
        <v>276.34772081244421</v>
      </c>
      <c r="G121" s="15">
        <f>+[1]GRUPO!AD160</f>
        <v>270.42781165274812</v>
      </c>
      <c r="H121" s="16">
        <f t="shared" si="32"/>
        <v>2.1890903614964525</v>
      </c>
      <c r="K121" s="14">
        <f>+[1]GRUPO!AG160</f>
        <v>64.872062511558198</v>
      </c>
      <c r="L121" s="15">
        <f>+[1]GRUPO!AH160</f>
        <v>59.044459901280817</v>
      </c>
      <c r="M121" s="16">
        <f t="shared" si="33"/>
        <v>9.8698550550226418</v>
      </c>
      <c r="Q121" s="13" t="str">
        <f>+IF($B$3="esp","EBITDA Ajustado","Adjusted EBITDA")</f>
        <v>Adjusted EBITDA</v>
      </c>
      <c r="R121" s="13"/>
      <c r="S121" s="14">
        <f>+[1]SANTILLANA!AC204</f>
        <v>168.66654263345805</v>
      </c>
      <c r="T121" s="15">
        <f>+[1]SANTILLANA!AD204</f>
        <v>184.57032667491131</v>
      </c>
      <c r="U121" s="16">
        <f t="shared" si="36"/>
        <v>-8.6166527025034885</v>
      </c>
      <c r="X121" s="14">
        <f>+[1]SANTILLANA!AG204</f>
        <v>17.829355888747074</v>
      </c>
      <c r="Y121" s="15">
        <f>+[1]SANTILLANA!AH204</f>
        <v>19.560040830658721</v>
      </c>
      <c r="Z121" s="16">
        <f t="shared" si="37"/>
        <v>-8.8480640551575132</v>
      </c>
      <c r="AD121" s="13" t="str">
        <f>+IF($B$3="esp","EBITDA Ajustado","Adjusted EBITDA")</f>
        <v>Adjusted EBITDA</v>
      </c>
      <c r="AE121" s="13"/>
      <c r="AF121" s="14">
        <f>+[1]RADIO!AC115</f>
        <v>61.801997257676831</v>
      </c>
      <c r="AG121" s="15">
        <f>+[1]RADIO!AD115</f>
        <v>46.556025480226296</v>
      </c>
      <c r="AH121" s="16">
        <f t="shared" si="34"/>
        <v>32.747580190078608</v>
      </c>
      <c r="AK121" s="14">
        <f>+[1]RADIO!AG115</f>
        <v>23.365192176408634</v>
      </c>
      <c r="AL121" s="15">
        <f>+[1]RADIO!AH115</f>
        <v>18.089371214075818</v>
      </c>
      <c r="AM121" s="16">
        <f t="shared" si="35"/>
        <v>29.165308732387334</v>
      </c>
      <c r="AQ121" s="13" t="str">
        <f>+IF($B$3="esp","EBITDA Ajustado","Adjusted EBITDA")</f>
        <v>Adjusted EBITDA</v>
      </c>
      <c r="AR121" s="13"/>
      <c r="AS121" s="14">
        <f>+[1]NOTICIAS!AC67</f>
        <v>13.669252290183699</v>
      </c>
      <c r="AT121" s="15">
        <f>+[1]NOTICIAS!AD67</f>
        <v>12.478501778196689</v>
      </c>
      <c r="AU121" s="16">
        <f t="shared" si="38"/>
        <v>9.5424156934254167</v>
      </c>
      <c r="AX121" s="14">
        <f>+[1]NOTICIAS!AG67</f>
        <v>10.36636063760383</v>
      </c>
      <c r="AY121" s="15">
        <f>+[1]NOTICIAS!AH67</f>
        <v>7.9657712787232597</v>
      </c>
      <c r="AZ121" s="16">
        <f t="shared" si="39"/>
        <v>30.13630789641919</v>
      </c>
      <c r="BD121" s="13" t="str">
        <f>+IF($B$3="esp","EBITDA Ajustado","Adjusted EBITDA")</f>
        <v>Adjusted EBITDA</v>
      </c>
      <c r="BF121" s="14">
        <f>+'[1]MEDIA CAPITAL'!AC77</f>
        <v>41.460092193948299</v>
      </c>
      <c r="BG121" s="15">
        <f>+'[1]MEDIA CAPITAL'!AD77</f>
        <v>41.739416936971296</v>
      </c>
      <c r="BH121" s="16">
        <f t="shared" si="40"/>
        <v>-0.66921093661847697</v>
      </c>
      <c r="BK121" s="14">
        <f>+'[1]MEDIA CAPITAL'!AG77</f>
        <v>16.340781377616999</v>
      </c>
      <c r="BL121" s="15">
        <f>+'[1]MEDIA CAPITAL'!AH77</f>
        <v>17.961048754042896</v>
      </c>
      <c r="BM121" s="16">
        <f t="shared" si="41"/>
        <v>-9.0210065047631858</v>
      </c>
    </row>
    <row r="122" spans="4:65" ht="15" customHeight="1">
      <c r="D122" s="17" t="str">
        <f>+IF($B$3="esp","Amortizaciones","Amortizations")</f>
        <v>Amortizations</v>
      </c>
      <c r="F122" s="18">
        <f>+[1]GRUPO!AC161</f>
        <v>65.474889258695399</v>
      </c>
      <c r="G122" s="19">
        <f>+[1]GRUPO!AD161</f>
        <v>77.555572972308795</v>
      </c>
      <c r="H122" s="20">
        <f t="shared" si="32"/>
        <v>-15.576809313144786</v>
      </c>
      <c r="K122" s="18">
        <f>+[1]GRUPO!AG161</f>
        <v>17.3394039079135</v>
      </c>
      <c r="L122" s="19">
        <f>+[1]GRUPO!AH161</f>
        <v>19.812551956489393</v>
      </c>
      <c r="M122" s="20">
        <f t="shared" si="33"/>
        <v>-12.48273344093788</v>
      </c>
      <c r="Q122" s="17" t="str">
        <f>+IF($B$3="esp","Amortizaciones","Amortizations")</f>
        <v>Amortizations</v>
      </c>
      <c r="S122" s="18">
        <f>+[1]SANTILLANA!AC205</f>
        <v>45.639027609504701</v>
      </c>
      <c r="T122" s="19">
        <f>+[1]SANTILLANA!AD205</f>
        <v>52.997736901822101</v>
      </c>
      <c r="U122" s="20">
        <f t="shared" si="36"/>
        <v>-13.884950042205297</v>
      </c>
      <c r="X122" s="18">
        <f>+[1]SANTILLANA!AG205</f>
        <v>12.252335135465202</v>
      </c>
      <c r="Y122" s="19">
        <f>+[1]SANTILLANA!AH205</f>
        <v>13.385861291666401</v>
      </c>
      <c r="Z122" s="20">
        <f t="shared" si="37"/>
        <v>-8.468085329009762</v>
      </c>
      <c r="AD122" s="17" t="str">
        <f>+IF($B$3="esp","Amortizaciones","Amortizations")</f>
        <v>Amortizations</v>
      </c>
      <c r="AF122" s="18">
        <f>+[1]RADIO!AC116</f>
        <v>8.1520133128802907</v>
      </c>
      <c r="AG122" s="19">
        <f>+[1]RADIO!AD116</f>
        <v>8.231843585829159</v>
      </c>
      <c r="AH122" s="20">
        <f t="shared" si="34"/>
        <v>-0.96977392872592183</v>
      </c>
      <c r="AK122" s="18">
        <f>+[1]RADIO!AG116</f>
        <v>2.1384605505994401</v>
      </c>
      <c r="AL122" s="19">
        <f>+[1]RADIO!AH116</f>
        <v>2.3015952381075593</v>
      </c>
      <c r="AM122" s="20">
        <f t="shared" si="35"/>
        <v>-7.0878964644649445</v>
      </c>
      <c r="AQ122" s="17" t="str">
        <f>+IF($B$3="esp","Amortizaciones","Amortizations")</f>
        <v>Amortizations</v>
      </c>
      <c r="AS122" s="18">
        <f>+[1]NOTICIAS!AC68</f>
        <v>4.2941659199816007</v>
      </c>
      <c r="AT122" s="19">
        <f>+[1]NOTICIAS!AD68</f>
        <v>7.4892728268243101</v>
      </c>
      <c r="AU122" s="20">
        <f t="shared" si="38"/>
        <v>-42.662445082769622</v>
      </c>
      <c r="AX122" s="18">
        <f>+[1]NOTICIAS!AG68</f>
        <v>1.0936033658250208</v>
      </c>
      <c r="AY122" s="19">
        <f>+[1]NOTICIAS!AH68</f>
        <v>1.8112460440453502</v>
      </c>
      <c r="AZ122" s="20">
        <f t="shared" si="39"/>
        <v>-39.621490441878414</v>
      </c>
      <c r="BD122" s="17" t="str">
        <f>+IF($B$3="esp","Amortizaciones","Amortizations")</f>
        <v>Amortizations</v>
      </c>
      <c r="BF122" s="18">
        <f>+'[1]MEDIA CAPITAL'!AC78</f>
        <v>6.6323540599999999</v>
      </c>
      <c r="BG122" s="19">
        <f>+'[1]MEDIA CAPITAL'!AD78</f>
        <v>7.9026488099999996</v>
      </c>
      <c r="BH122" s="20">
        <f t="shared" si="40"/>
        <v>-16.074290792127453</v>
      </c>
      <c r="BK122" s="18">
        <f>+'[1]MEDIA CAPITAL'!AG78</f>
        <v>1.6827659500000003</v>
      </c>
      <c r="BL122" s="19">
        <f>+'[1]MEDIA CAPITAL'!AH78</f>
        <v>2.1179676799999996</v>
      </c>
      <c r="BM122" s="20">
        <f t="shared" si="41"/>
        <v>-20.54808173465609</v>
      </c>
    </row>
    <row r="123" spans="4:65" ht="15" customHeight="1">
      <c r="D123" s="17" t="str">
        <f>+IF($B$3="esp","Provisiones","Provisions")</f>
        <v>Provisions</v>
      </c>
      <c r="F123" s="18">
        <f>+[1]GRUPO!AC162</f>
        <v>20.650613952638199</v>
      </c>
      <c r="G123" s="19">
        <f>+[1]GRUPO!AD162</f>
        <v>18.1213474006681</v>
      </c>
      <c r="H123" s="20">
        <f t="shared" si="32"/>
        <v>13.957386810413725</v>
      </c>
      <c r="K123" s="18">
        <f>+[1]GRUPO!AG162</f>
        <v>-1.6764422726830013</v>
      </c>
      <c r="L123" s="19">
        <f>+[1]GRUPO!AH162</f>
        <v>-3.4545356497994995</v>
      </c>
      <c r="M123" s="20">
        <f t="shared" si="33"/>
        <v>51.471270161004078</v>
      </c>
      <c r="Q123" s="17" t="str">
        <f>+IF($B$3="esp","Provisiones","Provisions")</f>
        <v>Provisions</v>
      </c>
      <c r="S123" s="18">
        <f>+[1]SANTILLANA!AC206</f>
        <v>15.8092792393249</v>
      </c>
      <c r="T123" s="19">
        <f>+[1]SANTILLANA!AD206</f>
        <v>14.102087821749699</v>
      </c>
      <c r="U123" s="20">
        <f t="shared" si="36"/>
        <v>12.10594799262414</v>
      </c>
      <c r="X123" s="18">
        <f>+[1]SANTILLANA!AG206</f>
        <v>-3.8465915594998012</v>
      </c>
      <c r="Y123" s="19">
        <f>+[1]SANTILLANA!AH206</f>
        <v>-4.8199472363274012</v>
      </c>
      <c r="Z123" s="20">
        <f t="shared" si="37"/>
        <v>20.194322242607292</v>
      </c>
      <c r="AD123" s="17" t="str">
        <f>+IF($B$3="esp","Provisiones","Provisions")</f>
        <v>Provisions</v>
      </c>
      <c r="AF123" s="18">
        <f>+[1]RADIO!AC117</f>
        <v>1.43015806844969</v>
      </c>
      <c r="AG123" s="19">
        <f>+[1]RADIO!AD117</f>
        <v>2.3931647762419601</v>
      </c>
      <c r="AH123" s="20">
        <f t="shared" si="34"/>
        <v>-40.239883076688976</v>
      </c>
      <c r="AK123" s="18">
        <f>+[1]RADIO!AG117</f>
        <v>9.2026996700189878E-2</v>
      </c>
      <c r="AL123" s="19">
        <f>+[1]RADIO!AH117</f>
        <v>1.0169662603640302</v>
      </c>
      <c r="AM123" s="20">
        <f t="shared" si="35"/>
        <v>-90.950830889193099</v>
      </c>
      <c r="AQ123" s="17" t="str">
        <f>+IF($B$3="esp","Provisiones","Provisions")</f>
        <v>Provisions</v>
      </c>
      <c r="AS123" s="18">
        <f>+[1]NOTICIAS!AC69</f>
        <v>1.55174285597933</v>
      </c>
      <c r="AT123" s="19">
        <f>+[1]NOTICIAS!AD69</f>
        <v>1.0885887354550901</v>
      </c>
      <c r="AU123" s="20">
        <f t="shared" si="38"/>
        <v>42.546290021145225</v>
      </c>
      <c r="AX123" s="18">
        <f>+[1]NOTICIAS!AG69</f>
        <v>0.53916631721428998</v>
      </c>
      <c r="AY123" s="19">
        <f>+[1]NOTICIAS!AH69</f>
        <v>0.17965343503686904</v>
      </c>
      <c r="AZ123" s="20" t="str">
        <f t="shared" si="39"/>
        <v>---</v>
      </c>
      <c r="BD123" s="17" t="str">
        <f>+IF($B$3="esp","Provisiones","Provisions")</f>
        <v>Provisions</v>
      </c>
      <c r="BF123" s="18">
        <f>+'[1]MEDIA CAPITAL'!AC79</f>
        <v>0.47681108</v>
      </c>
      <c r="BG123" s="19">
        <f>+'[1]MEDIA CAPITAL'!AD79</f>
        <v>0.21037095</v>
      </c>
      <c r="BH123" s="20">
        <f t="shared" si="40"/>
        <v>126.65252973378691</v>
      </c>
      <c r="BK123" s="18">
        <f>+'[1]MEDIA CAPITAL'!AG79</f>
        <v>0.40595539000000003</v>
      </c>
      <c r="BL123" s="19">
        <f>+'[1]MEDIA CAPITAL'!AH79</f>
        <v>9.4243330000000014E-2</v>
      </c>
      <c r="BM123" s="20" t="str">
        <f t="shared" si="41"/>
        <v>---</v>
      </c>
    </row>
    <row r="124" spans="4:65" ht="15" customHeight="1">
      <c r="D124" s="17" t="str">
        <f>+IF($B$3="esp","Pérdidas de inmovilizado","Impairment from fixed assets")</f>
        <v>Impairment from fixed assets</v>
      </c>
      <c r="F124" s="18">
        <f>+[1]GRUPO!AC163</f>
        <v>2.1954488199549012</v>
      </c>
      <c r="G124" s="19">
        <f>+[1]GRUPO!AD163</f>
        <v>-0.15185714419385477</v>
      </c>
      <c r="H124" s="20" t="str">
        <f t="shared" si="32"/>
        <v>---</v>
      </c>
      <c r="K124" s="18">
        <f>+[1]GRUPO!AG163</f>
        <v>0.98333602153597965</v>
      </c>
      <c r="L124" s="19">
        <f>+[1]GRUPO!AH163</f>
        <v>-1.9990991759778645</v>
      </c>
      <c r="M124" s="20" t="str">
        <f t="shared" si="33"/>
        <v>---</v>
      </c>
      <c r="Q124" s="17" t="str">
        <f>+IF($B$3="esp","Pérdidas de inmovilizado","Impairment from fixed assets")</f>
        <v>Impairment from fixed assets</v>
      </c>
      <c r="S124" s="18">
        <f>+[1]SANTILLANA!AC207</f>
        <v>1.4925973366023175</v>
      </c>
      <c r="T124" s="19">
        <f>+[1]SANTILLANA!AD207</f>
        <v>9.8144786987148791E-3</v>
      </c>
      <c r="U124" s="20" t="str">
        <f t="shared" si="36"/>
        <v>---</v>
      </c>
      <c r="X124" s="18">
        <f>+[1]SANTILLANA!AG207</f>
        <v>0.35276756177259649</v>
      </c>
      <c r="Y124" s="19">
        <f>+[1]SANTILLANA!AH207</f>
        <v>-0.78713387874451968</v>
      </c>
      <c r="Z124" s="20" t="str">
        <f t="shared" si="37"/>
        <v>---</v>
      </c>
      <c r="AD124" s="17" t="str">
        <f>+IF($B$3="esp","Pérdidas de inmovilizado","Impairment from fixed assets")</f>
        <v>Impairment from fixed assets</v>
      </c>
      <c r="AF124" s="18">
        <f>+[1]RADIO!AC118</f>
        <v>0.16514710467371874</v>
      </c>
      <c r="AG124" s="19">
        <f>+[1]RADIO!AD118</f>
        <v>-0.22029252863707249</v>
      </c>
      <c r="AH124" s="20" t="str">
        <f t="shared" si="34"/>
        <v>---</v>
      </c>
      <c r="AK124" s="18">
        <f>+[1]RADIO!AG118</f>
        <v>0.19488074976293901</v>
      </c>
      <c r="AL124" s="19">
        <f>+[1]RADIO!AH118</f>
        <v>-1.2689613813320773</v>
      </c>
      <c r="AM124" s="20" t="str">
        <f t="shared" si="35"/>
        <v>---</v>
      </c>
      <c r="AQ124" s="17" t="str">
        <f>+IF($B$3="esp","Pérdidas de inmovilizado","Impairment from fixed assets")</f>
        <v>Impairment from fixed assets</v>
      </c>
      <c r="AS124" s="18">
        <f>+[1]NOTICIAS!AC70</f>
        <v>0.43574926867883867</v>
      </c>
      <c r="AT124" s="19">
        <f>+[1]NOTICIAS!AD70</f>
        <v>5.0090574353967021E-4</v>
      </c>
      <c r="AU124" s="20" t="str">
        <f t="shared" si="38"/>
        <v>---</v>
      </c>
      <c r="AX124" s="18">
        <f>+[1]NOTICIAS!AG70</f>
        <v>0.43568771000005868</v>
      </c>
      <c r="AY124" s="19">
        <f>+[1]NOTICIAS!AH70</f>
        <v>-1.1239159017393252E-3</v>
      </c>
      <c r="AZ124" s="20" t="str">
        <f t="shared" si="39"/>
        <v>---</v>
      </c>
      <c r="BD124" s="17" t="str">
        <f>+IF($B$3="esp","Pérdidas de inmovilizado","Impairment from fixed assets")</f>
        <v>Impairment from fixed assets</v>
      </c>
      <c r="BF124" s="18">
        <f>+'[1]MEDIA CAPITAL'!AC80</f>
        <v>1.8318679906315083E-15</v>
      </c>
      <c r="BG124" s="19">
        <f>+'[1]MEDIA CAPITAL'!AD80</f>
        <v>5.8119999999995897E-2</v>
      </c>
      <c r="BH124" s="20">
        <f t="shared" si="40"/>
        <v>-99.999999999996845</v>
      </c>
      <c r="BK124" s="18">
        <f>+'[1]MEDIA CAPITAL'!AG80</f>
        <v>2.581268532253489E-15</v>
      </c>
      <c r="BL124" s="19">
        <f>+'[1]MEDIA CAPITAL'!AH80</f>
        <v>5.8119999999996452E-2</v>
      </c>
      <c r="BM124" s="20">
        <f t="shared" si="41"/>
        <v>-99.999999999995566</v>
      </c>
    </row>
    <row r="125" spans="4:65" ht="15" customHeight="1">
      <c r="D125" s="13" t="str">
        <f>+IF($B$3="esp","Resultado de Explotación","Operating Result")</f>
        <v>Operating Result</v>
      </c>
      <c r="E125" s="13"/>
      <c r="F125" s="14">
        <f>+[1]GRUPO!AC164</f>
        <v>188.02676878115571</v>
      </c>
      <c r="G125" s="15">
        <f>+[1]GRUPO!AD164</f>
        <v>174.90274842396508</v>
      </c>
      <c r="H125" s="16">
        <f t="shared" si="32"/>
        <v>7.5036101350322655</v>
      </c>
      <c r="K125" s="14">
        <f>+[1]GRUPO!AG164</f>
        <v>48.22576485479172</v>
      </c>
      <c r="L125" s="15">
        <f>+[1]GRUPO!AH164</f>
        <v>44.685542770568787</v>
      </c>
      <c r="M125" s="16">
        <f t="shared" si="33"/>
        <v>7.9225222851150576</v>
      </c>
      <c r="Q125" s="13" t="str">
        <f>+IF($B$3="esp","Resultado de Explotación","Operating Result")</f>
        <v>Operating Result</v>
      </c>
      <c r="R125" s="13"/>
      <c r="S125" s="14">
        <f>+[1]SANTILLANA!AC208</f>
        <v>105.72563844802613</v>
      </c>
      <c r="T125" s="15">
        <f>+[1]SANTILLANA!AD208</f>
        <v>117.4606874726408</v>
      </c>
      <c r="U125" s="16">
        <f t="shared" si="36"/>
        <v>-9.9906183737840131</v>
      </c>
      <c r="X125" s="14">
        <f>+[1]SANTILLANA!AG208</f>
        <v>9.0708447510090764</v>
      </c>
      <c r="Y125" s="15">
        <f>+[1]SANTILLANA!AH208</f>
        <v>11.781260654064241</v>
      </c>
      <c r="Z125" s="16">
        <f t="shared" si="37"/>
        <v>-23.006161926483976</v>
      </c>
      <c r="AD125" s="13" t="str">
        <f>+IF($B$3="esp","Resultado de Explotación","Operating Result")</f>
        <v>Operating Result</v>
      </c>
      <c r="AE125" s="13"/>
      <c r="AF125" s="14">
        <f>+[1]RADIO!AC119</f>
        <v>52.054678771673132</v>
      </c>
      <c r="AG125" s="15">
        <f>+[1]RADIO!AD119</f>
        <v>36.151309646792249</v>
      </c>
      <c r="AH125" s="16">
        <f t="shared" si="34"/>
        <v>43.991128620957184</v>
      </c>
      <c r="AK125" s="14">
        <f>+[1]RADIO!AG119</f>
        <v>20.939823879346065</v>
      </c>
      <c r="AL125" s="15">
        <f>+[1]RADIO!AH119</f>
        <v>16.039771096936306</v>
      </c>
      <c r="AM125" s="16">
        <f t="shared" si="35"/>
        <v>30.549393459521994</v>
      </c>
      <c r="AQ125" s="13" t="str">
        <f>+IF($B$3="esp","Resultado de Explotación","Operating Result")</f>
        <v>Operating Result</v>
      </c>
      <c r="AR125" s="13"/>
      <c r="AS125" s="14">
        <f>+[1]NOTICIAS!AC71</f>
        <v>7.3875942455439301</v>
      </c>
      <c r="AT125" s="15">
        <f>+[1]NOTICIAS!AD71</f>
        <v>3.9001393101737487</v>
      </c>
      <c r="AU125" s="16">
        <f t="shared" si="38"/>
        <v>89.418727332968459</v>
      </c>
      <c r="AX125" s="14">
        <f>+[1]NOTICIAS!AG71</f>
        <v>8.2979032445644592</v>
      </c>
      <c r="AY125" s="15">
        <f>+[1]NOTICIAS!AH71</f>
        <v>5.9759957155427799</v>
      </c>
      <c r="AZ125" s="16">
        <f t="shared" si="39"/>
        <v>38.853902170356363</v>
      </c>
      <c r="BD125" s="13" t="str">
        <f>+IF($B$3="esp","Resultado de Explotación","Operating Result")</f>
        <v>Operating Result</v>
      </c>
      <c r="BF125" s="14">
        <f>+'[1]MEDIA CAPITAL'!AC81</f>
        <v>34.350927053948297</v>
      </c>
      <c r="BG125" s="15">
        <f>+'[1]MEDIA CAPITAL'!AD81</f>
        <v>33.5682771769713</v>
      </c>
      <c r="BH125" s="16">
        <f t="shared" si="40"/>
        <v>2.3315163684179621</v>
      </c>
      <c r="BK125" s="14">
        <f>+'[1]MEDIA CAPITAL'!AG81</f>
        <v>14.252060037616996</v>
      </c>
      <c r="BL125" s="15">
        <f>+'[1]MEDIA CAPITAL'!AH81</f>
        <v>15.6907177440429</v>
      </c>
      <c r="BM125" s="16">
        <f t="shared" si="41"/>
        <v>-9.1688457462189774</v>
      </c>
    </row>
    <row r="126" spans="4:65" ht="15" customHeight="1"/>
    <row r="128" spans="4:65">
      <c r="D128" s="9"/>
      <c r="F128" s="7" t="str">
        <f>+F115</f>
        <v>JANUARY - DECEMBER</v>
      </c>
      <c r="G128" s="8"/>
      <c r="H128" s="8"/>
      <c r="K128" s="7" t="str">
        <f>+K115</f>
        <v>OCTOBER - DECEMBER</v>
      </c>
      <c r="L128" s="8"/>
      <c r="M128" s="8"/>
    </row>
    <row r="129" spans="4:65" ht="14.25" customHeight="1"/>
    <row r="130" spans="4:65" ht="15">
      <c r="D130" s="42" t="str">
        <f>+IF($B$3="esp","OTROS","OTHERS")</f>
        <v>OTHERS</v>
      </c>
      <c r="F130" s="10">
        <v>2018</v>
      </c>
      <c r="G130" s="10">
        <v>2017</v>
      </c>
      <c r="H130" s="10" t="str">
        <f>+IF($B$3="esp","Var.%","% Chg.")</f>
        <v>% Chg.</v>
      </c>
      <c r="K130" s="10">
        <v>2018</v>
      </c>
      <c r="L130" s="10">
        <v>2017</v>
      </c>
      <c r="M130" s="10" t="str">
        <f>+IF($B$3="esp","Var.%","% Chg.")</f>
        <v>% Chg.</v>
      </c>
    </row>
    <row r="131" spans="4:65" ht="15.75" customHeight="1">
      <c r="D131" s="11"/>
      <c r="F131" s="12"/>
      <c r="G131" s="12"/>
      <c r="H131" s="12"/>
      <c r="K131" s="12"/>
      <c r="L131" s="12"/>
      <c r="M131" s="12"/>
    </row>
    <row r="132" spans="4:65" s="13" customFormat="1" ht="15" customHeight="1">
      <c r="D132" s="13" t="str">
        <f>+IF($B$3="esp","EBITDA","EBITDA")</f>
        <v>EBITDA</v>
      </c>
      <c r="F132" s="14">
        <f>+[1]GRUPO!AC171</f>
        <v>-15.238957936363214</v>
      </c>
      <c r="G132" s="15">
        <f>+[1]GRUPO!AD171</f>
        <v>-17.148466382420523</v>
      </c>
      <c r="H132" s="16">
        <f>IF(G132=0,"---",IF(OR(ABS((F132-G132)/ABS(G132))&gt;2,(F132*G132)&lt;0),"---",IF(G132="0","---",((F132-G132)/ABS(G132))*100)))</f>
        <v>11.135155782879869</v>
      </c>
      <c r="K132" s="14">
        <f>+[1]GRUPO!AG171</f>
        <v>-1.813854956140565</v>
      </c>
      <c r="L132" s="15">
        <f>+[1]GRUPO!AH171</f>
        <v>-5.7151111810553896</v>
      </c>
      <c r="M132" s="16">
        <f>IF(L132=0,"---",IF(OR(ABS((K132-L132)/ABS(L132))&gt;2,(K132*L132)&lt;0),"---",IF(L132="0","---",((K132-L132)/ABS(L132))*100)))</f>
        <v>68.262123016028426</v>
      </c>
    </row>
    <row r="133" spans="4:65" ht="15" customHeight="1">
      <c r="D133" s="17" t="str">
        <f>+IF($B$3="esp","Efectos extraordinarios","Extraordinary effects")</f>
        <v>Extraordinary effects</v>
      </c>
      <c r="F133" s="18">
        <f>+[1]GRUPO!AC172</f>
        <v>5.9887943735405411</v>
      </c>
      <c r="G133" s="19">
        <f>+[1]GRUPO!AD172</f>
        <v>2.2320071648630471</v>
      </c>
      <c r="H133" s="20">
        <f t="shared" ref="H133:H138" si="42">IF(G133=0,"---",IF(OR(ABS((F133-G133)/ABS(G133))&gt;2,(F133*G133)&lt;0),"---",IF(G133="0","---",((F133-G133)/ABS(G133))*100)))</f>
        <v>168.31429879876777</v>
      </c>
      <c r="K133" s="18">
        <f>+[1]GRUPO!AG172</f>
        <v>-1.2157726126777746</v>
      </c>
      <c r="L133" s="19">
        <f>+[1]GRUPO!AH172</f>
        <v>1.1833390048355117</v>
      </c>
      <c r="M133" s="20" t="str">
        <f t="shared" ref="M133:M138" si="43">IF(L133=0,"---",IF(OR(ABS((K133-L133)/ABS(L133))&gt;2,(K133*L133)&lt;0),"---",IF(L133="0","---",((K133-L133)/ABS(L133))*100)))</f>
        <v>---</v>
      </c>
    </row>
    <row r="134" spans="4:65" ht="15" customHeight="1">
      <c r="D134" s="13" t="str">
        <f>+IF($B$3="esp","EBITDA Ajustado","Adjusted EBITDA")</f>
        <v>Adjusted EBITDA</v>
      </c>
      <c r="E134" s="13"/>
      <c r="F134" s="14">
        <f>+[1]GRUPO!AC173</f>
        <v>-9.2501635628226708</v>
      </c>
      <c r="G134" s="15">
        <f>+[1]GRUPO!AD173</f>
        <v>-14.916459217557474</v>
      </c>
      <c r="H134" s="16">
        <f t="shared" si="42"/>
        <v>37.986867875891548</v>
      </c>
      <c r="K134" s="14">
        <f>+[1]GRUPO!AG173</f>
        <v>-3.0296275688183378</v>
      </c>
      <c r="L134" s="15">
        <f>+[1]GRUPO!AH173</f>
        <v>-4.5317721762198762</v>
      </c>
      <c r="M134" s="16">
        <f t="shared" si="43"/>
        <v>33.146957724042835</v>
      </c>
    </row>
    <row r="135" spans="4:65" ht="15" customHeight="1">
      <c r="D135" s="17" t="str">
        <f>+IF($B$3="esp","Amortizaciones","Amortizations")</f>
        <v>Amortizations</v>
      </c>
      <c r="F135" s="18">
        <f>+[1]GRUPO!AC174</f>
        <v>0.7573283563288058</v>
      </c>
      <c r="G135" s="19">
        <f>+[1]GRUPO!AD174</f>
        <v>0.93407084783322336</v>
      </c>
      <c r="H135" s="20">
        <f t="shared" si="42"/>
        <v>-18.921743667989372</v>
      </c>
      <c r="K135" s="18">
        <f>+[1]GRUPO!AG174</f>
        <v>0.17223890602383651</v>
      </c>
      <c r="L135" s="19">
        <f>+[1]GRUPO!AH174</f>
        <v>0.1958817026700812</v>
      </c>
      <c r="M135" s="20">
        <f t="shared" si="43"/>
        <v>-12.069936254365563</v>
      </c>
    </row>
    <row r="136" spans="4:65" ht="15" customHeight="1">
      <c r="D136" s="17" t="str">
        <f>+IF($B$3="esp","Provisiones","Provisions")</f>
        <v>Provisions</v>
      </c>
      <c r="F136" s="18">
        <f>+[1]GRUPO!AC175</f>
        <v>1.3826227088842797</v>
      </c>
      <c r="G136" s="19">
        <f>+[1]GRUPO!AD175</f>
        <v>0.32713511722135097</v>
      </c>
      <c r="H136" s="20" t="str">
        <f t="shared" si="42"/>
        <v>---</v>
      </c>
      <c r="K136" s="18">
        <f>+[1]GRUPO!AG175</f>
        <v>1.13300058290232</v>
      </c>
      <c r="L136" s="19">
        <f>+[1]GRUPO!AH175</f>
        <v>7.4548561127002533E-2</v>
      </c>
      <c r="M136" s="20" t="str">
        <f t="shared" si="43"/>
        <v>---</v>
      </c>
    </row>
    <row r="137" spans="4:65" ht="15" customHeight="1">
      <c r="D137" s="17" t="str">
        <f>+IF($B$3="esp","Pérdidas de inmovilizado","Impairment from fixed assets")</f>
        <v>Impairment from fixed assets</v>
      </c>
      <c r="F137" s="18">
        <f>+[1]GRUPO!AC176</f>
        <v>0.10195511000002438</v>
      </c>
      <c r="G137" s="19">
        <f>+[1]GRUPO!AD176</f>
        <v>9.6728181020466764E-13</v>
      </c>
      <c r="H137" s="20" t="str">
        <f t="shared" si="42"/>
        <v>---</v>
      </c>
      <c r="K137" s="18">
        <f>+[1]GRUPO!AG176</f>
        <v>3.8288816561760086E-13</v>
      </c>
      <c r="L137" s="19">
        <f>+[1]GRUPO!AH176</f>
        <v>4.7534198799326077E-13</v>
      </c>
      <c r="M137" s="20">
        <f t="shared" si="43"/>
        <v>-19.449959126474369</v>
      </c>
    </row>
    <row r="138" spans="4:65" ht="15" customHeight="1">
      <c r="D138" s="13" t="str">
        <f>+IF($B$3="esp","Resultado de Explotación","Operating Result")</f>
        <v>Operating Result</v>
      </c>
      <c r="E138" s="13"/>
      <c r="F138" s="14">
        <f>+[1]GRUPO!AC177</f>
        <v>-11.492069738035781</v>
      </c>
      <c r="G138" s="15">
        <f>+[1]GRUPO!AD177</f>
        <v>-16.177665182613019</v>
      </c>
      <c r="H138" s="16">
        <f t="shared" si="42"/>
        <v>28.963360235771802</v>
      </c>
      <c r="K138" s="14">
        <f>+[1]GRUPO!AG177</f>
        <v>-4.3348670577448765</v>
      </c>
      <c r="L138" s="15">
        <f>+[1]GRUPO!AH177</f>
        <v>-4.8022024400174388</v>
      </c>
      <c r="M138" s="16">
        <f t="shared" si="43"/>
        <v>9.731688493142018</v>
      </c>
    </row>
    <row r="139" spans="4:65" ht="15" customHeight="1">
      <c r="D139" s="13"/>
      <c r="E139" s="13"/>
      <c r="F139" s="15"/>
      <c r="G139" s="15"/>
      <c r="H139" s="16"/>
      <c r="K139" s="15"/>
      <c r="L139" s="15"/>
      <c r="M139" s="16"/>
    </row>
    <row r="140" spans="4:65" ht="15" customHeight="1"/>
    <row r="141" spans="4:65" ht="15" customHeight="1"/>
    <row r="142" spans="4:65" ht="15" customHeight="1"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</row>
    <row r="143" spans="4:65" ht="15" customHeight="1"/>
    <row r="144" spans="4:65" ht="15" customHeight="1">
      <c r="F144" s="7" t="str">
        <f>+F128</f>
        <v>JANUARY - DECEMBER</v>
      </c>
      <c r="G144" s="8"/>
      <c r="H144" s="8"/>
      <c r="K144" s="7" t="str">
        <f>+K128</f>
        <v>OCTOBER - DECEMBER</v>
      </c>
      <c r="L144" s="8"/>
      <c r="M144" s="8"/>
      <c r="S144" s="7" t="str">
        <f>+S6</f>
        <v>JANUARY - DECEMBER</v>
      </c>
      <c r="T144" s="8"/>
      <c r="U144" s="8"/>
      <c r="X144" s="7" t="str">
        <f>+X6</f>
        <v>OCTOBER - DECEMBER</v>
      </c>
      <c r="Y144" s="8"/>
      <c r="Z144" s="8"/>
    </row>
    <row r="145" spans="4:26" ht="4.5" customHeight="1"/>
    <row r="146" spans="4:26" ht="15" customHeight="1">
      <c r="D146" s="9" t="str">
        <f>+IF($B$3="esp","Millones de €","€ Millions")</f>
        <v>€ Millions</v>
      </c>
      <c r="F146" s="10">
        <v>2018</v>
      </c>
      <c r="G146" s="10">
        <v>2017</v>
      </c>
      <c r="H146" s="10" t="str">
        <f>+IF($B$3="esp","Var.%","% Chg.")</f>
        <v>% Chg.</v>
      </c>
      <c r="K146" s="10">
        <v>2018</v>
      </c>
      <c r="L146" s="10">
        <v>2017</v>
      </c>
      <c r="M146" s="10" t="str">
        <f>+IF($B$3="esp","Var.%","% Chg.")</f>
        <v>% Chg.</v>
      </c>
      <c r="Q146" s="9" t="str">
        <f>+IF($B$3="esp","Millones de €","€ Millions")</f>
        <v>€ Millions</v>
      </c>
      <c r="S146" s="10">
        <v>2018</v>
      </c>
      <c r="T146" s="10">
        <v>2017</v>
      </c>
      <c r="U146" s="10" t="str">
        <f>+IF($B$3="esp","Var.%","% Chg.")</f>
        <v>% Chg.</v>
      </c>
      <c r="X146" s="10">
        <v>2018</v>
      </c>
      <c r="Y146" s="10">
        <v>2017</v>
      </c>
      <c r="Z146" s="10" t="str">
        <f>+IF($B$3="esp","Var.%","% Chg.")</f>
        <v>% Chg.</v>
      </c>
    </row>
    <row r="147" spans="4:26" ht="15" customHeight="1">
      <c r="D147" s="11" t="str">
        <f>+IF($B$3="esp","Ingresos de Explotación Ajustados","Operating Adjusted Revenues")</f>
        <v>Operating Adjusted Revenues</v>
      </c>
      <c r="F147" s="12"/>
      <c r="G147" s="12"/>
      <c r="H147" s="12"/>
      <c r="K147" s="12"/>
      <c r="L147" s="12"/>
      <c r="M147" s="12"/>
      <c r="Q147" s="11" t="str">
        <f>+IF($B$3="esp","Ingresos de Explotación","Operating Revenues")</f>
        <v>Operating Revenues</v>
      </c>
      <c r="S147" s="12"/>
      <c r="T147" s="12"/>
      <c r="U147" s="12"/>
      <c r="X147" s="12"/>
      <c r="Y147" s="12"/>
      <c r="Z147" s="12"/>
    </row>
    <row r="148" spans="4:26" ht="15" customHeight="1">
      <c r="D148" s="13" t="str">
        <f>+IF($B$3="esp","GRUPO","GROUP")</f>
        <v>GROUP</v>
      </c>
      <c r="E148" s="13"/>
      <c r="F148" s="14">
        <f>+[1]GRUPO!AC130</f>
        <v>1280.473916982623</v>
      </c>
      <c r="G148" s="15">
        <f>+[1]GRUPO!AD130</f>
        <v>1319.9833654474487</v>
      </c>
      <c r="H148" s="16">
        <f>IF(G148=0,"---",IF(OR(ABS((F148-G148)/ABS(G148))&gt;2,(F148*G148)&lt;0),"---",IF(G148="0","---",((F148-G148)/ABS(G148))*100)))</f>
        <v>-2.993177755041843</v>
      </c>
      <c r="K148" s="14">
        <f>+[1]GRUPO!AG130</f>
        <v>323.90748996655645</v>
      </c>
      <c r="L148" s="15">
        <f>+[1]GRUPO!AH130</f>
        <v>325.16828364670141</v>
      </c>
      <c r="M148" s="16">
        <f>IF(L148=0,"---",IF(OR(ABS((K148-L148)/ABS(L148))&gt;2,(K148*L148)&lt;0),"---",IF(L148="0","---",((K148-L148)/ABS(L148))*100)))</f>
        <v>-0.38773574901137092</v>
      </c>
      <c r="Q148" s="13" t="str">
        <f>+IF($B$3="esp","Total Santillana","Total Santillana")</f>
        <v>Total Santillana</v>
      </c>
      <c r="R148" s="13"/>
      <c r="S148" s="14">
        <f>+[1]SANTILLANA!AC118</f>
        <v>600.23322580258809</v>
      </c>
      <c r="T148" s="15">
        <f>+[1]SANTILLANA!AD118</f>
        <v>645.08058953155455</v>
      </c>
      <c r="U148" s="16">
        <f>IF(T148=0,"---",IF(OR(ABS((S148-T148)/ABS(T148))&gt;2,(S148*T148)&lt;0),"---",IF(T148="0","---",((S148-T148)/ABS(T148))*100)))</f>
        <v>-6.9522110038272533</v>
      </c>
      <c r="X148" s="14">
        <f>+[1]SANTILLANA!AG118</f>
        <v>126.56103343652364</v>
      </c>
      <c r="Y148" s="15">
        <f>+[1]SANTILLANA!AH118</f>
        <v>131.60986723957626</v>
      </c>
      <c r="Z148" s="16">
        <f>IF(Y148=0,"---",IF(OR(ABS((X148-Y148)/ABS(Y148))&gt;2,(X148*Y148)&lt;0),"---",IF(Y148="0","---",((X148-Y148)/ABS(Y148))*100)))</f>
        <v>-3.8362122148956832</v>
      </c>
    </row>
    <row r="149" spans="4:26" s="13" customFormat="1" ht="15" customHeight="1">
      <c r="D149" s="17" t="str">
        <f>+IF($B$3="esp","Educación","Education")</f>
        <v>Education</v>
      </c>
      <c r="E149" s="1"/>
      <c r="F149" s="18">
        <f>+[1]GRUPO!AC131</f>
        <v>600.23322580258809</v>
      </c>
      <c r="G149" s="19">
        <f>+[1]GRUPO!AD131</f>
        <v>645.08058953155455</v>
      </c>
      <c r="H149" s="20">
        <f>IF(G149=0,"---",IF(OR(ABS((F149-G149)/ABS(G149))&gt;2,(F149*G149)&lt;0),"---",IF(G149="0","---",((F149-G149)/ABS(G149))*100)))</f>
        <v>-6.9522110038272533</v>
      </c>
      <c r="K149" s="18">
        <f>+[1]GRUPO!AG131</f>
        <v>126.56103343652364</v>
      </c>
      <c r="L149" s="19">
        <f>+[1]GRUPO!AH131</f>
        <v>131.60986723957626</v>
      </c>
      <c r="M149" s="20">
        <f>IF(L149=0,"---",IF(OR(ABS((K149-L149)/ABS(L149))&gt;2,(K149*L149)&lt;0),"---",IF(L149="0","---",((K149-L149)/ABS(L149))*100)))</f>
        <v>-3.8362122148956832</v>
      </c>
      <c r="Q149" s="17" t="str">
        <f>+IF($B$3="esp","Educación Tradicional y Compartir","Traditional Education and Compartir")</f>
        <v>Traditional Education and Compartir</v>
      </c>
      <c r="R149" s="1"/>
      <c r="S149" s="18">
        <f>+[1]SANTILLANA!AC119</f>
        <v>355.62874283656089</v>
      </c>
      <c r="T149" s="19">
        <f>+[1]SANTILLANA!AD119</f>
        <v>387.08496306732582</v>
      </c>
      <c r="U149" s="20">
        <f>IF(T149=0,"---",IF(OR(ABS((S149-T149)/ABS(T149))&gt;2,(S149*T149)&lt;0),"---",IF(T149="0","---",((S149-T149)/ABS(T149))*100)))</f>
        <v>-8.1264381807809301</v>
      </c>
      <c r="X149" s="18">
        <f>+[1]SANTILLANA!AG119</f>
        <v>132.95268366503586</v>
      </c>
      <c r="Y149" s="19">
        <f>+[1]SANTILLANA!AH119</f>
        <v>139.96686927318245</v>
      </c>
      <c r="Z149" s="20">
        <f>IF(Y149=0,"---",IF(OR(ABS((X149-Y149)/ABS(Y149))&gt;2,(X149*Y149)&lt;0),"---",IF(Y149="0","---",((X149-Y149)/ABS(Y149))*100)))</f>
        <v>-5.0113184959910386</v>
      </c>
    </row>
    <row r="150" spans="4:26" ht="15" customHeight="1">
      <c r="D150" s="17" t="str">
        <f>+IF($B$3="esp","Radio","Radio")</f>
        <v>Radio</v>
      </c>
      <c r="F150" s="18">
        <f>+[1]GRUPO!AC132</f>
        <v>288.07418471024204</v>
      </c>
      <c r="G150" s="19">
        <f>+[1]GRUPO!AD132</f>
        <v>280.66641862949501</v>
      </c>
      <c r="H150" s="20">
        <f t="shared" ref="H150:H151" si="44">IF(G150=0,"---",IF(OR(ABS((F150-G150)/ABS(G150))&gt;2,(F150*G150)&lt;0),"---",IF(G150="0","---",((F150-G150)/ABS(G150))*100)))</f>
        <v>2.6393489170950453</v>
      </c>
      <c r="K150" s="18">
        <f>+[1]GRUPO!AG132</f>
        <v>81.97826798906803</v>
      </c>
      <c r="L150" s="19">
        <f>+[1]GRUPO!AH132</f>
        <v>77.845381979145998</v>
      </c>
      <c r="M150" s="20">
        <f t="shared" ref="M150:M151" si="45">IF(L150=0,"---",IF(OR(ABS((K150-L150)/ABS(L150))&gt;2,(K150*L150)&lt;0),"---",IF(L150="0","---",((K150-L150)/ABS(L150))*100)))</f>
        <v>5.3090959345914586</v>
      </c>
      <c r="Q150" s="26" t="str">
        <f>+IF($B$3="esp","Campaña Sur","South Campaign")</f>
        <v>South Campaign</v>
      </c>
      <c r="S150" s="18">
        <f>+[1]SANTILLANA!AC120</f>
        <v>171.18137449951283</v>
      </c>
      <c r="T150" s="19">
        <f>+[1]SANTILLANA!AD120</f>
        <v>202.59278017353157</v>
      </c>
      <c r="U150" s="20">
        <f>IF(T150=0,"---",IF(OR(ABS((S150-T150)/ABS(T150))&gt;2,(S150*T150)&lt;0),"---",IF(T150="0","---",((S150-T150)/ABS(T150))*100)))</f>
        <v>-15.504701424756195</v>
      </c>
      <c r="X150" s="18">
        <f>+[1]SANTILLANA!AG120</f>
        <v>85.00680906441022</v>
      </c>
      <c r="Y150" s="19">
        <f>+[1]SANTILLANA!AH120</f>
        <v>100.87626451927385</v>
      </c>
      <c r="Z150" s="20">
        <f>IF(Y150=0,"---",IF(OR(ABS((X150-Y150)/ABS(Y150))&gt;2,(X150*Y150)&lt;0),"---",IF(Y150="0","---",((X150-Y150)/ABS(Y150))*100)))</f>
        <v>-15.731604982093225</v>
      </c>
    </row>
    <row r="151" spans="4:26" ht="15" customHeight="1">
      <c r="D151" s="17" t="str">
        <f>+IF($B$3="esp","Prensa","Press")</f>
        <v>Press</v>
      </c>
      <c r="F151" s="18">
        <f>+[1]GRUPO!AC133</f>
        <v>203.15950386693001</v>
      </c>
      <c r="G151" s="19">
        <f>+[1]GRUPO!AD133</f>
        <v>220.57753956794599</v>
      </c>
      <c r="H151" s="20">
        <f t="shared" si="44"/>
        <v>-7.8965590672256933</v>
      </c>
      <c r="K151" s="18">
        <f>+[1]GRUPO!AG133</f>
        <v>58.258105279332</v>
      </c>
      <c r="L151" s="19">
        <f>+[1]GRUPO!AH133</f>
        <v>63.156584846401017</v>
      </c>
      <c r="M151" s="20">
        <f t="shared" si="45"/>
        <v>-7.756086841906173</v>
      </c>
      <c r="Q151" s="26" t="str">
        <f>+IF($B$3="esp","Campaña Norte","North Campaign")</f>
        <v>North Campaign</v>
      </c>
      <c r="S151" s="18">
        <f>+[1]SANTILLANA!AC121</f>
        <v>184.44736833704806</v>
      </c>
      <c r="T151" s="19">
        <f>+[1]SANTILLANA!AD121</f>
        <v>184.49218289379425</v>
      </c>
      <c r="U151" s="20">
        <f>IF(T151=0,"---",IF(OR(ABS((S151-T151)/ABS(T151))&gt;2,(S151*T151)&lt;0),"---",IF(T151="0","---",((S151-T151)/ABS(T151))*100)))</f>
        <v>-2.4290761832433554E-2</v>
      </c>
      <c r="X151" s="18">
        <f>+[1]SANTILLANA!AG121</f>
        <v>47.945874600625643</v>
      </c>
      <c r="Y151" s="19">
        <f>+[1]SANTILLANA!AH121</f>
        <v>39.090604753908593</v>
      </c>
      <c r="Z151" s="20">
        <f>IF(Y151=0,"---",IF(OR(ABS((X151-Y151)/ABS(Y151))&gt;2,(X151*Y151)&lt;0),"---",IF(Y151="0","---",((X151-Y151)/ABS(Y151))*100)))</f>
        <v>22.653192250323599</v>
      </c>
    </row>
    <row r="152" spans="4:26" s="13" customFormat="1" ht="15" customHeight="1">
      <c r="D152" s="17" t="str">
        <f>+IF($B$3="esp","Otros","Others")</f>
        <v>Others</v>
      </c>
      <c r="E152" s="1"/>
      <c r="F152" s="18">
        <f>+[1]GRUPO!AC134</f>
        <v>189.00700260286285</v>
      </c>
      <c r="G152" s="19">
        <f>+[1]GRUPO!AD134</f>
        <v>173.65881771845315</v>
      </c>
      <c r="H152" s="20">
        <f>IF(G152=0,"---",IF(OR(ABS((F152-G152)/ABS(G152))&gt;2,(F152*G152)&lt;0),"---",IF(G152="0","---",((F152-G152)/ABS(G152))*100)))</f>
        <v>8.8381258642985649</v>
      </c>
      <c r="I152" s="1"/>
      <c r="K152" s="18">
        <f>+[1]GRUPO!AG134</f>
        <v>57.110083261632809</v>
      </c>
      <c r="L152" s="19">
        <f>+[1]GRUPO!AH134</f>
        <v>52.556449581578136</v>
      </c>
      <c r="M152" s="20">
        <f>IF(L152=0,"---",IF(OR(ABS((K152-L152)/ABS(L152))&gt;2,(K152*L152)&lt;0),"---",IF(L152="0","---",((K152-L152)/ABS(L152))*100)))</f>
        <v>8.6642718758741903</v>
      </c>
      <c r="N152" s="1"/>
      <c r="Q152" s="17" t="str">
        <f>+IF($B$3="esp","Sistema UNO","UNO System")</f>
        <v>UNO System</v>
      </c>
      <c r="R152" s="1"/>
      <c r="S152" s="18">
        <f>+[1]SANTILLANA!AC122</f>
        <v>244.58358432907289</v>
      </c>
      <c r="T152" s="19">
        <f>+[1]SANTILLANA!AD122</f>
        <v>257.995474269044</v>
      </c>
      <c r="U152" s="20">
        <f>IF(T152=0,"---",IF(OR(ABS((S152-T152)/ABS(T152))&gt;2,(S152*T152)&lt;0),"---",IF(T152="0","---",((S152-T152)/ABS(T152))*100)))</f>
        <v>-5.1984981434150495</v>
      </c>
      <c r="X152" s="18">
        <f>+[1]SANTILLANA!AG122</f>
        <v>-6.3490091941907565</v>
      </c>
      <c r="Y152" s="19">
        <f>+[1]SANTILLANA!AH122</f>
        <v>-8.35713722141071</v>
      </c>
      <c r="Z152" s="20">
        <f>IF(Y152=0,"---",IF(OR(ABS((X152-Y152)/ABS(Y152))&gt;2,(X152*Y152)&lt;0),"---",IF(Y152="0","---",((X152-Y152)/ABS(Y152))*100)))</f>
        <v>24.028898581145654</v>
      </c>
    </row>
    <row r="153" spans="4:26" ht="15" customHeight="1">
      <c r="D153" s="17"/>
      <c r="F153" s="19"/>
      <c r="G153" s="19"/>
      <c r="H153" s="20"/>
      <c r="K153" s="19"/>
      <c r="L153" s="19"/>
      <c r="M153" s="20"/>
      <c r="Q153" s="17"/>
      <c r="S153" s="19"/>
      <c r="T153" s="19"/>
      <c r="U153" s="20"/>
      <c r="X153" s="19"/>
      <c r="Y153" s="19"/>
      <c r="Z153" s="20"/>
    </row>
    <row r="154" spans="4:26" ht="15" customHeight="1"/>
    <row r="155" spans="4:26" ht="15" customHeight="1">
      <c r="D155" s="17"/>
      <c r="F155" s="19"/>
      <c r="G155" s="19"/>
      <c r="H155" s="20"/>
      <c r="I155" s="13"/>
      <c r="K155" s="19"/>
      <c r="L155" s="19"/>
      <c r="M155" s="20"/>
      <c r="N155" s="13"/>
      <c r="S155" s="7" t="str">
        <f>+S144</f>
        <v>JANUARY - DECEMBER</v>
      </c>
      <c r="T155" s="8"/>
      <c r="U155" s="8"/>
      <c r="X155" s="7" t="str">
        <f>+X144</f>
        <v>OCTOBER - DECEMBER</v>
      </c>
      <c r="Y155" s="8"/>
      <c r="Z155" s="8"/>
    </row>
    <row r="156" spans="4:26" s="13" customFormat="1" ht="4.5" customHeight="1">
      <c r="D156" s="17"/>
      <c r="E156" s="1"/>
      <c r="F156" s="19"/>
      <c r="G156" s="19"/>
      <c r="H156" s="20"/>
      <c r="I156" s="1"/>
      <c r="K156" s="19"/>
      <c r="L156" s="19"/>
      <c r="M156" s="20"/>
      <c r="N156" s="1"/>
      <c r="Q156" s="1"/>
      <c r="R156" s="1"/>
      <c r="S156" s="1"/>
      <c r="T156" s="1"/>
      <c r="U156" s="1"/>
      <c r="X156" s="1"/>
      <c r="Y156" s="1"/>
      <c r="Z156" s="1"/>
    </row>
    <row r="157" spans="4:26" ht="15" customHeight="1">
      <c r="Q157" s="9" t="str">
        <f>+IF($B$3="esp","Millones de €","€ Millions")</f>
        <v>€ Millions</v>
      </c>
      <c r="S157" s="10">
        <v>2018</v>
      </c>
      <c r="T157" s="10">
        <v>2017</v>
      </c>
      <c r="U157" s="10" t="str">
        <f>+IF($B$3="esp","Var.%","% Chg.")</f>
        <v>% Chg.</v>
      </c>
      <c r="X157" s="10">
        <v>2018</v>
      </c>
      <c r="Y157" s="10">
        <v>2017</v>
      </c>
      <c r="Z157" s="10" t="str">
        <f>+IF($B$3="esp","Var.%","% Chg.")</f>
        <v>% Chg.</v>
      </c>
    </row>
    <row r="158" spans="4:26" ht="15" customHeight="1">
      <c r="F158" s="7" t="str">
        <f>+F144</f>
        <v>JANUARY - DECEMBER</v>
      </c>
      <c r="G158" s="8"/>
      <c r="H158" s="8"/>
      <c r="K158" s="7" t="str">
        <f>+K144</f>
        <v>OCTOBER - DECEMBER</v>
      </c>
      <c r="L158" s="8"/>
      <c r="M158" s="8"/>
      <c r="Q158" s="11" t="str">
        <f>+IF($B$3="esp","Ingresos de Explotación ajustados a tipo constante","Operating Revenues at constant currency")</f>
        <v>Operating Revenues at constant currency</v>
      </c>
      <c r="S158" s="12"/>
      <c r="T158" s="12"/>
      <c r="U158" s="12"/>
      <c r="X158" s="12"/>
      <c r="Y158" s="12"/>
      <c r="Z158" s="12"/>
    </row>
    <row r="159" spans="4:26" ht="15" customHeight="1">
      <c r="I159" s="13"/>
      <c r="N159" s="13"/>
      <c r="Q159" s="13" t="str">
        <f>+IF($B$3="esp","Total Santillana","Total Santillana")</f>
        <v>Total Santillana</v>
      </c>
      <c r="R159" s="13"/>
      <c r="S159" s="14">
        <f>+[1]SANTILLANA!AC131</f>
        <v>673.37919122136475</v>
      </c>
      <c r="T159" s="15">
        <f>+[1]SANTILLANA!AD131</f>
        <v>645.08058953155455</v>
      </c>
      <c r="U159" s="16">
        <f>IF(T159=0,"---",IF(OR(ABS((S159-T159)/ABS(T159))&gt;2,(S159*T159)&lt;0),"---",IF(T159="0","---",((S159-T159)/ABS(T159))*100)))</f>
        <v>4.3868319941792251</v>
      </c>
      <c r="X159" s="14">
        <f>+[1]SANTILLANA!AG131</f>
        <v>142.08235970169358</v>
      </c>
      <c r="Y159" s="15">
        <f>+[1]SANTILLANA!AH131</f>
        <v>131.60986723957626</v>
      </c>
      <c r="Z159" s="16">
        <f>IF(Y159=0,"---",IF(OR(ABS((X159-Y159)/ABS(Y159))&gt;2,(X159*Y159)&lt;0),"---",IF(Y159="0","---",((X159-Y159)/ABS(Y159))*100)))</f>
        <v>7.9572243949260244</v>
      </c>
    </row>
    <row r="160" spans="4:26" ht="15" customHeight="1">
      <c r="D160" s="9" t="str">
        <f>+IF($B$3="esp","Millones de €","€ Millions")</f>
        <v>€ Millions</v>
      </c>
      <c r="F160" s="10">
        <v>2018</v>
      </c>
      <c r="G160" s="10">
        <v>2017</v>
      </c>
      <c r="H160" s="10" t="str">
        <f>+IF($B$3="esp","Var.%","% Chg.")</f>
        <v>% Chg.</v>
      </c>
      <c r="K160" s="10">
        <v>2018</v>
      </c>
      <c r="L160" s="10">
        <v>2017</v>
      </c>
      <c r="M160" s="10" t="str">
        <f>+IF($B$3="esp","Var.%","% Chg.")</f>
        <v>% Chg.</v>
      </c>
      <c r="Q160" s="17" t="str">
        <f>+IF($B$3="esp","Educación Tradicional y Compartir","Traditional Education and Compartir")</f>
        <v>Traditional Education and Compartir</v>
      </c>
      <c r="S160" s="18">
        <f>+[1]SANTILLANA!AC132</f>
        <v>419.00524126995327</v>
      </c>
      <c r="T160" s="19">
        <f>+[1]SANTILLANA!AD132</f>
        <v>387.08496306732582</v>
      </c>
      <c r="U160" s="20">
        <f>IF(T160=0,"---",IF(OR(ABS((S160-T160)/ABS(T160))&gt;2,(S160*T160)&lt;0),"---",IF(T160="0","---",((S160-T160)/ABS(T160))*100)))</f>
        <v>8.2463234814614985</v>
      </c>
      <c r="X160" s="18">
        <f>+[1]SANTILLANA!AG132</f>
        <v>148.6870473517717</v>
      </c>
      <c r="Y160" s="19">
        <f>+[1]SANTILLANA!AH132</f>
        <v>139.96686927318245</v>
      </c>
      <c r="Z160" s="20">
        <f>IF(Y160=0,"---",IF(OR(ABS((X160-Y160)/ABS(Y160))&gt;2,(X160*Y160)&lt;0),"---",IF(Y160="0","---",((X160-Y160)/ABS(Y160))*100)))</f>
        <v>6.2301729858438879</v>
      </c>
    </row>
    <row r="161" spans="4:26" ht="15" customHeight="1">
      <c r="D161" s="11" t="str">
        <f>+IF($B$3="esp","EBITDA Ajustado","Adjusted EBITDA")</f>
        <v>Adjusted EBITDA</v>
      </c>
      <c r="F161" s="12"/>
      <c r="G161" s="12"/>
      <c r="H161" s="12"/>
      <c r="K161" s="12"/>
      <c r="L161" s="12"/>
      <c r="M161" s="12"/>
      <c r="Q161" s="26" t="str">
        <f>+IF($B$3="esp","Campaña Sur","South Campaign")</f>
        <v>South Campaign</v>
      </c>
      <c r="S161" s="18">
        <f>+[1]SANTILLANA!AC133</f>
        <v>199.95517226781288</v>
      </c>
      <c r="T161" s="19">
        <f>+[1]SANTILLANA!AD133</f>
        <v>202.59278017353157</v>
      </c>
      <c r="U161" s="20">
        <f>IF(T161=0,"---",IF(OR(ABS((S161-T161)/ABS(T161))&gt;2,(S161*T161)&lt;0),"---",IF(T161="0","---",((S161-T161)/ABS(T161))*100)))</f>
        <v>-1.3019259143684336</v>
      </c>
      <c r="X161" s="18">
        <f>+[1]SANTILLANA!AG133</f>
        <v>95.951936096663758</v>
      </c>
      <c r="Y161" s="19">
        <f>+[1]SANTILLANA!AH133</f>
        <v>100.87626451927385</v>
      </c>
      <c r="Z161" s="20">
        <f>IF(Y161=0,"---",IF(OR(ABS((X161-Y161)/ABS(Y161))&gt;2,(X161*Y161)&lt;0),"---",IF(Y161="0","---",((X161-Y161)/ABS(Y161))*100)))</f>
        <v>-4.881553104763535</v>
      </c>
    </row>
    <row r="162" spans="4:26" ht="15" customHeight="1">
      <c r="D162" s="13" t="str">
        <f>+IF($B$3="esp","GRUPO","GROUP")</f>
        <v>GROUP</v>
      </c>
      <c r="E162" s="13"/>
      <c r="F162" s="14">
        <f>+[1]GRUPO!AC142</f>
        <v>276.34772081244421</v>
      </c>
      <c r="G162" s="15">
        <f>+[1]GRUPO!AD142</f>
        <v>270.42781165274812</v>
      </c>
      <c r="H162" s="16">
        <f>IF(G162=0,"---",IF(OR(ABS((F162-G162)/ABS(G162))&gt;2,(F162*G162)&lt;0),"---",IF(G162="0","---",((F162-G162)/ABS(G162))*100)))</f>
        <v>2.1890903614964525</v>
      </c>
      <c r="K162" s="14">
        <f>+[1]GRUPO!AG142</f>
        <v>64.872062511558198</v>
      </c>
      <c r="L162" s="15">
        <f>+[1]GRUPO!AH142</f>
        <v>59.044459901280817</v>
      </c>
      <c r="M162" s="16">
        <f>IF(L162=0,"---",IF(OR(ABS((K162-L162)/ABS(L162))&gt;2,(K162*L162)&lt;0),"---",IF(L162="0","---",((K162-L162)/ABS(L162))*100)))</f>
        <v>9.8698550550226418</v>
      </c>
      <c r="Q162" s="26" t="str">
        <f>+IF($B$3="esp","Campaña Norte","North Campaign")</f>
        <v>North Campaign</v>
      </c>
      <c r="S162" s="18">
        <f>+[1]SANTILLANA!AC134</f>
        <v>219.05006900214039</v>
      </c>
      <c r="T162" s="19">
        <f>+[1]SANTILLANA!AD134</f>
        <v>184.49218289379425</v>
      </c>
      <c r="U162" s="20">
        <f>IF(T162=0,"---",IF(OR(ABS((S162-T162)/ABS(T162))&gt;2,(S162*T162)&lt;0),"---",IF(T162="0","---",((S162-T162)/ABS(T162))*100)))</f>
        <v>18.731355207737941</v>
      </c>
      <c r="X162" s="18">
        <f>+[1]SANTILLANA!AG134</f>
        <v>52.735111255107938</v>
      </c>
      <c r="Y162" s="19">
        <f>+[1]SANTILLANA!AH134</f>
        <v>39.090604753908593</v>
      </c>
      <c r="Z162" s="20">
        <f>IF(Y162=0,"---",IF(OR(ABS((X162-Y162)/ABS(Y162))&gt;2,(X162*Y162)&lt;0),"---",IF(Y162="0","---",((X162-Y162)/ABS(Y162))*100)))</f>
        <v>34.904823261489852</v>
      </c>
    </row>
    <row r="163" spans="4:26" s="13" customFormat="1" ht="15" customHeight="1">
      <c r="D163" s="17" t="str">
        <f>+IF($B$3="esp","Educación","Education")</f>
        <v>Education</v>
      </c>
      <c r="E163" s="1"/>
      <c r="F163" s="18">
        <f>+[1]GRUPO!AC143</f>
        <v>168.66654263345805</v>
      </c>
      <c r="G163" s="19">
        <f>+[1]GRUPO!AD143</f>
        <v>184.57032667491131</v>
      </c>
      <c r="H163" s="20">
        <f t="shared" ref="H163:H166" si="46">IF(G163=0,"---",IF(OR(ABS((F163-G163)/ABS(G163))&gt;2,(F163*G163)&lt;0),"---",IF(G163="0","---",((F163-G163)/ABS(G163))*100)))</f>
        <v>-8.6166527025034885</v>
      </c>
      <c r="I163" s="1"/>
      <c r="K163" s="18">
        <f>+[1]GRUPO!AG143</f>
        <v>17.829355888747074</v>
      </c>
      <c r="L163" s="19">
        <f>+[1]GRUPO!AH143</f>
        <v>19.560040830658721</v>
      </c>
      <c r="M163" s="20">
        <f t="shared" ref="M163:M166" si="47">IF(L163=0,"---",IF(OR(ABS((K163-L163)/ABS(L163))&gt;2,(K163*L163)&lt;0),"---",IF(L163="0","---",((K163-L163)/ABS(L163))*100)))</f>
        <v>-8.8480640551575132</v>
      </c>
      <c r="N163" s="1"/>
      <c r="Q163" s="17" t="str">
        <f>+IF($B$3="esp","Sistema UNO","UNO System")</f>
        <v>UNO System</v>
      </c>
      <c r="R163" s="1"/>
      <c r="S163" s="18">
        <f>+[1]SANTILLANA!AC135</f>
        <v>254.35305131445733</v>
      </c>
      <c r="T163" s="19">
        <f>+[1]SANTILLANA!AD135</f>
        <v>257.995474269044</v>
      </c>
      <c r="U163" s="20">
        <f>IF(T163=0,"---",IF(OR(ABS((S163-T163)/ABS(T163))&gt;2,(S163*T163)&lt;0),"---",IF(T163="0","---",((S163-T163)/ABS(T163))*100)))</f>
        <v>-1.4118166083751749</v>
      </c>
      <c r="X163" s="18">
        <f>+[1]SANTILLANA!AG135</f>
        <v>-6.5620466157564579</v>
      </c>
      <c r="Y163" s="19">
        <f>+[1]SANTILLANA!AH135</f>
        <v>-8.35713722141071</v>
      </c>
      <c r="Z163" s="20">
        <f>IF(Y163=0,"---",IF(OR(ABS((X163-Y163)/ABS(Y163))&gt;2,(X163*Y163)&lt;0),"---",IF(Y163="0","---",((X163-Y163)/ABS(Y163))*100)))</f>
        <v>21.479731133949663</v>
      </c>
    </row>
    <row r="164" spans="4:26" ht="15" customHeight="1">
      <c r="D164" s="17" t="str">
        <f>+IF($B$3="esp","Radio","Radio")</f>
        <v>Radio</v>
      </c>
      <c r="F164" s="18">
        <f>+[1]GRUPO!AC144</f>
        <v>61.801997257676831</v>
      </c>
      <c r="G164" s="19">
        <f>+[1]GRUPO!AD144</f>
        <v>46.556025480226296</v>
      </c>
      <c r="H164" s="20">
        <f t="shared" si="46"/>
        <v>32.747580190078608</v>
      </c>
      <c r="K164" s="18">
        <f>+[1]GRUPO!AG144</f>
        <v>23.365192176408634</v>
      </c>
      <c r="L164" s="19">
        <f>+[1]GRUPO!AH144</f>
        <v>18.089371214075818</v>
      </c>
      <c r="M164" s="20">
        <f t="shared" si="47"/>
        <v>29.165308732387334</v>
      </c>
      <c r="Q164" s="17"/>
      <c r="S164" s="19"/>
      <c r="T164" s="19"/>
      <c r="U164" s="20"/>
      <c r="X164" s="19"/>
      <c r="Y164" s="19"/>
      <c r="Z164" s="20"/>
    </row>
    <row r="165" spans="4:26" s="13" customFormat="1" ht="15" customHeight="1">
      <c r="D165" s="17" t="str">
        <f>+IF($B$3="esp","Prensa","Press")</f>
        <v>Press</v>
      </c>
      <c r="E165" s="1"/>
      <c r="F165" s="18">
        <f>+[1]GRUPO!AC145</f>
        <v>13.669252290183699</v>
      </c>
      <c r="G165" s="19">
        <f>+[1]GRUPO!AD145</f>
        <v>12.478501778196689</v>
      </c>
      <c r="H165" s="20">
        <f t="shared" si="46"/>
        <v>9.5424156934254167</v>
      </c>
      <c r="I165" s="1"/>
      <c r="K165" s="18">
        <f>+[1]GRUPO!AG145</f>
        <v>10.36636063760383</v>
      </c>
      <c r="L165" s="19">
        <f>+[1]GRUPO!AH145</f>
        <v>7.9657712787232597</v>
      </c>
      <c r="M165" s="20">
        <f t="shared" si="47"/>
        <v>30.13630789641919</v>
      </c>
      <c r="N165" s="1"/>
      <c r="Q165" s="1"/>
      <c r="R165" s="1"/>
      <c r="S165" s="1"/>
      <c r="T165" s="1"/>
      <c r="U165" s="1"/>
      <c r="X165" s="1"/>
      <c r="Y165" s="1"/>
      <c r="Z165" s="1"/>
    </row>
    <row r="166" spans="4:26" ht="15" customHeight="1">
      <c r="D166" s="17" t="str">
        <f>+IF($B$3="esp","Otros","Others")</f>
        <v>Others</v>
      </c>
      <c r="F166" s="18">
        <f>+[1]GRUPO!AC146</f>
        <v>32.209928631125628</v>
      </c>
      <c r="G166" s="19">
        <f>+[1]GRUPO!AD146</f>
        <v>26.822957719413822</v>
      </c>
      <c r="H166" s="20">
        <f t="shared" si="46"/>
        <v>20.0834336319773</v>
      </c>
      <c r="K166" s="18">
        <f>+[1]GRUPO!AG146</f>
        <v>13.311153808798661</v>
      </c>
      <c r="L166" s="19">
        <f>+[1]GRUPO!AH146</f>
        <v>13.429276577823019</v>
      </c>
      <c r="M166" s="20">
        <f t="shared" si="47"/>
        <v>-0.87959145334325239</v>
      </c>
    </row>
    <row r="167" spans="4:26" ht="15" customHeight="1">
      <c r="D167" s="17"/>
      <c r="F167" s="19"/>
      <c r="G167" s="19"/>
      <c r="H167" s="20"/>
      <c r="K167" s="19"/>
      <c r="L167" s="19"/>
      <c r="M167" s="20"/>
    </row>
    <row r="168" spans="4:26" ht="15" customHeight="1">
      <c r="S168" s="7" t="str">
        <f>+S155</f>
        <v>JANUARY - DECEMBER</v>
      </c>
      <c r="T168" s="8"/>
      <c r="U168" s="8"/>
      <c r="X168" s="7" t="str">
        <f>+X155</f>
        <v>OCTOBER - DECEMBER</v>
      </c>
      <c r="Y168" s="8"/>
      <c r="Z168" s="8"/>
    </row>
    <row r="169" spans="4:26" s="13" customFormat="1" ht="15" customHeight="1">
      <c r="D169" s="17"/>
      <c r="E169" s="1"/>
      <c r="F169" s="19"/>
      <c r="G169" s="19"/>
      <c r="H169" s="20"/>
      <c r="K169" s="19"/>
      <c r="L169" s="19"/>
      <c r="M169" s="20"/>
      <c r="Q169" s="1"/>
      <c r="R169" s="1"/>
      <c r="S169" s="1"/>
      <c r="T169" s="1"/>
      <c r="U169" s="1"/>
      <c r="X169" s="1"/>
      <c r="Y169" s="1"/>
      <c r="Z169" s="1"/>
    </row>
    <row r="170" spans="4:26" ht="15" customHeight="1">
      <c r="D170" s="17"/>
      <c r="F170" s="19"/>
      <c r="G170" s="19"/>
      <c r="H170" s="20"/>
      <c r="K170" s="19"/>
      <c r="L170" s="19"/>
      <c r="M170" s="20"/>
      <c r="Q170" s="9" t="str">
        <f>+IF($B$3="esp","Millones de €","€ Millions")</f>
        <v>€ Millions</v>
      </c>
      <c r="S170" s="10">
        <v>2018</v>
      </c>
      <c r="T170" s="10">
        <v>2017</v>
      </c>
      <c r="U170" s="10" t="str">
        <f>+IF($B$3="esp","Var.%","% Chg.")</f>
        <v>% Chg.</v>
      </c>
      <c r="X170" s="10">
        <v>2018</v>
      </c>
      <c r="Y170" s="10">
        <v>2017</v>
      </c>
      <c r="Z170" s="10" t="str">
        <f>+IF($B$3="esp","Var.%","% Chg.")</f>
        <v>% Chg.</v>
      </c>
    </row>
    <row r="171" spans="4:26" ht="15" customHeight="1">
      <c r="Q171" s="11" t="str">
        <f>+IF($B$3="esp","EBITDA Ajustado","Adjusted EBITDA")</f>
        <v>Adjusted EBITDA</v>
      </c>
      <c r="S171" s="12"/>
      <c r="T171" s="12"/>
      <c r="U171" s="12"/>
      <c r="X171" s="12"/>
      <c r="Y171" s="12"/>
      <c r="Z171" s="12"/>
    </row>
    <row r="172" spans="4:26" ht="15" customHeight="1">
      <c r="Q172" s="13" t="str">
        <f>+IF($B$3="esp","Total Santillana","Total Santillana")</f>
        <v>Total Santillana</v>
      </c>
      <c r="R172" s="13"/>
      <c r="S172" s="14">
        <f>+[1]SANTILLANA!AC159</f>
        <v>168.66654263345805</v>
      </c>
      <c r="T172" s="15">
        <f>+[1]SANTILLANA!AD159</f>
        <v>184.57032667491131</v>
      </c>
      <c r="U172" s="16">
        <f>IF(T172=0,"---",IF(OR(ABS((S172-T172)/ABS(T172))&gt;2,(S172*T172)&lt;0),"---",IF(T172="0","---",((S172-T172)/ABS(T172))*100)))</f>
        <v>-8.6166527025034885</v>
      </c>
      <c r="X172" s="14">
        <f>+[1]SANTILLANA!AG159</f>
        <v>17.829355888747074</v>
      </c>
      <c r="Y172" s="15">
        <f>+[1]SANTILLANA!AH159</f>
        <v>19.560040830658721</v>
      </c>
      <c r="Z172" s="16">
        <f>IF(Y172=0,"---",IF(OR(ABS((X172-Y172)/ABS(Y172))&gt;2,(X172*Y172)&lt;0),"---",IF(Y172="0","---",((X172-Y172)/ABS(Y172))*100)))</f>
        <v>-8.8480640551575132</v>
      </c>
    </row>
    <row r="173" spans="4:26" ht="15" customHeight="1">
      <c r="Q173" s="17" t="str">
        <f>+IF($B$3="esp","Educación Tradicional y Compartir","Traditional Education and Compartir")</f>
        <v>Traditional Education and Compartir</v>
      </c>
      <c r="S173" s="18">
        <f>+[1]SANTILLANA!AC160</f>
        <v>114.68649941724661</v>
      </c>
      <c r="T173" s="19">
        <f>+[1]SANTILLANA!AD160</f>
        <v>126.2295086842704</v>
      </c>
      <c r="U173" s="20">
        <f>IF(T173=0,"---",IF(OR(ABS((S173-T173)/ABS(T173))&gt;2,(S173*T173)&lt;0),"---",IF(T173="0","---",((S173-T173)/ABS(T173))*100)))</f>
        <v>-9.1444618515434168</v>
      </c>
      <c r="X173" s="18">
        <f>+[1]SANTILLANA!AG160</f>
        <v>57.042774377066927</v>
      </c>
      <c r="Y173" s="19">
        <f>+[1]SANTILLANA!AH160</f>
        <v>59.858055635894758</v>
      </c>
      <c r="Z173" s="20">
        <f>IF(Y173=0,"---",IF(OR(ABS((X173-Y173)/ABS(Y173))&gt;2,(X173*Y173)&lt;0),"---",IF(Y173="0","---",((X173-Y173)/ABS(Y173))*100)))</f>
        <v>-4.7032621239030128</v>
      </c>
    </row>
    <row r="174" spans="4:26" ht="15" customHeight="1">
      <c r="Q174" s="26" t="str">
        <f>+IF($B$3="esp","Campaña Sur","South Campaign")</f>
        <v>South Campaign</v>
      </c>
      <c r="S174" s="18">
        <f>+[1]SANTILLANA!AC161</f>
        <v>53.276361997577538</v>
      </c>
      <c r="T174" s="19">
        <f>+[1]SANTILLANA!AD161</f>
        <v>69.314048221977515</v>
      </c>
      <c r="U174" s="20">
        <f>IF(T174=0,"---",IF(OR(ABS((S174-T174)/ABS(T174))&gt;2,(S174*T174)&lt;0),"---",IF(T174="0","---",((S174-T174)/ABS(T174))*100)))</f>
        <v>-23.137713978325799</v>
      </c>
      <c r="X174" s="18">
        <f>+[1]SANTILLANA!AG161</f>
        <v>41.44385572107042</v>
      </c>
      <c r="Y174" s="19">
        <f>+[1]SANTILLANA!AH161</f>
        <v>50.638907656600963</v>
      </c>
      <c r="Z174" s="20">
        <f>IF(Y174=0,"---",IF(OR(ABS((X174-Y174)/ABS(Y174))&gt;2,(X174*Y174)&lt;0),"---",IF(Y174="0","---",((X174-Y174)/ABS(Y174))*100)))</f>
        <v>-18.158077180268588</v>
      </c>
    </row>
    <row r="175" spans="4:26" ht="15" customHeight="1">
      <c r="Q175" s="26" t="str">
        <f>+IF($B$3="esp","Campaña Norte","North Campaign")</f>
        <v>North Campaign</v>
      </c>
      <c r="S175" s="18">
        <f>+[1]SANTILLANA!AC162</f>
        <v>61.41013741966907</v>
      </c>
      <c r="T175" s="19">
        <f>+[1]SANTILLANA!AD162</f>
        <v>56.915460462292884</v>
      </c>
      <c r="U175" s="20">
        <f>IF(T175=0,"---",IF(OR(ABS((S175-T175)/ABS(T175))&gt;2,(S175*T175)&lt;0),"---",IF(T175="0","---",((S175-T175)/ABS(T175))*100)))</f>
        <v>7.8971107689692825</v>
      </c>
      <c r="X175" s="18">
        <f>+[1]SANTILLANA!AG162</f>
        <v>15.598918655996506</v>
      </c>
      <c r="Y175" s="19">
        <f>+[1]SANTILLANA!AH162</f>
        <v>9.219147979293794</v>
      </c>
      <c r="Z175" s="20">
        <f>IF(Y175=0,"---",IF(OR(ABS((X175-Y175)/ABS(Y175))&gt;2,(X175*Y175)&lt;0),"---",IF(Y175="0","---",((X175-Y175)/ABS(Y175))*100)))</f>
        <v>69.201304621985429</v>
      </c>
    </row>
    <row r="176" spans="4:26" ht="15" customHeight="1">
      <c r="Q176" s="17" t="str">
        <f>+IF($B$3="esp","Sistema UNO","UNO System")</f>
        <v>UNO System</v>
      </c>
      <c r="S176" s="18">
        <f>+[1]SANTILLANA!AC163</f>
        <v>53.972186384565703</v>
      </c>
      <c r="T176" s="19">
        <f>+[1]SANTILLANA!AD163</f>
        <v>58.337793250205507</v>
      </c>
      <c r="U176" s="20">
        <f>IF(T176=0,"---",IF(OR(ABS((S176-T176)/ABS(T176))&gt;2,(S176*T176)&lt;0),"---",IF(T176="0","---",((S176-T176)/ABS(T176))*100)))</f>
        <v>-7.4833253409434128</v>
      </c>
      <c r="X176" s="18">
        <f>+[1]SANTILLANA!AG163</f>
        <v>-39.231234465892143</v>
      </c>
      <c r="Y176" s="19">
        <f>+[1]SANTILLANA!AH163</f>
        <v>-40.311012646638304</v>
      </c>
      <c r="Z176" s="20">
        <f>IF(Y176=0,"---",IF(OR(ABS((X176-Y176)/ABS(Y176))&gt;2,(X176*Y176)&lt;0),"---",IF(Y176="0","---",((X176-Y176)/ABS(Y176))*100)))</f>
        <v>2.6786183473269989</v>
      </c>
    </row>
    <row r="177" spans="17:26" ht="15" customHeight="1">
      <c r="Q177" s="17"/>
      <c r="S177" s="19"/>
      <c r="T177" s="19"/>
      <c r="U177" s="20"/>
      <c r="X177" s="19"/>
      <c r="Y177" s="19"/>
      <c r="Z177" s="20"/>
    </row>
    <row r="178" spans="17:26" ht="15" customHeight="1"/>
    <row r="179" spans="17:26" ht="15" customHeight="1">
      <c r="S179" s="7" t="str">
        <f>+S168</f>
        <v>JANUARY - DECEMBER</v>
      </c>
      <c r="T179" s="8"/>
      <c r="U179" s="8"/>
      <c r="X179" s="7" t="str">
        <f>+X168</f>
        <v>OCTOBER - DECEMBER</v>
      </c>
      <c r="Y179" s="8"/>
      <c r="Z179" s="8"/>
    </row>
    <row r="180" spans="17:26" ht="15" customHeight="1"/>
    <row r="181" spans="17:26" ht="15" customHeight="1">
      <c r="Q181" s="9" t="str">
        <f>+IF($B$3="esp","Millones de €","€ Millions")</f>
        <v>€ Millions</v>
      </c>
      <c r="S181" s="10">
        <v>2018</v>
      </c>
      <c r="T181" s="10">
        <v>2017</v>
      </c>
      <c r="U181" s="10" t="str">
        <f>+IF($B$3="esp","Var.%","% Chg.")</f>
        <v>% Chg.</v>
      </c>
      <c r="X181" s="10">
        <v>2018</v>
      </c>
      <c r="Y181" s="10">
        <v>2017</v>
      </c>
      <c r="Z181" s="10" t="str">
        <f>+IF($B$3="esp","Var.%","% Chg.")</f>
        <v>% Chg.</v>
      </c>
    </row>
    <row r="182" spans="17:26" ht="15" customHeight="1">
      <c r="Q182" s="11" t="str">
        <f>+IF($B$3="esp","EBITDA Ajustado a tipo constante","Adjusted EBITDA at constant currency")</f>
        <v>Adjusted EBITDA at constant currency</v>
      </c>
      <c r="S182" s="12"/>
      <c r="T182" s="12"/>
      <c r="U182" s="12"/>
      <c r="X182" s="12"/>
      <c r="Y182" s="12"/>
      <c r="Z182" s="12"/>
    </row>
    <row r="183" spans="17:26" ht="15" customHeight="1">
      <c r="Q183" s="13" t="str">
        <f>+IF($B$3="esp","Total Santillana","Total Santillana")</f>
        <v>Total Santillana</v>
      </c>
      <c r="R183" s="13"/>
      <c r="S183" s="14">
        <f>+[1]SANTILLANA!AC172</f>
        <v>188.55911069215003</v>
      </c>
      <c r="T183" s="15">
        <f>+[1]SANTILLANA!AD172</f>
        <v>184.57032667491131</v>
      </c>
      <c r="U183" s="16">
        <f>IF(T183=0,"---",IF(OR(ABS((S183-T183)/ABS(T183))&gt;2,(S183*T183)&lt;0),"---",IF(T183="0","---",((S183-T183)/ABS(T183))*100)))</f>
        <v>2.1611187936315823</v>
      </c>
      <c r="X183" s="14">
        <f>+[1]SANTILLANA!AG172</f>
        <v>21.280826933322544</v>
      </c>
      <c r="Y183" s="15">
        <f>+[1]SANTILLANA!AH172</f>
        <v>19.560040830658721</v>
      </c>
      <c r="Z183" s="16">
        <f>IF(Y183=0,"---",IF(OR(ABS((X183-Y183)/ABS(Y183))&gt;2,(X183*Y183)&lt;0),"---",IF(Y183="0","---",((X183-Y183)/ABS(Y183))*100)))</f>
        <v>8.7974565981817126</v>
      </c>
    </row>
    <row r="184" spans="17:26" ht="15" customHeight="1">
      <c r="Q184" s="17" t="str">
        <f>+IF($B$3="esp","Educación Tradicional y Compartir","Traditional Education and Compartir")</f>
        <v>Traditional Education and Compartir</v>
      </c>
      <c r="S184" s="18">
        <f>+[1]SANTILLANA!AC173</f>
        <v>131.72580851757985</v>
      </c>
      <c r="T184" s="19">
        <f>+[1]SANTILLANA!AD173</f>
        <v>126.2295086842704</v>
      </c>
      <c r="U184" s="20">
        <f>IF(T184=0,"---",IF(OR(ABS((S184-T184)/ABS(T184))&gt;2,(S184*T184)&lt;0),"---",IF(T184="0","---",((S184-T184)/ABS(T184))*100)))</f>
        <v>4.3542115394404206</v>
      </c>
      <c r="X184" s="18">
        <f>+[1]SANTILLANA!AG173</f>
        <v>60.629653062388229</v>
      </c>
      <c r="Y184" s="19">
        <f>+[1]SANTILLANA!AH173</f>
        <v>59.858055635894758</v>
      </c>
      <c r="Z184" s="20">
        <f>IF(Y184=0,"---",IF(OR(ABS((X184-Y184)/ABS(Y184))&gt;2,(X184*Y184)&lt;0),"---",IF(Y184="0","---",((X184-Y184)/ABS(Y184))*100)))</f>
        <v>1.2890452559751571</v>
      </c>
    </row>
    <row r="185" spans="17:26" ht="15" customHeight="1">
      <c r="Q185" s="26" t="str">
        <f>+IF($B$3="esp","Campaña Sur","South Campaign")</f>
        <v>South Campaign</v>
      </c>
      <c r="S185" s="18">
        <f>+[1]SANTILLANA!AC174</f>
        <v>59.916224816594692</v>
      </c>
      <c r="T185" s="19">
        <f>+[1]SANTILLANA!AD174</f>
        <v>69.314048221977515</v>
      </c>
      <c r="U185" s="20">
        <f>IF(T185=0,"---",IF(OR(ABS((S185-T185)/ABS(T185))&gt;2,(S185*T185)&lt;0),"---",IF(T185="0","---",((S185-T185)/ABS(T185))*100)))</f>
        <v>-13.558324245160797</v>
      </c>
      <c r="X185" s="18">
        <f>+[1]SANTILLANA!AG174</f>
        <v>46.692444307189916</v>
      </c>
      <c r="Y185" s="19">
        <f>+[1]SANTILLANA!AH174</f>
        <v>50.638907656600963</v>
      </c>
      <c r="Z185" s="20">
        <f>IF(Y185=0,"---",IF(OR(ABS((X185-Y185)/ABS(Y185))&gt;2,(X185*Y185)&lt;0),"---",IF(Y185="0","---",((X185-Y185)/ABS(Y185))*100)))</f>
        <v>-7.7933421790479951</v>
      </c>
    </row>
    <row r="186" spans="17:26" ht="15" customHeight="1">
      <c r="Q186" s="26" t="str">
        <f>+IF($B$3="esp","Campaña Norte","North Campaign")</f>
        <v>North Campaign</v>
      </c>
      <c r="S186" s="18">
        <f>+[1]SANTILLANA!AC175</f>
        <v>71.809583700985158</v>
      </c>
      <c r="T186" s="19">
        <f>+[1]SANTILLANA!AD175</f>
        <v>56.915460462292884</v>
      </c>
      <c r="U186" s="20">
        <f>IF(T186=0,"---",IF(OR(ABS((S186-T186)/ABS(T186))&gt;2,(S186*T186)&lt;0),"---",IF(T186="0","---",((S186-T186)/ABS(T186))*100)))</f>
        <v>26.168853098464862</v>
      </c>
      <c r="X186" s="18">
        <f>+[1]SANTILLANA!AG175</f>
        <v>13.937208755198313</v>
      </c>
      <c r="Y186" s="19">
        <f>+[1]SANTILLANA!AH175</f>
        <v>9.219147979293794</v>
      </c>
      <c r="Z186" s="20">
        <f>IF(Y186=0,"---",IF(OR(ABS((X186-Y186)/ABS(Y186))&gt;2,(X186*Y186)&lt;0),"---",IF(Y186="0","---",((X186-Y186)/ABS(Y186))*100)))</f>
        <v>51.176755015770262</v>
      </c>
    </row>
    <row r="187" spans="17:26" ht="15" customHeight="1">
      <c r="Q187" s="17" t="str">
        <f>+IF($B$3="esp","Sistema UNO","UNO System")</f>
        <v>UNO System</v>
      </c>
      <c r="S187" s="18">
        <f>+[1]SANTILLANA!AC176</f>
        <v>56.825445342924368</v>
      </c>
      <c r="T187" s="19">
        <f>+[1]SANTILLANA!AD176</f>
        <v>58.337793250205507</v>
      </c>
      <c r="U187" s="20">
        <f>IF(T187=0,"---",IF(OR(ABS((S187-T187)/ABS(T187))&gt;2,(S187*T187)&lt;0),"---",IF(T187="0","---",((S187-T187)/ABS(T187))*100)))</f>
        <v>-2.5923982088160518</v>
      </c>
      <c r="X187" s="18">
        <f>+[1]SANTILLANA!AG176</f>
        <v>-39.366642106638025</v>
      </c>
      <c r="Y187" s="19">
        <f>+[1]SANTILLANA!AH176</f>
        <v>-40.311012646638304</v>
      </c>
      <c r="Z187" s="20">
        <f>IF(Y187=0,"---",IF(OR(ABS((X187-Y187)/ABS(Y187))&gt;2,(X187*Y187)&lt;0),"---",IF(Y187="0","---",((X187-Y187)/ABS(Y187))*100)))</f>
        <v>2.3427110310488151</v>
      </c>
    </row>
    <row r="188" spans="17:26" ht="15" customHeight="1">
      <c r="Q188" s="17"/>
      <c r="S188" s="19"/>
      <c r="T188" s="19"/>
      <c r="U188" s="20"/>
      <c r="X188" s="19"/>
      <c r="Y188" s="19"/>
      <c r="Z188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PRISA FY2018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Guelbenzu Robles, Belen</dc:creator>
  <cp:lastModifiedBy>Guelbenzu Robles, Belen</cp:lastModifiedBy>
  <dcterms:created xsi:type="dcterms:W3CDTF">2019-02-26T15:46:45Z</dcterms:created>
  <dcterms:modified xsi:type="dcterms:W3CDTF">2019-02-26T17:20:07Z</dcterms:modified>
</cp:coreProperties>
</file>