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LACIÓN CON INVERSORES\NEW\RESULTS\2019\1T\DEF\"/>
    </mc:Choice>
  </mc:AlternateContent>
  <xr:revisionPtr revIDLastSave="0" documentId="8_{84A59796-932F-4FBA-A8F1-2C601D0F85D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o Publish" sheetId="1" r:id="rId1"/>
  </sheets>
  <externalReferences>
    <externalReference r:id="rId2"/>
  </externalReferences>
  <definedNames>
    <definedName name="_xlnm.Print_Area" localSheetId="0">'To Publish'!$D$6:$H$176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8" i="1" l="1"/>
  <c r="N188" i="1"/>
  <c r="P188" i="1" s="1"/>
  <c r="L188" i="1"/>
  <c r="P187" i="1"/>
  <c r="O187" i="1"/>
  <c r="N187" i="1"/>
  <c r="L187" i="1"/>
  <c r="O186" i="1"/>
  <c r="N186" i="1"/>
  <c r="L186" i="1"/>
  <c r="L185" i="1"/>
  <c r="L184" i="1"/>
  <c r="O178" i="1"/>
  <c r="N178" i="1"/>
  <c r="P178" i="1" s="1"/>
  <c r="L178" i="1"/>
  <c r="O177" i="1"/>
  <c r="N177" i="1"/>
  <c r="L177" i="1"/>
  <c r="P176" i="1"/>
  <c r="O176" i="1"/>
  <c r="N176" i="1"/>
  <c r="L176" i="1"/>
  <c r="L175" i="1"/>
  <c r="G175" i="1"/>
  <c r="H175" i="1" s="1"/>
  <c r="F175" i="1"/>
  <c r="D175" i="1"/>
  <c r="L174" i="1"/>
  <c r="G174" i="1"/>
  <c r="F174" i="1"/>
  <c r="D174" i="1"/>
  <c r="G173" i="1"/>
  <c r="F173" i="1"/>
  <c r="D173" i="1"/>
  <c r="G172" i="1"/>
  <c r="H172" i="1" s="1"/>
  <c r="F172" i="1"/>
  <c r="D172" i="1"/>
  <c r="G171" i="1"/>
  <c r="H171" i="1" s="1"/>
  <c r="F171" i="1"/>
  <c r="D171" i="1"/>
  <c r="G170" i="1"/>
  <c r="F170" i="1"/>
  <c r="D170" i="1"/>
  <c r="O169" i="1"/>
  <c r="P169" i="1" s="1"/>
  <c r="N169" i="1"/>
  <c r="L169" i="1"/>
  <c r="D169" i="1"/>
  <c r="O168" i="1"/>
  <c r="N168" i="1"/>
  <c r="L168" i="1"/>
  <c r="D168" i="1"/>
  <c r="O167" i="1"/>
  <c r="N167" i="1"/>
  <c r="L167" i="1"/>
  <c r="L166" i="1"/>
  <c r="L163" i="1"/>
  <c r="G161" i="1"/>
  <c r="F161" i="1"/>
  <c r="H161" i="1" s="1"/>
  <c r="D161" i="1"/>
  <c r="G160" i="1"/>
  <c r="F160" i="1"/>
  <c r="H160" i="1" s="1"/>
  <c r="D160" i="1"/>
  <c r="G159" i="1"/>
  <c r="F159" i="1"/>
  <c r="H159" i="1" s="1"/>
  <c r="D159" i="1"/>
  <c r="P158" i="1"/>
  <c r="O158" i="1"/>
  <c r="N158" i="1"/>
  <c r="L158" i="1"/>
  <c r="G158" i="1"/>
  <c r="F158" i="1"/>
  <c r="D158" i="1"/>
  <c r="O157" i="1"/>
  <c r="P157" i="1" s="1"/>
  <c r="N157" i="1"/>
  <c r="L157" i="1"/>
  <c r="G157" i="1"/>
  <c r="F157" i="1"/>
  <c r="D157" i="1"/>
  <c r="O156" i="1"/>
  <c r="P156" i="1" s="1"/>
  <c r="N156" i="1"/>
  <c r="L156" i="1"/>
  <c r="G156" i="1"/>
  <c r="F156" i="1"/>
  <c r="H156" i="1" s="1"/>
  <c r="D156" i="1"/>
  <c r="L155" i="1"/>
  <c r="D155" i="1"/>
  <c r="L154" i="1"/>
  <c r="D154" i="1"/>
  <c r="G147" i="1"/>
  <c r="H147" i="1" s="1"/>
  <c r="F147" i="1"/>
  <c r="D147" i="1"/>
  <c r="G146" i="1"/>
  <c r="F146" i="1"/>
  <c r="D146" i="1"/>
  <c r="AE145" i="1"/>
  <c r="AD145" i="1"/>
  <c r="AB145" i="1"/>
  <c r="G145" i="1"/>
  <c r="F145" i="1"/>
  <c r="D145" i="1"/>
  <c r="AE144" i="1"/>
  <c r="AB144" i="1"/>
  <c r="G144" i="1"/>
  <c r="F144" i="1"/>
  <c r="D144" i="1"/>
  <c r="AE143" i="1"/>
  <c r="AD143" i="1"/>
  <c r="AB143" i="1"/>
  <c r="G143" i="1"/>
  <c r="F143" i="1"/>
  <c r="D143" i="1"/>
  <c r="AE142" i="1"/>
  <c r="AF142" i="1" s="1"/>
  <c r="AD142" i="1"/>
  <c r="AB142" i="1"/>
  <c r="G142" i="1"/>
  <c r="H142" i="1" s="1"/>
  <c r="F142" i="1"/>
  <c r="D142" i="1"/>
  <c r="AE141" i="1"/>
  <c r="AD141" i="1"/>
  <c r="AB141" i="1"/>
  <c r="G141" i="1"/>
  <c r="H141" i="1" s="1"/>
  <c r="F141" i="1"/>
  <c r="D141" i="1"/>
  <c r="AE140" i="1"/>
  <c r="AF140" i="1" s="1"/>
  <c r="AD140" i="1"/>
  <c r="AB140" i="1"/>
  <c r="G140" i="1"/>
  <c r="F140" i="1"/>
  <c r="D140" i="1"/>
  <c r="AE139" i="1"/>
  <c r="AB139" i="1"/>
  <c r="G139" i="1"/>
  <c r="F139" i="1"/>
  <c r="D139" i="1"/>
  <c r="AE138" i="1"/>
  <c r="AD138" i="1"/>
  <c r="AB138" i="1"/>
  <c r="G138" i="1"/>
  <c r="F138" i="1"/>
  <c r="D138" i="1"/>
  <c r="AE137" i="1"/>
  <c r="AB137" i="1"/>
  <c r="G137" i="1"/>
  <c r="D137" i="1"/>
  <c r="AE136" i="1"/>
  <c r="AF136" i="1" s="1"/>
  <c r="AB136" i="1"/>
  <c r="G136" i="1"/>
  <c r="D136" i="1"/>
  <c r="AF134" i="1"/>
  <c r="AB134" i="1"/>
  <c r="D134" i="1"/>
  <c r="AB132" i="1"/>
  <c r="AM129" i="1"/>
  <c r="AN129" i="1" s="1"/>
  <c r="AL129" i="1"/>
  <c r="AJ129" i="1"/>
  <c r="AE129" i="1"/>
  <c r="AF129" i="1" s="1"/>
  <c r="AD129" i="1"/>
  <c r="AB129" i="1"/>
  <c r="W129" i="1"/>
  <c r="V129" i="1"/>
  <c r="T129" i="1"/>
  <c r="O129" i="1"/>
  <c r="N129" i="1"/>
  <c r="L129" i="1"/>
  <c r="G129" i="1"/>
  <c r="F129" i="1"/>
  <c r="D129" i="1"/>
  <c r="AM128" i="1"/>
  <c r="AJ128" i="1"/>
  <c r="AE128" i="1"/>
  <c r="AB128" i="1"/>
  <c r="W128" i="1"/>
  <c r="X128" i="1" s="1"/>
  <c r="T128" i="1"/>
  <c r="O128" i="1"/>
  <c r="L128" i="1"/>
  <c r="G128" i="1"/>
  <c r="F128" i="1"/>
  <c r="D128" i="1"/>
  <c r="G127" i="1"/>
  <c r="F127" i="1"/>
  <c r="D127" i="1"/>
  <c r="AM126" i="1"/>
  <c r="AN126" i="1" s="1"/>
  <c r="AL126" i="1"/>
  <c r="AJ126" i="1"/>
  <c r="AE126" i="1"/>
  <c r="AD126" i="1"/>
  <c r="AF126" i="1" s="1"/>
  <c r="AB126" i="1"/>
  <c r="W126" i="1"/>
  <c r="X126" i="1" s="1"/>
  <c r="V126" i="1"/>
  <c r="T126" i="1"/>
  <c r="O126" i="1"/>
  <c r="N126" i="1"/>
  <c r="L126" i="1"/>
  <c r="G126" i="1"/>
  <c r="F126" i="1"/>
  <c r="H126" i="1" s="1"/>
  <c r="D126" i="1"/>
  <c r="AN125" i="1"/>
  <c r="AM125" i="1"/>
  <c r="AL125" i="1"/>
  <c r="AJ125" i="1"/>
  <c r="AE125" i="1"/>
  <c r="AD125" i="1"/>
  <c r="AF125" i="1" s="1"/>
  <c r="AB125" i="1"/>
  <c r="W125" i="1"/>
  <c r="V125" i="1"/>
  <c r="T125" i="1"/>
  <c r="P125" i="1"/>
  <c r="O125" i="1"/>
  <c r="N125" i="1"/>
  <c r="L125" i="1"/>
  <c r="G125" i="1"/>
  <c r="F125" i="1"/>
  <c r="H125" i="1" s="1"/>
  <c r="D125" i="1"/>
  <c r="AM124" i="1"/>
  <c r="AN124" i="1" s="1"/>
  <c r="AL124" i="1"/>
  <c r="AJ124" i="1"/>
  <c r="AE124" i="1"/>
  <c r="AD124" i="1"/>
  <c r="AF124" i="1" s="1"/>
  <c r="AB124" i="1"/>
  <c r="X124" i="1"/>
  <c r="W124" i="1"/>
  <c r="V124" i="1"/>
  <c r="T124" i="1"/>
  <c r="O124" i="1"/>
  <c r="N124" i="1"/>
  <c r="P124" i="1" s="1"/>
  <c r="L124" i="1"/>
  <c r="H124" i="1"/>
  <c r="G124" i="1"/>
  <c r="F124" i="1"/>
  <c r="D124" i="1"/>
  <c r="AM123" i="1"/>
  <c r="AL123" i="1"/>
  <c r="AJ123" i="1"/>
  <c r="AE123" i="1"/>
  <c r="AF123" i="1" s="1"/>
  <c r="AD123" i="1"/>
  <c r="AB123" i="1"/>
  <c r="W123" i="1"/>
  <c r="V123" i="1"/>
  <c r="T123" i="1"/>
  <c r="O123" i="1"/>
  <c r="P123" i="1" s="1"/>
  <c r="N123" i="1"/>
  <c r="L123" i="1"/>
  <c r="G123" i="1"/>
  <c r="F123" i="1"/>
  <c r="H123" i="1" s="1"/>
  <c r="D123" i="1"/>
  <c r="AM122" i="1"/>
  <c r="AJ122" i="1"/>
  <c r="AE122" i="1"/>
  <c r="AB122" i="1"/>
  <c r="W122" i="1"/>
  <c r="T122" i="1"/>
  <c r="O122" i="1"/>
  <c r="L122" i="1"/>
  <c r="G122" i="1"/>
  <c r="F122" i="1"/>
  <c r="D122" i="1"/>
  <c r="G121" i="1"/>
  <c r="F121" i="1"/>
  <c r="D121" i="1"/>
  <c r="AM120" i="1"/>
  <c r="AN120" i="1" s="1"/>
  <c r="AL120" i="1"/>
  <c r="AJ120" i="1"/>
  <c r="AE120" i="1"/>
  <c r="AD120" i="1"/>
  <c r="AB120" i="1"/>
  <c r="W120" i="1"/>
  <c r="V120" i="1"/>
  <c r="T120" i="1"/>
  <c r="O120" i="1"/>
  <c r="P120" i="1" s="1"/>
  <c r="N120" i="1"/>
  <c r="L120" i="1"/>
  <c r="G120" i="1"/>
  <c r="F120" i="1"/>
  <c r="D120" i="1"/>
  <c r="AM119" i="1"/>
  <c r="AL119" i="1"/>
  <c r="AJ119" i="1"/>
  <c r="AE119" i="1"/>
  <c r="AB119" i="1"/>
  <c r="W119" i="1"/>
  <c r="T119" i="1"/>
  <c r="O119" i="1"/>
  <c r="L119" i="1"/>
  <c r="G119" i="1"/>
  <c r="D119" i="1"/>
  <c r="AM118" i="1"/>
  <c r="AL118" i="1"/>
  <c r="AJ118" i="1"/>
  <c r="AE118" i="1"/>
  <c r="AF118" i="1" s="1"/>
  <c r="AB118" i="1"/>
  <c r="W118" i="1"/>
  <c r="T118" i="1"/>
  <c r="O118" i="1"/>
  <c r="P118" i="1" s="1"/>
  <c r="L118" i="1"/>
  <c r="G118" i="1"/>
  <c r="D118" i="1"/>
  <c r="AN116" i="1"/>
  <c r="AJ116" i="1"/>
  <c r="AF116" i="1"/>
  <c r="AB116" i="1"/>
  <c r="T116" i="1"/>
  <c r="L116" i="1"/>
  <c r="D116" i="1"/>
  <c r="AB114" i="1"/>
  <c r="T114" i="1"/>
  <c r="L114" i="1"/>
  <c r="D114" i="1"/>
  <c r="AM103" i="1"/>
  <c r="AM102" i="1" s="1"/>
  <c r="AN102" i="1" s="1"/>
  <c r="AJ103" i="1"/>
  <c r="AE103" i="1"/>
  <c r="AE102" i="1" s="1"/>
  <c r="AD103" i="1"/>
  <c r="AD102" i="1" s="1"/>
  <c r="AB103" i="1"/>
  <c r="W103" i="1"/>
  <c r="V103" i="1"/>
  <c r="T103" i="1"/>
  <c r="O103" i="1"/>
  <c r="N103" i="1"/>
  <c r="N102" i="1" s="1"/>
  <c r="L103" i="1"/>
  <c r="G103" i="1"/>
  <c r="F103" i="1"/>
  <c r="D103" i="1"/>
  <c r="AL102" i="1"/>
  <c r="AJ102" i="1"/>
  <c r="AB102" i="1"/>
  <c r="V102" i="1"/>
  <c r="T102" i="1"/>
  <c r="O102" i="1"/>
  <c r="P102" i="1" s="1"/>
  <c r="L102" i="1"/>
  <c r="G102" i="1"/>
  <c r="H102" i="1" s="1"/>
  <c r="F102" i="1"/>
  <c r="D102" i="1"/>
  <c r="AM101" i="1"/>
  <c r="AJ101" i="1"/>
  <c r="AE101" i="1"/>
  <c r="AE99" i="1" s="1"/>
  <c r="AD101" i="1"/>
  <c r="AD99" i="1" s="1"/>
  <c r="AB101" i="1"/>
  <c r="W101" i="1"/>
  <c r="V101" i="1"/>
  <c r="T101" i="1"/>
  <c r="O101" i="1"/>
  <c r="O99" i="1" s="1"/>
  <c r="N101" i="1"/>
  <c r="N99" i="1" s="1"/>
  <c r="L101" i="1"/>
  <c r="G101" i="1"/>
  <c r="F101" i="1"/>
  <c r="D101" i="1"/>
  <c r="AN100" i="1"/>
  <c r="G100" i="1"/>
  <c r="H100" i="1" s="1"/>
  <c r="F100" i="1"/>
  <c r="D100" i="1"/>
  <c r="AL99" i="1"/>
  <c r="AJ99" i="1"/>
  <c r="AB99" i="1"/>
  <c r="V99" i="1"/>
  <c r="T99" i="1"/>
  <c r="L99" i="1"/>
  <c r="H99" i="1"/>
  <c r="G99" i="1"/>
  <c r="F99" i="1"/>
  <c r="D99" i="1"/>
  <c r="AN98" i="1"/>
  <c r="H98" i="1"/>
  <c r="AN97" i="1"/>
  <c r="H97" i="1"/>
  <c r="AN96" i="1"/>
  <c r="P96" i="1"/>
  <c r="H96" i="1"/>
  <c r="AM95" i="1"/>
  <c r="AN95" i="1" s="1"/>
  <c r="AL95" i="1"/>
  <c r="AJ95" i="1"/>
  <c r="AE95" i="1"/>
  <c r="AF95" i="1" s="1"/>
  <c r="AD95" i="1"/>
  <c r="AB95" i="1"/>
  <c r="W95" i="1"/>
  <c r="X95" i="1" s="1"/>
  <c r="V95" i="1"/>
  <c r="T95" i="1"/>
  <c r="O95" i="1"/>
  <c r="P95" i="1" s="1"/>
  <c r="N95" i="1"/>
  <c r="L95" i="1"/>
  <c r="H95" i="1"/>
  <c r="D95" i="1"/>
  <c r="AJ94" i="1"/>
  <c r="AB94" i="1"/>
  <c r="T94" i="1"/>
  <c r="L94" i="1"/>
  <c r="D94" i="1"/>
  <c r="AN93" i="1"/>
  <c r="AJ93" i="1"/>
  <c r="AF93" i="1"/>
  <c r="AB93" i="1"/>
  <c r="T93" i="1"/>
  <c r="L93" i="1"/>
  <c r="D93" i="1"/>
  <c r="G83" i="1"/>
  <c r="F83" i="1"/>
  <c r="D83" i="1"/>
  <c r="G82" i="1"/>
  <c r="F82" i="1"/>
  <c r="D82" i="1"/>
  <c r="G81" i="1"/>
  <c r="H81" i="1" s="1"/>
  <c r="F81" i="1"/>
  <c r="D81" i="1"/>
  <c r="G80" i="1"/>
  <c r="F80" i="1"/>
  <c r="D80" i="1"/>
  <c r="G79" i="1"/>
  <c r="F79" i="1"/>
  <c r="D79" i="1"/>
  <c r="W78" i="1"/>
  <c r="V78" i="1"/>
  <c r="T78" i="1"/>
  <c r="G78" i="1"/>
  <c r="H78" i="1" s="1"/>
  <c r="F78" i="1"/>
  <c r="D78" i="1"/>
  <c r="W77" i="1"/>
  <c r="V77" i="1"/>
  <c r="T77" i="1"/>
  <c r="G77" i="1"/>
  <c r="F77" i="1"/>
  <c r="D77" i="1"/>
  <c r="W76" i="1"/>
  <c r="V76" i="1"/>
  <c r="T76" i="1"/>
  <c r="G76" i="1"/>
  <c r="H76" i="1" s="1"/>
  <c r="F76" i="1"/>
  <c r="D76" i="1"/>
  <c r="W75" i="1"/>
  <c r="X75" i="1" s="1"/>
  <c r="V75" i="1"/>
  <c r="T75" i="1"/>
  <c r="G75" i="1"/>
  <c r="F75" i="1"/>
  <c r="D75" i="1"/>
  <c r="W74" i="1"/>
  <c r="X74" i="1" s="1"/>
  <c r="V74" i="1"/>
  <c r="T74" i="1"/>
  <c r="G74" i="1"/>
  <c r="F74" i="1"/>
  <c r="D74" i="1"/>
  <c r="W73" i="1"/>
  <c r="V73" i="1"/>
  <c r="T73" i="1"/>
  <c r="G73" i="1"/>
  <c r="F73" i="1"/>
  <c r="D73" i="1"/>
  <c r="AE72" i="1"/>
  <c r="AD72" i="1"/>
  <c r="AB72" i="1"/>
  <c r="W72" i="1"/>
  <c r="V72" i="1"/>
  <c r="T72" i="1"/>
  <c r="G72" i="1"/>
  <c r="F72" i="1"/>
  <c r="D72" i="1"/>
  <c r="AE71" i="1"/>
  <c r="AD71" i="1"/>
  <c r="AB71" i="1"/>
  <c r="W71" i="1"/>
  <c r="V71" i="1"/>
  <c r="X71" i="1" s="1"/>
  <c r="T71" i="1"/>
  <c r="O71" i="1"/>
  <c r="N71" i="1"/>
  <c r="L71" i="1"/>
  <c r="G71" i="1"/>
  <c r="F71" i="1"/>
  <c r="D71" i="1"/>
  <c r="AE70" i="1"/>
  <c r="AF70" i="1" s="1"/>
  <c r="AD70" i="1"/>
  <c r="AB70" i="1"/>
  <c r="W70" i="1"/>
  <c r="V70" i="1"/>
  <c r="T70" i="1"/>
  <c r="O70" i="1"/>
  <c r="P70" i="1" s="1"/>
  <c r="N70" i="1"/>
  <c r="L70" i="1"/>
  <c r="G70" i="1"/>
  <c r="F70" i="1"/>
  <c r="D70" i="1"/>
  <c r="AE69" i="1"/>
  <c r="AD69" i="1"/>
  <c r="AB69" i="1"/>
  <c r="W69" i="1"/>
  <c r="V69" i="1"/>
  <c r="T69" i="1"/>
  <c r="O69" i="1"/>
  <c r="N69" i="1"/>
  <c r="L69" i="1"/>
  <c r="G69" i="1"/>
  <c r="H69" i="1" s="1"/>
  <c r="F69" i="1"/>
  <c r="D69" i="1"/>
  <c r="AE68" i="1"/>
  <c r="AF68" i="1" s="1"/>
  <c r="AD68" i="1"/>
  <c r="AB68" i="1"/>
  <c r="W68" i="1"/>
  <c r="V68" i="1"/>
  <c r="T68" i="1"/>
  <c r="O68" i="1"/>
  <c r="P68" i="1" s="1"/>
  <c r="N68" i="1"/>
  <c r="L68" i="1"/>
  <c r="G68" i="1"/>
  <c r="F68" i="1"/>
  <c r="D68" i="1"/>
  <c r="AE67" i="1"/>
  <c r="AD67" i="1"/>
  <c r="AB67" i="1"/>
  <c r="W67" i="1"/>
  <c r="X67" i="1" s="1"/>
  <c r="V67" i="1"/>
  <c r="T67" i="1"/>
  <c r="O67" i="1"/>
  <c r="N67" i="1"/>
  <c r="P67" i="1" s="1"/>
  <c r="L67" i="1"/>
  <c r="H67" i="1"/>
  <c r="G67" i="1"/>
  <c r="F67" i="1"/>
  <c r="D67" i="1"/>
  <c r="AE66" i="1"/>
  <c r="AD66" i="1"/>
  <c r="AF66" i="1" s="1"/>
  <c r="AB66" i="1"/>
  <c r="X66" i="1"/>
  <c r="W66" i="1"/>
  <c r="V66" i="1"/>
  <c r="T66" i="1"/>
  <c r="O66" i="1"/>
  <c r="N66" i="1"/>
  <c r="L66" i="1"/>
  <c r="G66" i="1"/>
  <c r="H66" i="1" s="1"/>
  <c r="F66" i="1"/>
  <c r="D66" i="1"/>
  <c r="AE65" i="1"/>
  <c r="AD65" i="1"/>
  <c r="AB65" i="1"/>
  <c r="W65" i="1"/>
  <c r="X65" i="1" s="1"/>
  <c r="V65" i="1"/>
  <c r="T65" i="1"/>
  <c r="O65" i="1"/>
  <c r="N65" i="1"/>
  <c r="L65" i="1"/>
  <c r="G65" i="1"/>
  <c r="F65" i="1"/>
  <c r="D65" i="1"/>
  <c r="AE64" i="1"/>
  <c r="AF64" i="1" s="1"/>
  <c r="AD64" i="1"/>
  <c r="AB64" i="1"/>
  <c r="W64" i="1"/>
  <c r="V64" i="1"/>
  <c r="T64" i="1"/>
  <c r="O64" i="1"/>
  <c r="N64" i="1"/>
  <c r="L64" i="1"/>
  <c r="G64" i="1"/>
  <c r="H64" i="1" s="1"/>
  <c r="F64" i="1"/>
  <c r="D64" i="1"/>
  <c r="AM63" i="1"/>
  <c r="AL63" i="1"/>
  <c r="AJ63" i="1"/>
  <c r="AE63" i="1"/>
  <c r="AD63" i="1"/>
  <c r="AB63" i="1"/>
  <c r="W63" i="1"/>
  <c r="V63" i="1"/>
  <c r="T63" i="1"/>
  <c r="O63" i="1"/>
  <c r="N63" i="1"/>
  <c r="L63" i="1"/>
  <c r="G63" i="1"/>
  <c r="H63" i="1" s="1"/>
  <c r="F63" i="1"/>
  <c r="D63" i="1"/>
  <c r="AM62" i="1"/>
  <c r="AN62" i="1" s="1"/>
  <c r="AL62" i="1"/>
  <c r="AJ62" i="1"/>
  <c r="AE62" i="1"/>
  <c r="AD62" i="1"/>
  <c r="AB62" i="1"/>
  <c r="W62" i="1"/>
  <c r="X62" i="1" s="1"/>
  <c r="V62" i="1"/>
  <c r="T62" i="1"/>
  <c r="O62" i="1"/>
  <c r="N62" i="1"/>
  <c r="L62" i="1"/>
  <c r="G62" i="1"/>
  <c r="F62" i="1"/>
  <c r="D62" i="1"/>
  <c r="AM61" i="1"/>
  <c r="AL61" i="1"/>
  <c r="AJ61" i="1"/>
  <c r="AE61" i="1"/>
  <c r="AD61" i="1"/>
  <c r="AF61" i="1" s="1"/>
  <c r="AB61" i="1"/>
  <c r="X61" i="1"/>
  <c r="W61" i="1"/>
  <c r="V61" i="1"/>
  <c r="T61" i="1"/>
  <c r="O61" i="1"/>
  <c r="N61" i="1"/>
  <c r="L61" i="1"/>
  <c r="G61" i="1"/>
  <c r="H61" i="1" s="1"/>
  <c r="F61" i="1"/>
  <c r="D61" i="1"/>
  <c r="AM60" i="1"/>
  <c r="AL60" i="1"/>
  <c r="AJ60" i="1"/>
  <c r="AE60" i="1"/>
  <c r="AF60" i="1" s="1"/>
  <c r="AD60" i="1"/>
  <c r="AB60" i="1"/>
  <c r="W60" i="1"/>
  <c r="V60" i="1"/>
  <c r="X60" i="1" s="1"/>
  <c r="T60" i="1"/>
  <c r="O60" i="1"/>
  <c r="P60" i="1" s="1"/>
  <c r="N60" i="1"/>
  <c r="L60" i="1"/>
  <c r="G60" i="1"/>
  <c r="F60" i="1"/>
  <c r="D60" i="1"/>
  <c r="AM59" i="1"/>
  <c r="AL59" i="1"/>
  <c r="AN59" i="1" s="1"/>
  <c r="AJ59" i="1"/>
  <c r="AE59" i="1"/>
  <c r="AD59" i="1"/>
  <c r="AB59" i="1"/>
  <c r="X59" i="1"/>
  <c r="W59" i="1"/>
  <c r="V59" i="1"/>
  <c r="T59" i="1"/>
  <c r="O59" i="1"/>
  <c r="N59" i="1"/>
  <c r="P59" i="1" s="1"/>
  <c r="L59" i="1"/>
  <c r="G59" i="1"/>
  <c r="H59" i="1" s="1"/>
  <c r="F59" i="1"/>
  <c r="D59" i="1"/>
  <c r="AM58" i="1"/>
  <c r="AL58" i="1"/>
  <c r="AN58" i="1" s="1"/>
  <c r="AJ58" i="1"/>
  <c r="AE58" i="1"/>
  <c r="AD58" i="1"/>
  <c r="AF58" i="1" s="1"/>
  <c r="AB58" i="1"/>
  <c r="W58" i="1"/>
  <c r="V58" i="1"/>
  <c r="X58" i="1" s="1"/>
  <c r="T58" i="1"/>
  <c r="P58" i="1"/>
  <c r="O58" i="1"/>
  <c r="N58" i="1"/>
  <c r="L58" i="1"/>
  <c r="G58" i="1"/>
  <c r="F58" i="1"/>
  <c r="D58" i="1"/>
  <c r="AM57" i="1"/>
  <c r="AN57" i="1" s="1"/>
  <c r="AL57" i="1"/>
  <c r="AJ57" i="1"/>
  <c r="AE57" i="1"/>
  <c r="AD57" i="1"/>
  <c r="AB57" i="1"/>
  <c r="W57" i="1"/>
  <c r="X57" i="1" s="1"/>
  <c r="V57" i="1"/>
  <c r="T57" i="1"/>
  <c r="O57" i="1"/>
  <c r="N57" i="1"/>
  <c r="P57" i="1" s="1"/>
  <c r="L57" i="1"/>
  <c r="G57" i="1"/>
  <c r="H57" i="1" s="1"/>
  <c r="F57" i="1"/>
  <c r="D57" i="1"/>
  <c r="AM56" i="1"/>
  <c r="AL56" i="1"/>
  <c r="AJ56" i="1"/>
  <c r="AE56" i="1"/>
  <c r="AD56" i="1"/>
  <c r="AF56" i="1" s="1"/>
  <c r="AB56" i="1"/>
  <c r="W56" i="1"/>
  <c r="V56" i="1"/>
  <c r="T56" i="1"/>
  <c r="P56" i="1"/>
  <c r="O56" i="1"/>
  <c r="N56" i="1"/>
  <c r="L56" i="1"/>
  <c r="G56" i="1"/>
  <c r="F56" i="1"/>
  <c r="H56" i="1" s="1"/>
  <c r="D56" i="1"/>
  <c r="AJ55" i="1"/>
  <c r="AB55" i="1"/>
  <c r="T55" i="1"/>
  <c r="O55" i="1"/>
  <c r="P55" i="1" s="1"/>
  <c r="N55" i="1"/>
  <c r="L55" i="1"/>
  <c r="G55" i="1"/>
  <c r="H55" i="1" s="1"/>
  <c r="F55" i="1"/>
  <c r="D55" i="1"/>
  <c r="AN54" i="1"/>
  <c r="AF54" i="1"/>
  <c r="O54" i="1"/>
  <c r="N54" i="1"/>
  <c r="L54" i="1"/>
  <c r="G54" i="1"/>
  <c r="H54" i="1" s="1"/>
  <c r="F54" i="1"/>
  <c r="D54" i="1"/>
  <c r="O53" i="1"/>
  <c r="P53" i="1" s="1"/>
  <c r="N53" i="1"/>
  <c r="L53" i="1"/>
  <c r="G53" i="1"/>
  <c r="F53" i="1"/>
  <c r="D53" i="1"/>
  <c r="W52" i="1"/>
  <c r="V52" i="1"/>
  <c r="T52" i="1"/>
  <c r="O52" i="1"/>
  <c r="N52" i="1"/>
  <c r="L52" i="1"/>
  <c r="G52" i="1"/>
  <c r="H52" i="1" s="1"/>
  <c r="F52" i="1"/>
  <c r="D52" i="1"/>
  <c r="W51" i="1"/>
  <c r="V51" i="1"/>
  <c r="T51" i="1"/>
  <c r="O51" i="1"/>
  <c r="N51" i="1"/>
  <c r="P51" i="1" s="1"/>
  <c r="L51" i="1"/>
  <c r="H51" i="1"/>
  <c r="G51" i="1"/>
  <c r="F51" i="1"/>
  <c r="D51" i="1"/>
  <c r="W50" i="1"/>
  <c r="V50" i="1"/>
  <c r="X50" i="1" s="1"/>
  <c r="T50" i="1"/>
  <c r="P50" i="1"/>
  <c r="O50" i="1"/>
  <c r="N50" i="1"/>
  <c r="L50" i="1"/>
  <c r="G50" i="1"/>
  <c r="F50" i="1"/>
  <c r="D50" i="1"/>
  <c r="W49" i="1"/>
  <c r="X49" i="1" s="1"/>
  <c r="V49" i="1"/>
  <c r="T49" i="1"/>
  <c r="L49" i="1"/>
  <c r="D49" i="1"/>
  <c r="W48" i="1"/>
  <c r="V48" i="1"/>
  <c r="T48" i="1"/>
  <c r="W47" i="1"/>
  <c r="X47" i="1" s="1"/>
  <c r="V47" i="1"/>
  <c r="T47" i="1"/>
  <c r="W46" i="1"/>
  <c r="V46" i="1"/>
  <c r="T46" i="1"/>
  <c r="O46" i="1"/>
  <c r="N46" i="1"/>
  <c r="L46" i="1"/>
  <c r="G46" i="1"/>
  <c r="F46" i="1"/>
  <c r="D46" i="1"/>
  <c r="W45" i="1"/>
  <c r="V45" i="1"/>
  <c r="X45" i="1" s="1"/>
  <c r="T45" i="1"/>
  <c r="O45" i="1"/>
  <c r="N45" i="1"/>
  <c r="L45" i="1"/>
  <c r="H45" i="1"/>
  <c r="G45" i="1"/>
  <c r="F45" i="1"/>
  <c r="D45" i="1"/>
  <c r="W44" i="1"/>
  <c r="V44" i="1"/>
  <c r="T44" i="1"/>
  <c r="O44" i="1"/>
  <c r="N44" i="1"/>
  <c r="L44" i="1"/>
  <c r="G44" i="1"/>
  <c r="H44" i="1" s="1"/>
  <c r="F44" i="1"/>
  <c r="D44" i="1"/>
  <c r="W43" i="1"/>
  <c r="X43" i="1" s="1"/>
  <c r="V43" i="1"/>
  <c r="T43" i="1"/>
  <c r="O43" i="1"/>
  <c r="N43" i="1"/>
  <c r="P43" i="1" s="1"/>
  <c r="L43" i="1"/>
  <c r="G43" i="1"/>
  <c r="H43" i="1" s="1"/>
  <c r="F43" i="1"/>
  <c r="D43" i="1"/>
  <c r="X42" i="1"/>
  <c r="W42" i="1"/>
  <c r="V42" i="1"/>
  <c r="T42" i="1"/>
  <c r="O42" i="1"/>
  <c r="N42" i="1"/>
  <c r="L42" i="1"/>
  <c r="G42" i="1"/>
  <c r="H42" i="1" s="1"/>
  <c r="F42" i="1"/>
  <c r="D42" i="1"/>
  <c r="W41" i="1"/>
  <c r="V41" i="1"/>
  <c r="T41" i="1"/>
  <c r="O41" i="1"/>
  <c r="N41" i="1"/>
  <c r="P41" i="1" s="1"/>
  <c r="L41" i="1"/>
  <c r="G41" i="1"/>
  <c r="F41" i="1"/>
  <c r="D41" i="1"/>
  <c r="X40" i="1"/>
  <c r="W40" i="1"/>
  <c r="V40" i="1"/>
  <c r="T40" i="1"/>
  <c r="O40" i="1"/>
  <c r="N40" i="1"/>
  <c r="L40" i="1"/>
  <c r="G40" i="1"/>
  <c r="F40" i="1"/>
  <c r="D40" i="1"/>
  <c r="W39" i="1"/>
  <c r="V39" i="1"/>
  <c r="T39" i="1"/>
  <c r="O39" i="1"/>
  <c r="N39" i="1"/>
  <c r="L39" i="1"/>
  <c r="G39" i="1"/>
  <c r="H39" i="1" s="1"/>
  <c r="F39" i="1"/>
  <c r="D39" i="1"/>
  <c r="W38" i="1"/>
  <c r="V38" i="1"/>
  <c r="T38" i="1"/>
  <c r="O38" i="1"/>
  <c r="N38" i="1"/>
  <c r="L38" i="1"/>
  <c r="G38" i="1"/>
  <c r="H38" i="1" s="1"/>
  <c r="F38" i="1"/>
  <c r="D38" i="1"/>
  <c r="W37" i="1"/>
  <c r="X37" i="1" s="1"/>
  <c r="V37" i="1"/>
  <c r="T37" i="1"/>
  <c r="O37" i="1"/>
  <c r="N37" i="1"/>
  <c r="L37" i="1"/>
  <c r="G37" i="1"/>
  <c r="F37" i="1"/>
  <c r="D37" i="1"/>
  <c r="W36" i="1"/>
  <c r="V36" i="1"/>
  <c r="T36" i="1"/>
  <c r="O36" i="1"/>
  <c r="P36" i="1" s="1"/>
  <c r="N36" i="1"/>
  <c r="L36" i="1"/>
  <c r="G36" i="1"/>
  <c r="F36" i="1"/>
  <c r="D36" i="1"/>
  <c r="W35" i="1"/>
  <c r="V35" i="1"/>
  <c r="T35" i="1"/>
  <c r="O35" i="1"/>
  <c r="P35" i="1" s="1"/>
  <c r="N35" i="1"/>
  <c r="L35" i="1"/>
  <c r="G35" i="1"/>
  <c r="H35" i="1" s="1"/>
  <c r="F35" i="1"/>
  <c r="D35" i="1"/>
  <c r="W34" i="1"/>
  <c r="V34" i="1"/>
  <c r="T34" i="1"/>
  <c r="O34" i="1"/>
  <c r="N34" i="1"/>
  <c r="L34" i="1"/>
  <c r="G34" i="1"/>
  <c r="F34" i="1"/>
  <c r="D34" i="1"/>
  <c r="W33" i="1"/>
  <c r="X33" i="1" s="1"/>
  <c r="V33" i="1"/>
  <c r="T33" i="1"/>
  <c r="O33" i="1"/>
  <c r="N33" i="1"/>
  <c r="L33" i="1"/>
  <c r="G33" i="1"/>
  <c r="F33" i="1"/>
  <c r="D33" i="1"/>
  <c r="T32" i="1"/>
  <c r="O32" i="1"/>
  <c r="N32" i="1"/>
  <c r="L32" i="1"/>
  <c r="G32" i="1"/>
  <c r="F32" i="1"/>
  <c r="D32" i="1"/>
  <c r="O31" i="1"/>
  <c r="P31" i="1" s="1"/>
  <c r="N31" i="1"/>
  <c r="L31" i="1"/>
  <c r="G31" i="1"/>
  <c r="F31" i="1"/>
  <c r="D31" i="1"/>
  <c r="O30" i="1"/>
  <c r="N30" i="1"/>
  <c r="L30" i="1"/>
  <c r="G30" i="1"/>
  <c r="H30" i="1" s="1"/>
  <c r="F30" i="1"/>
  <c r="D30" i="1"/>
  <c r="W29" i="1"/>
  <c r="X29" i="1" s="1"/>
  <c r="V29" i="1"/>
  <c r="T29" i="1"/>
  <c r="L29" i="1"/>
  <c r="D29" i="1"/>
  <c r="W28" i="1"/>
  <c r="V28" i="1"/>
  <c r="T28" i="1"/>
  <c r="W27" i="1"/>
  <c r="V27" i="1"/>
  <c r="X27" i="1" s="1"/>
  <c r="T27" i="1"/>
  <c r="W26" i="1"/>
  <c r="X26" i="1" s="1"/>
  <c r="V26" i="1"/>
  <c r="T26" i="1"/>
  <c r="O26" i="1"/>
  <c r="N26" i="1"/>
  <c r="L26" i="1"/>
  <c r="G26" i="1"/>
  <c r="F26" i="1"/>
  <c r="D26" i="1"/>
  <c r="W25" i="1"/>
  <c r="X25" i="1" s="1"/>
  <c r="V25" i="1"/>
  <c r="T25" i="1"/>
  <c r="O25" i="1"/>
  <c r="P25" i="1" s="1"/>
  <c r="N25" i="1"/>
  <c r="L25" i="1"/>
  <c r="G25" i="1"/>
  <c r="F25" i="1"/>
  <c r="D25" i="1"/>
  <c r="W24" i="1"/>
  <c r="V24" i="1"/>
  <c r="T24" i="1"/>
  <c r="O24" i="1"/>
  <c r="N24" i="1"/>
  <c r="L24" i="1"/>
  <c r="G24" i="1"/>
  <c r="H24" i="1" s="1"/>
  <c r="F24" i="1"/>
  <c r="D24" i="1"/>
  <c r="AE23" i="1"/>
  <c r="AD23" i="1"/>
  <c r="AB23" i="1"/>
  <c r="W23" i="1"/>
  <c r="V23" i="1"/>
  <c r="T23" i="1"/>
  <c r="O23" i="1"/>
  <c r="P23" i="1" s="1"/>
  <c r="N23" i="1"/>
  <c r="L23" i="1"/>
  <c r="G23" i="1"/>
  <c r="H23" i="1" s="1"/>
  <c r="F23" i="1"/>
  <c r="D23" i="1"/>
  <c r="AE22" i="1"/>
  <c r="AD22" i="1"/>
  <c r="AB22" i="1"/>
  <c r="W22" i="1"/>
  <c r="V22" i="1"/>
  <c r="X22" i="1" s="1"/>
  <c r="T22" i="1"/>
  <c r="O22" i="1"/>
  <c r="P22" i="1" s="1"/>
  <c r="N22" i="1"/>
  <c r="L22" i="1"/>
  <c r="G22" i="1"/>
  <c r="F22" i="1"/>
  <c r="D22" i="1"/>
  <c r="AE21" i="1"/>
  <c r="AD21" i="1"/>
  <c r="AF21" i="1" s="1"/>
  <c r="AB21" i="1"/>
  <c r="W21" i="1"/>
  <c r="V21" i="1"/>
  <c r="T21" i="1"/>
  <c r="O21" i="1"/>
  <c r="P21" i="1" s="1"/>
  <c r="N21" i="1"/>
  <c r="L21" i="1"/>
  <c r="G21" i="1"/>
  <c r="H21" i="1" s="1"/>
  <c r="F21" i="1"/>
  <c r="D21" i="1"/>
  <c r="AE20" i="1"/>
  <c r="AD20" i="1"/>
  <c r="AB20" i="1"/>
  <c r="W20" i="1"/>
  <c r="X20" i="1" s="1"/>
  <c r="V20" i="1"/>
  <c r="T20" i="1"/>
  <c r="O20" i="1"/>
  <c r="N20" i="1"/>
  <c r="L20" i="1"/>
  <c r="G20" i="1"/>
  <c r="F20" i="1"/>
  <c r="D20" i="1"/>
  <c r="AE19" i="1"/>
  <c r="AD19" i="1"/>
  <c r="AB19" i="1"/>
  <c r="W19" i="1"/>
  <c r="V19" i="1"/>
  <c r="T19" i="1"/>
  <c r="O19" i="1"/>
  <c r="N19" i="1"/>
  <c r="L19" i="1"/>
  <c r="G19" i="1"/>
  <c r="H19" i="1" s="1"/>
  <c r="F19" i="1"/>
  <c r="D19" i="1"/>
  <c r="AE18" i="1"/>
  <c r="AD18" i="1"/>
  <c r="AB18" i="1"/>
  <c r="W18" i="1"/>
  <c r="X18" i="1" s="1"/>
  <c r="V18" i="1"/>
  <c r="T18" i="1"/>
  <c r="O18" i="1"/>
  <c r="N18" i="1"/>
  <c r="P18" i="1" s="1"/>
  <c r="L18" i="1"/>
  <c r="G18" i="1"/>
  <c r="H18" i="1" s="1"/>
  <c r="F18" i="1"/>
  <c r="D18" i="1"/>
  <c r="AE17" i="1"/>
  <c r="AD17" i="1"/>
  <c r="AB17" i="1"/>
  <c r="W17" i="1"/>
  <c r="V17" i="1"/>
  <c r="X17" i="1" s="1"/>
  <c r="T17" i="1"/>
  <c r="O17" i="1"/>
  <c r="N17" i="1"/>
  <c r="L17" i="1"/>
  <c r="H17" i="1"/>
  <c r="G17" i="1"/>
  <c r="F17" i="1"/>
  <c r="D17" i="1"/>
  <c r="AM16" i="1"/>
  <c r="AL16" i="1"/>
  <c r="AJ16" i="1"/>
  <c r="AE16" i="1"/>
  <c r="AD16" i="1"/>
  <c r="AB16" i="1"/>
  <c r="W16" i="1"/>
  <c r="X16" i="1" s="1"/>
  <c r="V16" i="1"/>
  <c r="T16" i="1"/>
  <c r="O16" i="1"/>
  <c r="P16" i="1" s="1"/>
  <c r="N16" i="1"/>
  <c r="L16" i="1"/>
  <c r="G16" i="1"/>
  <c r="F16" i="1"/>
  <c r="H16" i="1" s="1"/>
  <c r="D16" i="1"/>
  <c r="AM15" i="1"/>
  <c r="AN15" i="1" s="1"/>
  <c r="AL15" i="1"/>
  <c r="AJ15" i="1"/>
  <c r="AF15" i="1"/>
  <c r="AE15" i="1"/>
  <c r="AD15" i="1"/>
  <c r="AB15" i="1"/>
  <c r="W15" i="1"/>
  <c r="V15" i="1"/>
  <c r="T15" i="1"/>
  <c r="O15" i="1"/>
  <c r="P15" i="1" s="1"/>
  <c r="N15" i="1"/>
  <c r="L15" i="1"/>
  <c r="G15" i="1"/>
  <c r="F15" i="1"/>
  <c r="D15" i="1"/>
  <c r="AM14" i="1"/>
  <c r="AL14" i="1"/>
  <c r="AJ14" i="1"/>
  <c r="AE14" i="1"/>
  <c r="AD14" i="1"/>
  <c r="AB14" i="1"/>
  <c r="W14" i="1"/>
  <c r="V14" i="1"/>
  <c r="T14" i="1"/>
  <c r="O14" i="1"/>
  <c r="N14" i="1"/>
  <c r="L14" i="1"/>
  <c r="G14" i="1"/>
  <c r="F14" i="1"/>
  <c r="D14" i="1"/>
  <c r="AM13" i="1"/>
  <c r="AN13" i="1" s="1"/>
  <c r="AL13" i="1"/>
  <c r="AJ13" i="1"/>
  <c r="AE13" i="1"/>
  <c r="AF13" i="1" s="1"/>
  <c r="AD13" i="1"/>
  <c r="AB13" i="1"/>
  <c r="W13" i="1"/>
  <c r="V13" i="1"/>
  <c r="T13" i="1"/>
  <c r="O13" i="1"/>
  <c r="P13" i="1" s="1"/>
  <c r="N13" i="1"/>
  <c r="L13" i="1"/>
  <c r="G13" i="1"/>
  <c r="F13" i="1"/>
  <c r="D13" i="1"/>
  <c r="AM12" i="1"/>
  <c r="AL12" i="1"/>
  <c r="AJ12" i="1"/>
  <c r="AE12" i="1"/>
  <c r="AD12" i="1"/>
  <c r="AB12" i="1"/>
  <c r="W12" i="1"/>
  <c r="V12" i="1"/>
  <c r="T12" i="1"/>
  <c r="O12" i="1"/>
  <c r="P12" i="1" s="1"/>
  <c r="N12" i="1"/>
  <c r="L12" i="1"/>
  <c r="G12" i="1"/>
  <c r="H12" i="1" s="1"/>
  <c r="F12" i="1"/>
  <c r="D12" i="1"/>
  <c r="AM11" i="1"/>
  <c r="AL11" i="1"/>
  <c r="AJ11" i="1"/>
  <c r="AE11" i="1"/>
  <c r="AF11" i="1" s="1"/>
  <c r="AD11" i="1"/>
  <c r="AB11" i="1"/>
  <c r="W11" i="1"/>
  <c r="V11" i="1"/>
  <c r="T11" i="1"/>
  <c r="O11" i="1"/>
  <c r="N11" i="1"/>
  <c r="L11" i="1"/>
  <c r="G11" i="1"/>
  <c r="F11" i="1"/>
  <c r="D11" i="1"/>
  <c r="AM10" i="1"/>
  <c r="AL10" i="1"/>
  <c r="AJ10" i="1"/>
  <c r="AE10" i="1"/>
  <c r="AF10" i="1" s="1"/>
  <c r="AD10" i="1"/>
  <c r="AB10" i="1"/>
  <c r="W10" i="1"/>
  <c r="X10" i="1" s="1"/>
  <c r="V10" i="1"/>
  <c r="T10" i="1"/>
  <c r="O10" i="1"/>
  <c r="N10" i="1"/>
  <c r="L10" i="1"/>
  <c r="H10" i="1"/>
  <c r="G10" i="1"/>
  <c r="F10" i="1"/>
  <c r="D10" i="1"/>
  <c r="AJ9" i="1"/>
  <c r="AB9" i="1"/>
  <c r="T9" i="1"/>
  <c r="L9" i="1"/>
  <c r="D9" i="1"/>
  <c r="AJ8" i="1"/>
  <c r="AB8" i="1"/>
  <c r="T8" i="1"/>
  <c r="L8" i="1"/>
  <c r="D8" i="1"/>
  <c r="AL6" i="1"/>
  <c r="AL114" i="1" s="1"/>
  <c r="V6" i="1"/>
  <c r="V114" i="1" s="1"/>
  <c r="N6" i="1"/>
  <c r="F6" i="1"/>
  <c r="F91" i="1" s="1"/>
  <c r="F114" i="1" s="1"/>
  <c r="F132" i="1" s="1"/>
  <c r="F152" i="1" s="1"/>
  <c r="F166" i="1" s="1"/>
  <c r="AJ3" i="1"/>
  <c r="AB3" i="1"/>
  <c r="T3" i="1"/>
  <c r="L3" i="1"/>
  <c r="D3" i="1"/>
  <c r="AF99" i="1" l="1"/>
  <c r="AF57" i="1"/>
  <c r="AN60" i="1"/>
  <c r="AF65" i="1"/>
  <c r="H72" i="1"/>
  <c r="X123" i="1"/>
  <c r="H157" i="1"/>
  <c r="AN103" i="1"/>
  <c r="X73" i="1"/>
  <c r="P99" i="1"/>
  <c r="H103" i="1"/>
  <c r="H144" i="1"/>
  <c r="H15" i="1"/>
  <c r="X35" i="1"/>
  <c r="P38" i="1"/>
  <c r="AF16" i="1"/>
  <c r="AF17" i="1"/>
  <c r="AF20" i="1"/>
  <c r="H22" i="1"/>
  <c r="X24" i="1"/>
  <c r="P32" i="1"/>
  <c r="P34" i="1"/>
  <c r="H37" i="1"/>
  <c r="X39" i="1"/>
  <c r="P44" i="1"/>
  <c r="X52" i="1"/>
  <c r="AN56" i="1"/>
  <c r="H60" i="1"/>
  <c r="H83" i="1"/>
  <c r="H101" i="1"/>
  <c r="P126" i="1"/>
  <c r="H138" i="1"/>
  <c r="AF143" i="1"/>
  <c r="P167" i="1"/>
  <c r="H174" i="1"/>
  <c r="P11" i="1"/>
  <c r="AN12" i="1"/>
  <c r="X14" i="1"/>
  <c r="X15" i="1"/>
  <c r="AF19" i="1"/>
  <c r="P42" i="1"/>
  <c r="H62" i="1"/>
  <c r="AF63" i="1"/>
  <c r="AF69" i="1"/>
  <c r="X77" i="1"/>
  <c r="X129" i="1"/>
  <c r="AF138" i="1"/>
  <c r="AF145" i="1"/>
  <c r="P17" i="1"/>
  <c r="P45" i="1"/>
  <c r="X56" i="1"/>
  <c r="AF59" i="1"/>
  <c r="X125" i="1"/>
  <c r="X23" i="1"/>
  <c r="P30" i="1"/>
  <c r="H33" i="1"/>
  <c r="X41" i="1"/>
  <c r="P54" i="1"/>
  <c r="P64" i="1"/>
  <c r="H79" i="1"/>
  <c r="P101" i="1"/>
  <c r="AF120" i="1"/>
  <c r="AF141" i="1"/>
  <c r="H170" i="1"/>
  <c r="AN10" i="1"/>
  <c r="X12" i="1"/>
  <c r="H14" i="1"/>
  <c r="P19" i="1"/>
  <c r="P24" i="1"/>
  <c r="H32" i="1"/>
  <c r="H34" i="1"/>
  <c r="X36" i="1"/>
  <c r="P39" i="1"/>
  <c r="H41" i="1"/>
  <c r="X48" i="1"/>
  <c r="H50" i="1"/>
  <c r="P52" i="1"/>
  <c r="H58" i="1"/>
  <c r="P61" i="1"/>
  <c r="P63" i="1"/>
  <c r="P66" i="1"/>
  <c r="P69" i="1"/>
  <c r="AF72" i="1"/>
  <c r="X76" i="1"/>
  <c r="H82" i="1"/>
  <c r="AN118" i="1"/>
  <c r="AN123" i="1"/>
  <c r="H129" i="1"/>
  <c r="H143" i="1"/>
  <c r="H158" i="1"/>
  <c r="P168" i="1"/>
  <c r="H173" i="1"/>
  <c r="P177" i="1"/>
  <c r="P186" i="1"/>
  <c r="H25" i="1"/>
  <c r="X34" i="1"/>
  <c r="P37" i="1"/>
  <c r="H53" i="1"/>
  <c r="W102" i="1"/>
  <c r="X103" i="1"/>
  <c r="P129" i="1"/>
  <c r="P10" i="1"/>
  <c r="AN11" i="1"/>
  <c r="X13" i="1"/>
  <c r="AF62" i="1"/>
  <c r="X68" i="1"/>
  <c r="X70" i="1"/>
  <c r="H75" i="1"/>
  <c r="X120" i="1"/>
  <c r="AF14" i="1"/>
  <c r="AF103" i="1"/>
  <c r="AF23" i="1"/>
  <c r="X64" i="1"/>
  <c r="H80" i="1"/>
  <c r="AF102" i="1"/>
  <c r="P62" i="1"/>
  <c r="H68" i="1"/>
  <c r="H31" i="1"/>
  <c r="P33" i="1"/>
  <c r="H36" i="1"/>
  <c r="X38" i="1"/>
  <c r="X46" i="1"/>
  <c r="H11" i="1"/>
  <c r="AF12" i="1"/>
  <c r="P14" i="1"/>
  <c r="X19" i="1"/>
  <c r="X63" i="1"/>
  <c r="X69" i="1"/>
  <c r="H73" i="1"/>
  <c r="H77" i="1"/>
  <c r="P103" i="1"/>
  <c r="X11" i="1"/>
  <c r="H13" i="1"/>
  <c r="H70" i="1"/>
  <c r="H74" i="1"/>
  <c r="AM99" i="1"/>
  <c r="AN99" i="1" s="1"/>
  <c r="AN101" i="1"/>
  <c r="H120" i="1"/>
  <c r="N152" i="1"/>
  <c r="N161" i="1" s="1"/>
  <c r="N172" i="1" s="1"/>
  <c r="N182" i="1" s="1"/>
  <c r="N114" i="1"/>
  <c r="AD6" i="1"/>
  <c r="AD114" i="1" s="1"/>
  <c r="AD132" i="1" s="1"/>
  <c r="X102" i="1" l="1"/>
  <c r="W99" i="1"/>
  <c r="X99" i="1" s="1"/>
</calcChain>
</file>

<file path=xl/sharedStrings.xml><?xml version="1.0" encoding="utf-8"?>
<sst xmlns="http://schemas.openxmlformats.org/spreadsheetml/2006/main" count="31" uniqueCount="7">
  <si>
    <t>idioma</t>
  </si>
  <si>
    <t>English</t>
  </si>
  <si>
    <t>ESP</t>
  </si>
  <si>
    <t>Español</t>
  </si>
  <si>
    <t>ENG</t>
  </si>
  <si>
    <t>Var.%</t>
  </si>
  <si>
    <t>Millones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</si>
</sst>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b/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7" fillId="2" borderId="4" xfId="0" applyFont="1" applyFill="1" applyBorder="1"/>
    <xf numFmtId="165" fontId="7" fillId="4" borderId="5" xfId="0" applyNumberFormat="1" applyFont="1" applyFill="1" applyBorder="1" applyAlignment="1">
      <alignment horizontal="right" indent="1"/>
    </xf>
    <xf numFmtId="165" fontId="7" fillId="2" borderId="5" xfId="0" applyNumberFormat="1" applyFont="1" applyFill="1" applyBorder="1" applyAlignment="1">
      <alignment horizontal="right" indent="1"/>
    </xf>
    <xf numFmtId="166" fontId="7" fillId="2" borderId="5" xfId="0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2"/>
    </xf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7" fillId="2" borderId="6" xfId="0" applyFont="1" applyFill="1" applyBorder="1"/>
    <xf numFmtId="0" fontId="7" fillId="2" borderId="7" xfId="0" applyFont="1" applyFill="1" applyBorder="1"/>
    <xf numFmtId="165" fontId="9" fillId="4" borderId="4" xfId="0" applyNumberFormat="1" applyFont="1" applyFill="1" applyBorder="1" applyAlignment="1">
      <alignment horizontal="right" indent="1"/>
    </xf>
    <xf numFmtId="165" fontId="7" fillId="2" borderId="6" xfId="0" applyNumberFormat="1" applyFont="1" applyFill="1" applyBorder="1" applyAlignment="1">
      <alignment horizontal="right" indent="1"/>
    </xf>
    <xf numFmtId="166" fontId="7" fillId="2" borderId="6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165" fontId="7" fillId="4" borderId="0" xfId="0" applyNumberFormat="1" applyFont="1" applyFill="1" applyBorder="1" applyAlignment="1">
      <alignment horizontal="right" indent="1"/>
    </xf>
    <xf numFmtId="165" fontId="7" fillId="2" borderId="0" xfId="0" applyNumberFormat="1" applyFont="1" applyFill="1" applyBorder="1" applyAlignment="1">
      <alignment horizontal="right" indent="1"/>
    </xf>
    <xf numFmtId="166" fontId="7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right" indent="1"/>
    </xf>
    <xf numFmtId="0" fontId="6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165" fontId="8" fillId="2" borderId="0" xfId="0" applyNumberFormat="1" applyFont="1" applyFill="1" applyBorder="1" applyAlignment="1">
      <alignment horizontal="right" indent="1"/>
    </xf>
    <xf numFmtId="166" fontId="8" fillId="2" borderId="0" xfId="0" applyNumberFormat="1" applyFont="1" applyFill="1" applyBorder="1" applyAlignment="1">
      <alignment horizontal="right" indent="1"/>
    </xf>
    <xf numFmtId="0" fontId="7" fillId="2" borderId="3" xfId="0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4"/>
    </xf>
    <xf numFmtId="165" fontId="7" fillId="4" borderId="4" xfId="0" applyNumberFormat="1" applyFont="1" applyFill="1" applyBorder="1" applyAlignment="1">
      <alignment horizontal="right" indent="1"/>
    </xf>
    <xf numFmtId="0" fontId="2" fillId="2" borderId="4" xfId="0" applyFont="1" applyFill="1" applyBorder="1"/>
    <xf numFmtId="0" fontId="2" fillId="5" borderId="0" xfId="0" applyFont="1" applyFill="1"/>
    <xf numFmtId="0" fontId="10" fillId="2" borderId="0" xfId="0" applyFont="1" applyFill="1"/>
    <xf numFmtId="0" fontId="11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PRISA/CUADRO%20DE%20MANDO/Ejercicio%202019/3.%20Marzo/NOTA%20IR/TABLAS%20NOTA%20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"/>
      <sheetName val="SANTILLANA"/>
      <sheetName val="RADIO"/>
      <sheetName val="NOTICIAS"/>
      <sheetName val="MEDIA CAPITAL"/>
      <sheetName val="TRANSFORMACIÓN"/>
      <sheetName val="EBITDA Ajus a EBITDA Actual"/>
      <sheetName val="Conciliación"/>
      <sheetName val="To Publish"/>
      <sheetName val="Hoja1"/>
    </sheetNames>
    <sheetDataSet>
      <sheetData sheetId="0">
        <row r="10">
          <cell r="F10">
            <v>312.31821899949301</v>
          </cell>
          <cell r="G10">
            <v>321.00012511587602</v>
          </cell>
        </row>
        <row r="11">
          <cell r="F11">
            <v>87.662567140000021</v>
          </cell>
          <cell r="G11">
            <v>88.142521320000213</v>
          </cell>
        </row>
        <row r="12">
          <cell r="F12">
            <v>224.65565185949299</v>
          </cell>
          <cell r="G12">
            <v>232.8576037958758</v>
          </cell>
        </row>
        <row r="13">
          <cell r="F13">
            <v>185.14863776949298</v>
          </cell>
          <cell r="G13">
            <v>194.40121281587579</v>
          </cell>
        </row>
        <row r="14">
          <cell r="F14">
            <v>39.507014090000006</v>
          </cell>
          <cell r="G14">
            <v>38.456390980000002</v>
          </cell>
        </row>
        <row r="15">
          <cell r="F15">
            <v>70.009874638956688</v>
          </cell>
          <cell r="G15">
            <v>71.589075413446963</v>
          </cell>
        </row>
        <row r="16">
          <cell r="F16">
            <v>-12.315325830000049</v>
          </cell>
          <cell r="G16">
            <v>-18.135939762884846</v>
          </cell>
        </row>
        <row r="17">
          <cell r="F17">
            <v>82.325200468956737</v>
          </cell>
          <cell r="G17">
            <v>89.725015176331809</v>
          </cell>
        </row>
        <row r="18">
          <cell r="F18">
            <v>81.368411021135429</v>
          </cell>
          <cell r="G18">
            <v>85.014476653613087</v>
          </cell>
        </row>
        <row r="19">
          <cell r="F19">
            <v>0.95678944782131992</v>
          </cell>
          <cell r="G19">
            <v>4.7105385227187195</v>
          </cell>
        </row>
        <row r="20">
          <cell r="F20">
            <v>0.22416199369742928</v>
          </cell>
          <cell r="G20">
            <v>0.22301883959579277</v>
          </cell>
        </row>
        <row r="21">
          <cell r="F21">
            <v>45.972254238616053</v>
          </cell>
          <cell r="G21">
            <v>47.249832680256766</v>
          </cell>
        </row>
        <row r="22">
          <cell r="F22">
            <v>-20.031565910000275</v>
          </cell>
          <cell r="G22">
            <v>-25.773068587018038</v>
          </cell>
        </row>
        <row r="23">
          <cell r="F23">
            <v>66.003820148616327</v>
          </cell>
          <cell r="G23">
            <v>73.022901267274804</v>
          </cell>
        </row>
        <row r="24">
          <cell r="F24">
            <v>67.207019130795004</v>
          </cell>
          <cell r="G24">
            <v>70.431046410887831</v>
          </cell>
        </row>
        <row r="25">
          <cell r="F25">
            <v>-1.2031989821786702</v>
          </cell>
          <cell r="G25">
            <v>2.5918548563869686</v>
          </cell>
        </row>
        <row r="26">
          <cell r="F26">
            <v>0.1471968378466281</v>
          </cell>
          <cell r="G26">
            <v>0.14719568306461039</v>
          </cell>
        </row>
        <row r="30">
          <cell r="F30">
            <v>319.67064964951811</v>
          </cell>
          <cell r="G30">
            <v>321.00012511587602</v>
          </cell>
        </row>
        <row r="31">
          <cell r="F31">
            <v>87.662567139999993</v>
          </cell>
          <cell r="G31">
            <v>88.142521320000213</v>
          </cell>
        </row>
        <row r="32">
          <cell r="F32">
            <v>232.00808250951812</v>
          </cell>
          <cell r="G32">
            <v>232.8576037958758</v>
          </cell>
        </row>
        <row r="33">
          <cell r="F33">
            <v>192.50106841951811</v>
          </cell>
          <cell r="G33">
            <v>194.40121281587579</v>
          </cell>
        </row>
        <row r="34">
          <cell r="F34">
            <v>39.507014090000006</v>
          </cell>
          <cell r="G34">
            <v>38.456390980000002</v>
          </cell>
        </row>
        <row r="35">
          <cell r="F35">
            <v>73.458505722627748</v>
          </cell>
          <cell r="G35">
            <v>71.589075413446963</v>
          </cell>
        </row>
        <row r="36">
          <cell r="F36">
            <v>-12.315325830000035</v>
          </cell>
          <cell r="G36">
            <v>-18.135939762884846</v>
          </cell>
        </row>
        <row r="37">
          <cell r="F37">
            <v>85.773831552627783</v>
          </cell>
          <cell r="G37">
            <v>89.725015176331809</v>
          </cell>
        </row>
        <row r="38">
          <cell r="F38">
            <v>84.817042104806475</v>
          </cell>
          <cell r="G38">
            <v>85.014476653613087</v>
          </cell>
        </row>
        <row r="39">
          <cell r="F39">
            <v>0.95678944782131992</v>
          </cell>
          <cell r="G39">
            <v>4.7105385227187195</v>
          </cell>
        </row>
        <row r="40">
          <cell r="F40">
            <v>0.2297943392775236</v>
          </cell>
          <cell r="G40">
            <v>0.22301883959579277</v>
          </cell>
        </row>
        <row r="41">
          <cell r="F41">
            <v>48.827603092896531</v>
          </cell>
          <cell r="G41">
            <v>47.249832680256766</v>
          </cell>
        </row>
        <row r="42">
          <cell r="F42">
            <v>-20.031565910000289</v>
          </cell>
          <cell r="G42">
            <v>-25.773068587018038</v>
          </cell>
        </row>
        <row r="43">
          <cell r="F43">
            <v>68.85916900289682</v>
          </cell>
          <cell r="G43">
            <v>73.022901267274804</v>
          </cell>
        </row>
        <row r="44">
          <cell r="F44">
            <v>70.062367985075483</v>
          </cell>
          <cell r="G44">
            <v>70.431046410887831</v>
          </cell>
        </row>
        <row r="45">
          <cell r="F45">
            <v>-1.2031989821786702</v>
          </cell>
          <cell r="G45">
            <v>2.5918548563869686</v>
          </cell>
        </row>
        <row r="46">
          <cell r="F46">
            <v>0.15274346627202201</v>
          </cell>
          <cell r="G46">
            <v>0.14719568306461039</v>
          </cell>
        </row>
        <row r="51">
          <cell r="F51">
            <v>312.31821899949301</v>
          </cell>
          <cell r="G51">
            <v>321.00012511587602</v>
          </cell>
        </row>
        <row r="52">
          <cell r="F52">
            <v>87.662567140000021</v>
          </cell>
          <cell r="G52">
            <v>88.142521320000213</v>
          </cell>
        </row>
        <row r="53">
          <cell r="F53">
            <v>224.65565185949299</v>
          </cell>
          <cell r="G53">
            <v>232.8576037958758</v>
          </cell>
        </row>
        <row r="54">
          <cell r="F54">
            <v>185.14863776949298</v>
          </cell>
          <cell r="G54">
            <v>194.40121281587579</v>
          </cell>
        </row>
        <row r="55">
          <cell r="F55">
            <v>39.507014090000006</v>
          </cell>
          <cell r="G55">
            <v>38.456390980000002</v>
          </cell>
        </row>
        <row r="56">
          <cell r="F56">
            <v>293.34416986053634</v>
          </cell>
          <cell r="G56">
            <v>258.27320749450769</v>
          </cell>
        </row>
        <row r="57">
          <cell r="F57">
            <v>151.01371847000007</v>
          </cell>
          <cell r="G57">
            <v>111.21485348000031</v>
          </cell>
        </row>
        <row r="58">
          <cell r="F58">
            <v>142.33045139053627</v>
          </cell>
          <cell r="G58">
            <v>147.05835401450742</v>
          </cell>
        </row>
        <row r="59">
          <cell r="F59">
            <v>103.78022674835755</v>
          </cell>
          <cell r="G59">
            <v>112.71924943597611</v>
          </cell>
        </row>
        <row r="60">
          <cell r="F60">
            <v>38.550224642178684</v>
          </cell>
          <cell r="G60">
            <v>34.339104578531284</v>
          </cell>
        </row>
        <row r="61">
          <cell r="F61">
            <v>18.974049138956701</v>
          </cell>
          <cell r="G61">
            <v>62.726917621368301</v>
          </cell>
        </row>
        <row r="62">
          <cell r="F62">
            <v>-63.351151330000036</v>
          </cell>
          <cell r="G62">
            <v>-23.072332160000101</v>
          </cell>
        </row>
        <row r="63">
          <cell r="F63">
            <v>82.325200468956737</v>
          </cell>
          <cell r="G63">
            <v>85.799249781368403</v>
          </cell>
        </row>
        <row r="64">
          <cell r="F64">
            <v>81.368411021135429</v>
          </cell>
          <cell r="G64">
            <v>81.681963379899685</v>
          </cell>
        </row>
        <row r="65">
          <cell r="F65">
            <v>0.95678944782131992</v>
          </cell>
          <cell r="G65">
            <v>4.1172864014687205</v>
          </cell>
        </row>
        <row r="66">
          <cell r="F66">
            <v>6.468186890497081E-2</v>
          </cell>
          <cell r="G66">
            <v>0.24287040157931294</v>
          </cell>
        </row>
        <row r="67">
          <cell r="F67">
            <v>-5.0635712613839523</v>
          </cell>
          <cell r="G67">
            <v>45.405651933371701</v>
          </cell>
        </row>
        <row r="68">
          <cell r="F68">
            <v>-71.067391410000283</v>
          </cell>
          <cell r="G68">
            <v>-26.842785790000292</v>
          </cell>
        </row>
        <row r="69">
          <cell r="F69">
            <v>66.003820148616327</v>
          </cell>
          <cell r="G69">
            <v>72.248437723371993</v>
          </cell>
        </row>
        <row r="70">
          <cell r="F70">
            <v>67.207019130795004</v>
          </cell>
          <cell r="G70">
            <v>69.651303031903268</v>
          </cell>
        </row>
        <row r="71">
          <cell r="F71">
            <v>-1.2031989821786702</v>
          </cell>
          <cell r="G71">
            <v>2.5971346914687201</v>
          </cell>
        </row>
        <row r="72">
          <cell r="F72">
            <v>-1.7261537066822596E-2</v>
          </cell>
          <cell r="G72">
            <v>0.17580473163999125</v>
          </cell>
        </row>
        <row r="73">
          <cell r="F73">
            <v>-20.317486081905699</v>
          </cell>
          <cell r="G73">
            <v>-15.636434447509902</v>
          </cell>
        </row>
        <row r="74">
          <cell r="F74">
            <v>-14.7118523427976</v>
          </cell>
          <cell r="G74">
            <v>-12.640595589795598</v>
          </cell>
        </row>
        <row r="75">
          <cell r="F75">
            <v>-5.6056337391080984</v>
          </cell>
          <cell r="G75">
            <v>-2.995838857714304</v>
          </cell>
        </row>
        <row r="76">
          <cell r="F76">
            <v>0.34856353914214</v>
          </cell>
          <cell r="G76">
            <v>0.786383078561535</v>
          </cell>
        </row>
        <row r="77">
          <cell r="F77">
            <v>-25.03249380414751</v>
          </cell>
          <cell r="G77">
            <v>30.555600564423333</v>
          </cell>
        </row>
        <row r="78">
          <cell r="F78">
            <v>20.762623349236669</v>
          </cell>
          <cell r="G78">
            <v>13.35983925695643</v>
          </cell>
        </row>
        <row r="79">
          <cell r="F79">
            <v>0.40895078000000001</v>
          </cell>
          <cell r="G79">
            <v>0</v>
          </cell>
        </row>
        <row r="80">
          <cell r="F80">
            <v>-4.7967037359836908</v>
          </cell>
          <cell r="G80">
            <v>5.3901843120346804</v>
          </cell>
        </row>
        <row r="81">
          <cell r="F81">
            <v>-40.589462637400104</v>
          </cell>
          <cell r="G81">
            <v>11.805576995433031</v>
          </cell>
        </row>
        <row r="82">
          <cell r="F82">
            <v>-40.828660400000004</v>
          </cell>
        </row>
        <row r="83">
          <cell r="G83">
            <v>-1.4039693827658084</v>
          </cell>
        </row>
        <row r="84">
          <cell r="F84">
            <v>0.23919776260090567</v>
          </cell>
          <cell r="G84">
            <v>10.401607612667222</v>
          </cell>
        </row>
        <row r="98">
          <cell r="F98">
            <v>51.035825500000001</v>
          </cell>
          <cell r="G98">
            <v>-8.8621577920786656</v>
          </cell>
        </row>
        <row r="102">
          <cell r="F102">
            <v>51.035825500000001</v>
          </cell>
        </row>
        <row r="103">
          <cell r="G103">
            <v>-8.8621577920786656</v>
          </cell>
        </row>
        <row r="104">
          <cell r="F104">
            <v>0</v>
          </cell>
          <cell r="G104">
            <v>7.0179770451935974</v>
          </cell>
        </row>
        <row r="109">
          <cell r="G109">
            <v>7.0179770451935974</v>
          </cell>
        </row>
        <row r="119">
          <cell r="F119">
            <v>312.31821899949301</v>
          </cell>
          <cell r="G119">
            <v>321.00012511587602</v>
          </cell>
        </row>
        <row r="120">
          <cell r="F120">
            <v>168.91643426788198</v>
          </cell>
          <cell r="G120">
            <v>173.74791724312399</v>
          </cell>
        </row>
        <row r="121">
          <cell r="F121">
            <v>60.060861548662501</v>
          </cell>
          <cell r="G121">
            <v>58.832278623779203</v>
          </cell>
        </row>
        <row r="122">
          <cell r="F122">
            <v>49.057539887605202</v>
          </cell>
          <cell r="G122">
            <v>51.121327048559699</v>
          </cell>
        </row>
        <row r="124">
          <cell r="F124">
            <v>39.307203540000003</v>
          </cell>
          <cell r="G124">
            <v>38.726984980000005</v>
          </cell>
        </row>
        <row r="125">
          <cell r="F125">
            <v>-5.023820244656676</v>
          </cell>
          <cell r="G125">
            <v>-1.4283827795868831</v>
          </cell>
        </row>
        <row r="131">
          <cell r="F131">
            <v>70.009874638956688</v>
          </cell>
          <cell r="G131">
            <v>71.589075413446963</v>
          </cell>
        </row>
        <row r="132">
          <cell r="F132">
            <v>66.246471194497801</v>
          </cell>
          <cell r="G132">
            <v>68.247919185280324</v>
          </cell>
        </row>
        <row r="133">
          <cell r="F133">
            <v>8.0448780192073901</v>
          </cell>
          <cell r="G133">
            <v>5.7235744429131703</v>
          </cell>
        </row>
        <row r="134">
          <cell r="F134">
            <v>-3.0717104354629701</v>
          </cell>
          <cell r="G134">
            <v>-3.0764390396213002</v>
          </cell>
        </row>
        <row r="136">
          <cell r="F136">
            <v>1.0032815278213201</v>
          </cell>
          <cell r="G136">
            <v>5.788990502718721</v>
          </cell>
        </row>
        <row r="137">
          <cell r="F137">
            <v>-2.2130456671068526</v>
          </cell>
          <cell r="G137">
            <v>-5.0949696778439524</v>
          </cell>
        </row>
        <row r="159">
          <cell r="G159">
            <v>60.478291503321749</v>
          </cell>
        </row>
        <row r="160">
          <cell r="G160">
            <v>2.2486261180465501</v>
          </cell>
        </row>
        <row r="161">
          <cell r="F161">
            <v>18.974049138956701</v>
          </cell>
          <cell r="G161">
            <v>62.726917621368301</v>
          </cell>
        </row>
        <row r="162">
          <cell r="F162">
            <v>51.035825500000001</v>
          </cell>
        </row>
        <row r="163">
          <cell r="G163">
            <v>8.8621577920786621</v>
          </cell>
        </row>
        <row r="164">
          <cell r="F164">
            <v>70.009874638956688</v>
          </cell>
          <cell r="G164">
            <v>71.589075413446963</v>
          </cell>
        </row>
        <row r="165">
          <cell r="F165">
            <v>23.995520029241803</v>
          </cell>
          <cell r="G165">
            <v>24.419440680374699</v>
          </cell>
        </row>
        <row r="166">
          <cell r="F166">
            <v>4.2100371098833023E-2</v>
          </cell>
          <cell r="G166">
            <v>-8.0197947184501572E-2</v>
          </cell>
        </row>
        <row r="167">
          <cell r="F167">
            <v>45.972254238616053</v>
          </cell>
          <cell r="G167">
            <v>47.249832680256766</v>
          </cell>
        </row>
        <row r="168">
          <cell r="F168">
            <v>-51.035825500000001</v>
          </cell>
        </row>
        <row r="169">
          <cell r="G169">
            <v>-1.8441807468850655</v>
          </cell>
        </row>
        <row r="170">
          <cell r="F170">
            <v>-5.0635712613839523</v>
          </cell>
          <cell r="G170">
            <v>45.405651933371701</v>
          </cell>
        </row>
        <row r="177">
          <cell r="G177">
            <v>-5.3996762745586757</v>
          </cell>
        </row>
        <row r="178">
          <cell r="G178">
            <v>-6.1877730869148023E-3</v>
          </cell>
        </row>
        <row r="179">
          <cell r="F179">
            <v>-53.248871167106842</v>
          </cell>
          <cell r="G179">
            <v>-5.4058640476455855</v>
          </cell>
        </row>
        <row r="180">
          <cell r="F180">
            <v>51.035825500000001</v>
          </cell>
        </row>
        <row r="181">
          <cell r="F181">
            <v>0</v>
          </cell>
          <cell r="G181">
            <v>0.31089436980163399</v>
          </cell>
        </row>
        <row r="182">
          <cell r="F182">
            <v>-2.2130456671068526</v>
          </cell>
          <cell r="G182">
            <v>-5.0949696778439524</v>
          </cell>
        </row>
        <row r="183">
          <cell r="F183">
            <v>0.33470793000009325</v>
          </cell>
          <cell r="G183">
            <v>0.3601211516582743</v>
          </cell>
        </row>
        <row r="184">
          <cell r="F184">
            <v>-1.8784973576657649E-13</v>
          </cell>
          <cell r="G184">
            <v>9.4146912488213275E-14</v>
          </cell>
        </row>
        <row r="185">
          <cell r="F185">
            <v>-2.547753597106758</v>
          </cell>
          <cell r="G185">
            <v>-5.4550908295023195</v>
          </cell>
        </row>
        <row r="186">
          <cell r="F186">
            <v>-51.035825500000001</v>
          </cell>
        </row>
        <row r="187">
          <cell r="F187">
            <v>0</v>
          </cell>
          <cell r="G187">
            <v>-3.0175289498421853E-2</v>
          </cell>
        </row>
        <row r="188">
          <cell r="F188">
            <v>-53.583579097106764</v>
          </cell>
          <cell r="G188">
            <v>-5.485266119000741</v>
          </cell>
        </row>
      </sheetData>
      <sheetData sheetId="1">
        <row r="10">
          <cell r="F10">
            <v>168.91643426788198</v>
          </cell>
          <cell r="G10">
            <v>173.74791724312399</v>
          </cell>
        </row>
        <row r="11">
          <cell r="F11">
            <v>2.4849308452183436</v>
          </cell>
          <cell r="G11">
            <v>2.0688771469338008</v>
          </cell>
        </row>
        <row r="12">
          <cell r="F12">
            <v>166.43150342266364</v>
          </cell>
          <cell r="G12">
            <v>171.67904009619019</v>
          </cell>
        </row>
        <row r="13">
          <cell r="F13">
            <v>166.23166442266364</v>
          </cell>
          <cell r="G13">
            <v>171.6496340961902</v>
          </cell>
        </row>
        <row r="14">
          <cell r="F14">
            <v>0.19983899999999999</v>
          </cell>
          <cell r="G14">
            <v>2.9405999999999998E-2</v>
          </cell>
        </row>
        <row r="15">
          <cell r="F15">
            <v>66.246471194497801</v>
          </cell>
          <cell r="G15">
            <v>68.247919185280324</v>
          </cell>
        </row>
        <row r="16">
          <cell r="F16">
            <v>-14.940340609999936</v>
          </cell>
          <cell r="G16">
            <v>-14.144310579999697</v>
          </cell>
        </row>
        <row r="17">
          <cell r="F17">
            <v>81.186811804497736</v>
          </cell>
          <cell r="G17">
            <v>82.392229765280021</v>
          </cell>
        </row>
        <row r="18">
          <cell r="F18">
            <v>81.254518804497735</v>
          </cell>
          <cell r="G18">
            <v>83.174172765280019</v>
          </cell>
        </row>
        <row r="19">
          <cell r="F19">
            <v>-6.7706999999999989E-2</v>
          </cell>
          <cell r="G19">
            <v>-0.78194300000000005</v>
          </cell>
        </row>
        <row r="20">
          <cell r="F20">
            <v>0.39218487817140718</v>
          </cell>
          <cell r="G20">
            <v>0.39279848799442924</v>
          </cell>
        </row>
        <row r="21">
          <cell r="F21">
            <v>51.493144670333301</v>
          </cell>
          <cell r="G21">
            <v>52.919524916286576</v>
          </cell>
        </row>
        <row r="22">
          <cell r="F22">
            <v>-17.086284010000135</v>
          </cell>
          <cell r="G22">
            <v>-16.318326239999664</v>
          </cell>
        </row>
        <row r="23">
          <cell r="F23">
            <v>68.579428680333436</v>
          </cell>
          <cell r="G23">
            <v>69.23785115628624</v>
          </cell>
        </row>
        <row r="24">
          <cell r="F24">
            <v>68.651650680333432</v>
          </cell>
          <cell r="G24">
            <v>70.024091156286246</v>
          </cell>
        </row>
        <row r="25">
          <cell r="F25">
            <v>-7.2221999999999995E-2</v>
          </cell>
          <cell r="G25">
            <v>-0.78624000000000005</v>
          </cell>
        </row>
        <row r="26">
          <cell r="F26">
            <v>0.30484390043819604</v>
          </cell>
          <cell r="G26">
            <v>0.30457645625896473</v>
          </cell>
        </row>
        <row r="30">
          <cell r="F30">
            <v>175.38669266469134</v>
          </cell>
          <cell r="G30">
            <v>173.74791724312399</v>
          </cell>
        </row>
        <row r="31">
          <cell r="F31">
            <v>2.484930845218372</v>
          </cell>
          <cell r="G31">
            <v>2.0688771469338008</v>
          </cell>
        </row>
        <row r="32">
          <cell r="F32">
            <v>172.90176181947297</v>
          </cell>
          <cell r="G32">
            <v>171.67904009619019</v>
          </cell>
        </row>
        <row r="33">
          <cell r="F33">
            <v>172.70192281947297</v>
          </cell>
          <cell r="G33">
            <v>171.6496340961902</v>
          </cell>
        </row>
        <row r="34">
          <cell r="F34">
            <v>0.19983899999999999</v>
          </cell>
          <cell r="G34">
            <v>2.9405999999999998E-2</v>
          </cell>
        </row>
        <row r="35">
          <cell r="F35">
            <v>70.266475969713511</v>
          </cell>
          <cell r="G35">
            <v>68.247919185280324</v>
          </cell>
        </row>
        <row r="36">
          <cell r="F36">
            <v>-14.940340609999936</v>
          </cell>
          <cell r="G36">
            <v>-14.144310579999697</v>
          </cell>
        </row>
        <row r="37">
          <cell r="F37">
            <v>85.206816579713447</v>
          </cell>
          <cell r="G37">
            <v>82.392229765280021</v>
          </cell>
        </row>
        <row r="38">
          <cell r="F38">
            <v>85.274523579713446</v>
          </cell>
          <cell r="G38">
            <v>83.174172765280019</v>
          </cell>
        </row>
        <row r="39">
          <cell r="F39">
            <v>-6.7706999999999989E-2</v>
          </cell>
          <cell r="G39">
            <v>-0.78194300000000005</v>
          </cell>
        </row>
        <row r="40">
          <cell r="F40">
            <v>0.40063744234034171</v>
          </cell>
          <cell r="G40">
            <v>0.39279848799442924</v>
          </cell>
        </row>
        <row r="41">
          <cell r="F41">
            <v>54.963910627098493</v>
          </cell>
          <cell r="G41">
            <v>52.919524916286576</v>
          </cell>
        </row>
        <row r="42">
          <cell r="F42">
            <v>-17.086284010000135</v>
          </cell>
          <cell r="G42">
            <v>-16.318326239999664</v>
          </cell>
        </row>
        <row r="43">
          <cell r="F43">
            <v>72.050194637098627</v>
          </cell>
          <cell r="G43">
            <v>69.23785115628624</v>
          </cell>
        </row>
        <row r="44">
          <cell r="F44">
            <v>72.122416637098624</v>
          </cell>
          <cell r="G44">
            <v>70.024091156286246</v>
          </cell>
        </row>
        <row r="45">
          <cell r="F45">
            <v>-7.2221999999999995E-2</v>
          </cell>
          <cell r="G45">
            <v>-0.78624000000000005</v>
          </cell>
        </row>
        <row r="46">
          <cell r="F46">
            <v>0.31338700668801522</v>
          </cell>
          <cell r="G46">
            <v>0.30457645625896473</v>
          </cell>
        </row>
        <row r="51">
          <cell r="F51">
            <v>168.91643426788198</v>
          </cell>
          <cell r="G51">
            <v>173.74791724312399</v>
          </cell>
        </row>
        <row r="52">
          <cell r="F52">
            <v>2.4849308452183436</v>
          </cell>
          <cell r="G52">
            <v>2.0688771469338008</v>
          </cell>
        </row>
        <row r="53">
          <cell r="F53">
            <v>166.43150342266364</v>
          </cell>
          <cell r="G53">
            <v>171.67904009619019</v>
          </cell>
        </row>
        <row r="54">
          <cell r="F54">
            <v>166.23166442266364</v>
          </cell>
          <cell r="G54">
            <v>171.6496340961902</v>
          </cell>
        </row>
        <row r="55">
          <cell r="F55">
            <v>0.19983899999999999</v>
          </cell>
          <cell r="G55">
            <v>2.9405999999999998E-2</v>
          </cell>
        </row>
        <row r="56">
          <cell r="F56">
            <v>102.66996307338418</v>
          </cell>
          <cell r="G56">
            <v>108.9075478315571</v>
          </cell>
        </row>
        <row r="57">
          <cell r="F57">
            <v>17.425271455218279</v>
          </cell>
          <cell r="G57">
            <v>17.323797726933506</v>
          </cell>
        </row>
        <row r="58">
          <cell r="F58">
            <v>85.244691618165902</v>
          </cell>
          <cell r="G58">
            <v>91.58375010462359</v>
          </cell>
        </row>
        <row r="59">
          <cell r="F59">
            <v>84.977145618165906</v>
          </cell>
          <cell r="G59">
            <v>90.768721104623594</v>
          </cell>
        </row>
        <row r="60">
          <cell r="F60">
            <v>0.26754599999999995</v>
          </cell>
          <cell r="G60">
            <v>0.81502900000000011</v>
          </cell>
        </row>
        <row r="61">
          <cell r="F61">
            <v>66.246471194497801</v>
          </cell>
          <cell r="G61">
            <v>64.840369411566897</v>
          </cell>
        </row>
        <row r="62">
          <cell r="F62">
            <v>-14.940340609999936</v>
          </cell>
          <cell r="G62">
            <v>-15.254920579999705</v>
          </cell>
        </row>
        <row r="63">
          <cell r="F63">
            <v>81.186811804497736</v>
          </cell>
          <cell r="G63">
            <v>80.095289991566602</v>
          </cell>
        </row>
        <row r="64">
          <cell r="F64">
            <v>81.254518804497735</v>
          </cell>
          <cell r="G64">
            <v>80.880912991566603</v>
          </cell>
        </row>
        <row r="65">
          <cell r="F65">
            <v>-6.7706999999999989E-2</v>
          </cell>
          <cell r="G65">
            <v>-0.78562300000000007</v>
          </cell>
        </row>
        <row r="66">
          <cell r="F66">
            <v>0.39218487817140718</v>
          </cell>
          <cell r="G66">
            <v>0.37318645564445135</v>
          </cell>
        </row>
        <row r="67">
          <cell r="F67">
            <v>51.493144670333301</v>
          </cell>
          <cell r="G67">
            <v>52.272485037302005</v>
          </cell>
        </row>
        <row r="68">
          <cell r="F68">
            <v>-17.086284010000135</v>
          </cell>
          <cell r="G68">
            <v>-16.454786239999663</v>
          </cell>
        </row>
        <row r="69">
          <cell r="F69">
            <v>68.579428680333436</v>
          </cell>
          <cell r="G69">
            <v>68.727271277301668</v>
          </cell>
        </row>
        <row r="70">
          <cell r="F70">
            <v>68.651650680333432</v>
          </cell>
          <cell r="G70">
            <v>69.513851277301669</v>
          </cell>
        </row>
        <row r="71">
          <cell r="F71">
            <v>-7.2221999999999995E-2</v>
          </cell>
          <cell r="G71">
            <v>-0.78658000000000006</v>
          </cell>
        </row>
        <row r="72">
          <cell r="F72">
            <v>0.30484390043819604</v>
          </cell>
          <cell r="G72">
            <v>0.30085244109233011</v>
          </cell>
        </row>
        <row r="80">
          <cell r="AC80">
            <v>0</v>
          </cell>
          <cell r="AD80">
            <v>0</v>
          </cell>
        </row>
        <row r="87">
          <cell r="G87">
            <v>-3.4075497737134159</v>
          </cell>
        </row>
        <row r="92">
          <cell r="G92">
            <v>2.7605098947288433</v>
          </cell>
        </row>
        <row r="107">
          <cell r="F107">
            <v>168.91643426788198</v>
          </cell>
          <cell r="G107">
            <v>173.74791724312399</v>
          </cell>
        </row>
        <row r="108">
          <cell r="F108">
            <v>149.61460099819399</v>
          </cell>
          <cell r="G108">
            <v>155.14695863200353</v>
          </cell>
        </row>
        <row r="111">
          <cell r="F111">
            <v>19.30183326968799</v>
          </cell>
          <cell r="G111">
            <v>18.600958611120461</v>
          </cell>
        </row>
        <row r="120">
          <cell r="F120">
            <v>175.38669266469134</v>
          </cell>
          <cell r="G120">
            <v>173.74791724312399</v>
          </cell>
        </row>
        <row r="121">
          <cell r="F121">
            <v>157.23330795722876</v>
          </cell>
          <cell r="G121">
            <v>155.14695863200353</v>
          </cell>
        </row>
        <row r="124">
          <cell r="F124">
            <v>18.153384707462578</v>
          </cell>
          <cell r="G124">
            <v>18.600958611120461</v>
          </cell>
        </row>
        <row r="136">
          <cell r="F136">
            <v>66.246471194497801</v>
          </cell>
          <cell r="G136">
            <v>68.247919185280324</v>
          </cell>
        </row>
        <row r="137">
          <cell r="F137">
            <v>83.467677751735806</v>
          </cell>
          <cell r="G137">
            <v>86.441532947735041</v>
          </cell>
        </row>
        <row r="140">
          <cell r="F140">
            <v>-17.221206557238006</v>
          </cell>
          <cell r="G140">
            <v>-18.193613762454717</v>
          </cell>
        </row>
        <row r="149">
          <cell r="F149">
            <v>70.266475969713511</v>
          </cell>
          <cell r="G149">
            <v>68.247919185280324</v>
          </cell>
        </row>
        <row r="150">
          <cell r="F150">
            <v>87.514157566262028</v>
          </cell>
          <cell r="G150">
            <v>86.441532947735041</v>
          </cell>
        </row>
        <row r="153">
          <cell r="F153">
            <v>-17.247681596548517</v>
          </cell>
          <cell r="G153">
            <v>-18.193613762454717</v>
          </cell>
        </row>
        <row r="167">
          <cell r="G167">
            <v>61.80493624734892</v>
          </cell>
        </row>
        <row r="168">
          <cell r="G168">
            <v>3.0354331642179799</v>
          </cell>
        </row>
        <row r="169">
          <cell r="F169">
            <v>66.246471194497801</v>
          </cell>
          <cell r="G169">
            <v>64.840369411566897</v>
          </cell>
        </row>
        <row r="170">
          <cell r="G170">
            <v>3.407549773713427</v>
          </cell>
        </row>
        <row r="171">
          <cell r="F171">
            <v>66.246471194497801</v>
          </cell>
          <cell r="G171">
            <v>68.247919185280324</v>
          </cell>
        </row>
        <row r="172">
          <cell r="F172">
            <v>14.7378128430655</v>
          </cell>
          <cell r="G172">
            <v>15.424383276178345</v>
          </cell>
        </row>
        <row r="173">
          <cell r="F173">
            <v>1.5513681098999754E-2</v>
          </cell>
          <cell r="G173">
            <v>-9.5989007184597241E-2</v>
          </cell>
        </row>
        <row r="174">
          <cell r="F174">
            <v>51.493144670333301</v>
          </cell>
          <cell r="G174">
            <v>52.919524916286576</v>
          </cell>
        </row>
        <row r="175">
          <cell r="G175">
            <v>-0.64703987898457171</v>
          </cell>
        </row>
        <row r="176">
          <cell r="F176">
            <v>51.493144670333301</v>
          </cell>
          <cell r="G176">
            <v>52.272485037302005</v>
          </cell>
        </row>
      </sheetData>
      <sheetData sheetId="2">
        <row r="10">
          <cell r="F10">
            <v>60.060861548662501</v>
          </cell>
          <cell r="G10">
            <v>58.832278623779203</v>
          </cell>
        </row>
        <row r="11">
          <cell r="F11">
            <v>43.114360330000004</v>
          </cell>
          <cell r="G11">
            <v>39.943437250000002</v>
          </cell>
        </row>
        <row r="12">
          <cell r="F12">
            <v>17.892667870062301</v>
          </cell>
          <cell r="G12">
            <v>19.4060143532772</v>
          </cell>
        </row>
        <row r="13">
          <cell r="F13">
            <v>5.8638399999999995E-3</v>
          </cell>
          <cell r="G13">
            <v>1.3483045690095801</v>
          </cell>
        </row>
        <row r="14">
          <cell r="F14">
            <v>-0.95203049139980322</v>
          </cell>
          <cell r="G14">
            <v>-1.8654775485075796</v>
          </cell>
        </row>
        <row r="15">
          <cell r="F15">
            <v>63.635288209815641</v>
          </cell>
          <cell r="G15">
            <v>63.342943723708878</v>
          </cell>
        </row>
        <row r="16">
          <cell r="F16">
            <v>8.0448780192073901</v>
          </cell>
          <cell r="G16">
            <v>5.7235744429131703</v>
          </cell>
        </row>
        <row r="17">
          <cell r="F17">
            <v>6.2536923999999701</v>
          </cell>
          <cell r="G17">
            <v>2.3710670999999302</v>
          </cell>
        </row>
        <row r="18">
          <cell r="F18">
            <v>1.8312196592074499</v>
          </cell>
          <cell r="G18">
            <v>3.6358039458599198</v>
          </cell>
        </row>
        <row r="19">
          <cell r="F19">
            <v>-8.4370399999999998E-3</v>
          </cell>
          <cell r="G19">
            <v>-0.28329660294665099</v>
          </cell>
        </row>
        <row r="20">
          <cell r="F20">
            <v>-3.1597000000029858E-2</v>
          </cell>
          <cell r="G20">
            <v>-2.8699265186560297E-14</v>
          </cell>
        </row>
        <row r="21">
          <cell r="F21">
            <v>0.13394543154678643</v>
          </cell>
          <cell r="G21">
            <v>9.7286295496292058E-2</v>
          </cell>
        </row>
        <row r="22">
          <cell r="F22">
            <v>8.8386265334238399</v>
          </cell>
          <cell r="G22">
            <v>7.4003466084320442</v>
          </cell>
        </row>
        <row r="23">
          <cell r="F23">
            <v>3.6023070889331898</v>
          </cell>
          <cell r="G23">
            <v>1.3164613418918485</v>
          </cell>
        </row>
        <row r="24">
          <cell r="F24">
            <v>3.3364080799999898</v>
          </cell>
          <cell r="G24">
            <v>-0.64794318000002016</v>
          </cell>
        </row>
        <row r="25">
          <cell r="F25">
            <v>0.30593304893328599</v>
          </cell>
          <cell r="G25">
            <v>2.2490147161460299</v>
          </cell>
        </row>
        <row r="26">
          <cell r="F26">
            <v>-8.4370399999999998E-3</v>
          </cell>
          <cell r="G26">
            <v>-0.28461019425408396</v>
          </cell>
        </row>
        <row r="27">
          <cell r="F27">
            <v>-3.1597000000085924E-2</v>
          </cell>
          <cell r="G27">
            <v>-7.7271522513910895E-14</v>
          </cell>
        </row>
        <row r="28">
          <cell r="F28">
            <v>5.9977612642378254E-2</v>
          </cell>
          <cell r="G28">
            <v>2.2376514605364151E-2</v>
          </cell>
        </row>
        <row r="29">
          <cell r="F29">
            <v>4.1466807923294402</v>
          </cell>
          <cell r="G29">
            <v>2.7931111588378332</v>
          </cell>
        </row>
        <row r="33">
          <cell r="F33">
            <v>60.976403280359001</v>
          </cell>
          <cell r="G33">
            <v>58.832278623779203</v>
          </cell>
        </row>
        <row r="34">
          <cell r="F34">
            <v>43.114360330000004</v>
          </cell>
          <cell r="G34">
            <v>39.943437250000002</v>
          </cell>
        </row>
        <row r="35">
          <cell r="F35">
            <v>18.793709270608698</v>
          </cell>
          <cell r="G35">
            <v>19.4060143532772</v>
          </cell>
        </row>
        <row r="36">
          <cell r="F36">
            <v>5.8638399999999995E-3</v>
          </cell>
          <cell r="G36">
            <v>1.3483045690095801</v>
          </cell>
        </row>
        <row r="37">
          <cell r="F37">
            <v>-0.93753016024970037</v>
          </cell>
          <cell r="G37">
            <v>-1.8654775485075796</v>
          </cell>
        </row>
        <row r="38">
          <cell r="F38">
            <v>64.362659078357453</v>
          </cell>
          <cell r="G38">
            <v>63.342943723708878</v>
          </cell>
        </row>
        <row r="39">
          <cell r="F39">
            <v>7.5289467077445495</v>
          </cell>
          <cell r="G39">
            <v>5.7235744429131703</v>
          </cell>
        </row>
        <row r="40">
          <cell r="F40">
            <v>6.2536923999999701</v>
          </cell>
          <cell r="G40">
            <v>2.3710670999999302</v>
          </cell>
        </row>
        <row r="41">
          <cell r="F41">
            <v>1.31528834774456</v>
          </cell>
          <cell r="G41">
            <v>3.6358039458599198</v>
          </cell>
        </row>
        <row r="42">
          <cell r="F42">
            <v>-8.4370399999999998E-3</v>
          </cell>
          <cell r="G42">
            <v>-0.28329660294665099</v>
          </cell>
        </row>
        <row r="43">
          <cell r="F43">
            <v>-3.1596999999980564E-2</v>
          </cell>
          <cell r="G43">
            <v>-2.8699265186560297E-14</v>
          </cell>
        </row>
        <row r="44">
          <cell r="F44">
            <v>0.12347311915279341</v>
          </cell>
          <cell r="G44">
            <v>9.7286295496292058E-2</v>
          </cell>
        </row>
        <row r="45">
          <cell r="F45">
            <v>8.2809985309622505</v>
          </cell>
          <cell r="G45">
            <v>7.4003466084320442</v>
          </cell>
        </row>
        <row r="46">
          <cell r="F46">
            <v>3.0411301974382101</v>
          </cell>
          <cell r="G46">
            <v>1.3164613418918485</v>
          </cell>
        </row>
        <row r="47">
          <cell r="F47">
            <v>3.3364080799999898</v>
          </cell>
          <cell r="G47">
            <v>-0.64794318000002016</v>
          </cell>
        </row>
        <row r="48">
          <cell r="F48">
            <v>-0.25524384256179899</v>
          </cell>
          <cell r="G48">
            <v>2.2490147161460299</v>
          </cell>
        </row>
        <row r="49">
          <cell r="F49">
            <v>-8.4370399999999998E-3</v>
          </cell>
          <cell r="G49">
            <v>-0.28461019425408396</v>
          </cell>
        </row>
        <row r="50">
          <cell r="F50">
            <v>-3.1596999999980675E-2</v>
          </cell>
          <cell r="G50">
            <v>-7.7271522513910895E-14</v>
          </cell>
        </row>
        <row r="51">
          <cell r="F51">
            <v>4.9873886189311906E-2</v>
          </cell>
          <cell r="G51">
            <v>2.2376514605364151E-2</v>
          </cell>
        </row>
        <row r="52">
          <cell r="F52">
            <v>3.5569789864358854</v>
          </cell>
          <cell r="G52">
            <v>2.7931111588378332</v>
          </cell>
        </row>
        <row r="56">
          <cell r="F56">
            <v>60.060861548662501</v>
          </cell>
          <cell r="G56">
            <v>58.832278623779203</v>
          </cell>
        </row>
        <row r="57">
          <cell r="F57">
            <v>56.106369096782593</v>
          </cell>
          <cell r="G57">
            <v>54.597548095694698</v>
          </cell>
        </row>
        <row r="58">
          <cell r="F58">
            <v>40.062555860000003</v>
          </cell>
          <cell r="G58">
            <v>36.375610619999996</v>
          </cell>
        </row>
        <row r="59">
          <cell r="F59">
            <v>16.052300396782499</v>
          </cell>
          <cell r="G59">
            <v>18.2565152197344</v>
          </cell>
        </row>
        <row r="60">
          <cell r="F60">
            <v>-8.4871599999090108E-3</v>
          </cell>
          <cell r="G60">
            <v>-3.4577744039697933E-2</v>
          </cell>
        </row>
        <row r="61">
          <cell r="F61">
            <v>3.9544924518799078</v>
          </cell>
          <cell r="G61">
            <v>4.2347305280845049</v>
          </cell>
        </row>
        <row r="62">
          <cell r="F62">
            <v>52.015983529455113</v>
          </cell>
          <cell r="G62">
            <v>56.298957680866032</v>
          </cell>
        </row>
        <row r="63">
          <cell r="F63">
            <v>36.860667930000034</v>
          </cell>
          <cell r="G63">
            <v>39.723370150000072</v>
          </cell>
        </row>
        <row r="64">
          <cell r="F64">
            <v>16.061448210854852</v>
          </cell>
          <cell r="G64">
            <v>16.809463907417282</v>
          </cell>
        </row>
        <row r="65">
          <cell r="F65">
            <v>1.4300879999999998E-2</v>
          </cell>
          <cell r="G65">
            <v>1.6316011719562311</v>
          </cell>
        </row>
        <row r="66">
          <cell r="F66">
            <v>-0.92043349139977293</v>
          </cell>
          <cell r="G66">
            <v>-1.8654775485075532</v>
          </cell>
        </row>
        <row r="67">
          <cell r="F67">
            <v>8.0448780192073901</v>
          </cell>
          <cell r="G67">
            <v>2.53332094291317</v>
          </cell>
        </row>
        <row r="68">
          <cell r="F68">
            <v>6.2536923999999701</v>
          </cell>
          <cell r="G68">
            <v>0.22006709999993018</v>
          </cell>
        </row>
        <row r="69">
          <cell r="F69">
            <v>1.8312196592074499</v>
          </cell>
          <cell r="G69">
            <v>2.5965504458599198</v>
          </cell>
        </row>
        <row r="70">
          <cell r="F70">
            <v>-8.4370399999999998E-3</v>
          </cell>
          <cell r="G70">
            <v>-0.28329660294665099</v>
          </cell>
        </row>
        <row r="71">
          <cell r="F71">
            <v>-3.1597000000029858E-2</v>
          </cell>
          <cell r="G71">
            <v>-2.9143354396410359E-14</v>
          </cell>
        </row>
        <row r="72">
          <cell r="F72">
            <v>0.13394543154678643</v>
          </cell>
          <cell r="G72">
            <v>4.3060051423696455E-2</v>
          </cell>
        </row>
        <row r="73">
          <cell r="F73">
            <v>3.6023070889331898</v>
          </cell>
          <cell r="G73">
            <v>0.51495784189184801</v>
          </cell>
        </row>
        <row r="74">
          <cell r="F74">
            <v>3.3364080799999898</v>
          </cell>
          <cell r="G74">
            <v>-1.1799431800000202</v>
          </cell>
        </row>
        <row r="75">
          <cell r="F75">
            <v>0.30593304893328599</v>
          </cell>
          <cell r="G75">
            <v>1.97951121614603</v>
          </cell>
        </row>
        <row r="76">
          <cell r="F76">
            <v>-8.4370399999999998E-3</v>
          </cell>
          <cell r="G76">
            <v>-0.28461019425408396</v>
          </cell>
        </row>
        <row r="77">
          <cell r="F77">
            <v>-3.1597000000085924E-2</v>
          </cell>
          <cell r="G77">
            <v>-7.7937656328685989E-14</v>
          </cell>
        </row>
        <row r="78">
          <cell r="F78">
            <v>5.9977612642378254E-2</v>
          </cell>
          <cell r="G78">
            <v>8.7529814234274632E-3</v>
          </cell>
        </row>
        <row r="86">
          <cell r="AC86">
            <v>0</v>
          </cell>
          <cell r="AD86">
            <v>0</v>
          </cell>
        </row>
        <row r="95">
          <cell r="G95">
            <v>-3.1902535000000003</v>
          </cell>
        </row>
        <row r="101">
          <cell r="G101">
            <v>2.3887499999999999</v>
          </cell>
        </row>
        <row r="113">
          <cell r="G113">
            <v>2.754209395559609</v>
          </cell>
        </row>
        <row r="114">
          <cell r="G114">
            <v>-0.220888452646439</v>
          </cell>
        </row>
        <row r="115">
          <cell r="F115">
            <v>8.0448780192073901</v>
          </cell>
          <cell r="G115">
            <v>2.53332094291317</v>
          </cell>
        </row>
        <row r="116">
          <cell r="G116">
            <v>3.1902535000000003</v>
          </cell>
        </row>
        <row r="117">
          <cell r="F117">
            <v>8.0448780192073901</v>
          </cell>
          <cell r="G117">
            <v>5.7235744429131703</v>
          </cell>
        </row>
        <row r="118">
          <cell r="F118">
            <v>4.4159842402741596</v>
          </cell>
          <cell r="G118">
            <v>4.3913220410213301</v>
          </cell>
        </row>
        <row r="119">
          <cell r="F119">
            <v>2.6586690000041102E-2</v>
          </cell>
          <cell r="G119">
            <v>1.5791059999991752E-2</v>
          </cell>
        </row>
        <row r="120">
          <cell r="F120">
            <v>3.6023070889331898</v>
          </cell>
          <cell r="G120">
            <v>1.3164613418918485</v>
          </cell>
        </row>
        <row r="121">
          <cell r="G121">
            <v>-0.80150350000000048</v>
          </cell>
        </row>
        <row r="122">
          <cell r="F122">
            <v>3.6023070889331898</v>
          </cell>
          <cell r="G122">
            <v>0.51495784189184801</v>
          </cell>
        </row>
      </sheetData>
      <sheetData sheetId="3">
        <row r="10">
          <cell r="F10">
            <v>49.057539887605202</v>
          </cell>
          <cell r="G10">
            <v>51.121327048559699</v>
          </cell>
        </row>
        <row r="11">
          <cell r="F11">
            <v>43.842965088913296</v>
          </cell>
          <cell r="G11">
            <v>45.650881196626997</v>
          </cell>
        </row>
        <row r="12">
          <cell r="F12">
            <v>23.582915021489601</v>
          </cell>
          <cell r="G12">
            <v>21.3949301040848</v>
          </cell>
        </row>
        <row r="13">
          <cell r="F13">
            <v>15.219825806268899</v>
          </cell>
          <cell r="G13">
            <v>17.359048195345402</v>
          </cell>
        </row>
        <row r="14">
          <cell r="F14">
            <v>5.0402242611547958</v>
          </cell>
          <cell r="G14">
            <v>6.8969028971967958</v>
          </cell>
        </row>
        <row r="15">
          <cell r="F15">
            <v>5.2145747986919062</v>
          </cell>
          <cell r="G15">
            <v>5.4704458519327019</v>
          </cell>
        </row>
        <row r="16">
          <cell r="F16">
            <v>-3.0717104354629701</v>
          </cell>
          <cell r="G16">
            <v>-3.0764390396213002</v>
          </cell>
        </row>
        <row r="17">
          <cell r="F17">
            <v>-2.0838585457790901</v>
          </cell>
          <cell r="G17">
            <v>-1.3178405407994696</v>
          </cell>
        </row>
        <row r="18">
          <cell r="F18">
            <v>-4.7530055085303564E-2</v>
          </cell>
          <cell r="G18">
            <v>-2.8867800713928842E-2</v>
          </cell>
        </row>
        <row r="19">
          <cell r="F19">
            <v>-0.98785188968387994</v>
          </cell>
          <cell r="G19">
            <v>-1.7585984988218306</v>
          </cell>
        </row>
        <row r="20">
          <cell r="F20">
            <v>-5.4188254213650096</v>
          </cell>
          <cell r="G20">
            <v>-5.1976105348063077</v>
          </cell>
        </row>
        <row r="21">
          <cell r="F21">
            <v>-3.9996465608834599</v>
          </cell>
          <cell r="G21">
            <v>-3.1343951022529088</v>
          </cell>
        </row>
        <row r="22">
          <cell r="F22">
            <v>-9.1226643836068072E-2</v>
          </cell>
          <cell r="G22">
            <v>-6.8660122654642192E-2</v>
          </cell>
        </row>
        <row r="23">
          <cell r="F23">
            <v>-1.4191788604815496</v>
          </cell>
          <cell r="G23">
            <v>-2.0632154325533989</v>
          </cell>
        </row>
        <row r="28">
          <cell r="F28">
            <v>49.057539887605202</v>
          </cell>
          <cell r="G28">
            <v>51.121327048559699</v>
          </cell>
        </row>
        <row r="29">
          <cell r="F29">
            <v>43.842965088913296</v>
          </cell>
          <cell r="G29">
            <v>45.650881196626997</v>
          </cell>
        </row>
        <row r="30">
          <cell r="F30">
            <v>23.582915021489601</v>
          </cell>
          <cell r="G30">
            <v>21.3949301040848</v>
          </cell>
        </row>
        <row r="31">
          <cell r="F31">
            <v>15.219825806268899</v>
          </cell>
          <cell r="G31">
            <v>17.359048195345402</v>
          </cell>
        </row>
        <row r="32">
          <cell r="F32">
            <v>5.0402242611547958</v>
          </cell>
          <cell r="G32">
            <v>6.8969028971967958</v>
          </cell>
        </row>
        <row r="33">
          <cell r="F33">
            <v>5.2145747986919062</v>
          </cell>
          <cell r="G33">
            <v>5.4704458519327019</v>
          </cell>
        </row>
        <row r="34">
          <cell r="F34">
            <v>51.141398433384289</v>
          </cell>
          <cell r="G34">
            <v>53.573165776672766</v>
          </cell>
        </row>
        <row r="35">
          <cell r="F35">
            <v>45.926823634692383</v>
          </cell>
          <cell r="G35">
            <v>48.102719924740065</v>
          </cell>
        </row>
        <row r="36">
          <cell r="F36">
            <v>5.2145747986919062</v>
          </cell>
          <cell r="G36">
            <v>5.4704458519327019</v>
          </cell>
        </row>
        <row r="37">
          <cell r="F37">
            <v>-3.0717104354629701</v>
          </cell>
          <cell r="G37">
            <v>-4.4403270669349002</v>
          </cell>
        </row>
        <row r="38">
          <cell r="F38">
            <v>-2.0838585457790901</v>
          </cell>
          <cell r="G38">
            <v>-2.4518387281130698</v>
          </cell>
        </row>
        <row r="39">
          <cell r="F39">
            <v>-4.7530055085303564E-2</v>
          </cell>
          <cell r="G39">
            <v>-5.3708464411728128E-2</v>
          </cell>
        </row>
        <row r="40">
          <cell r="F40">
            <v>-0.98785188968387994</v>
          </cell>
          <cell r="G40">
            <v>-1.9884883388218304</v>
          </cell>
        </row>
        <row r="41">
          <cell r="F41">
            <v>-5.4188254213650096</v>
          </cell>
          <cell r="G41">
            <v>-5.5686924482901308</v>
          </cell>
        </row>
        <row r="42">
          <cell r="F42">
            <v>-3.9996465608834599</v>
          </cell>
          <cell r="G42">
            <v>-3.44465394573011</v>
          </cell>
        </row>
        <row r="43">
          <cell r="F43">
            <v>-9.1226643836068072E-2</v>
          </cell>
          <cell r="G43">
            <v>-7.5456461199365082E-2</v>
          </cell>
        </row>
        <row r="44">
          <cell r="F44">
            <v>-1.4191788604815496</v>
          </cell>
          <cell r="G44">
            <v>-2.1240385025600208</v>
          </cell>
        </row>
        <row r="52">
          <cell r="AC52">
            <v>0</v>
          </cell>
          <cell r="AD52">
            <v>0</v>
          </cell>
        </row>
        <row r="60">
          <cell r="G60">
            <v>-1.1339981873136002</v>
          </cell>
        </row>
        <row r="61">
          <cell r="G61">
            <v>-0.22988983999999998</v>
          </cell>
        </row>
        <row r="67">
          <cell r="G67">
            <v>0.82373934383639946</v>
          </cell>
        </row>
        <row r="68">
          <cell r="G68">
            <v>0.16906676999337811</v>
          </cell>
        </row>
        <row r="81">
          <cell r="G81">
            <v>-3.932536986496824</v>
          </cell>
        </row>
        <row r="82">
          <cell r="G82">
            <v>-0.50779008043807605</v>
          </cell>
        </row>
        <row r="83">
          <cell r="F83">
            <v>-3.0717104354629701</v>
          </cell>
          <cell r="G83">
            <v>-4.4403270669349002</v>
          </cell>
        </row>
        <row r="84">
          <cell r="G84">
            <v>1.3638880273136</v>
          </cell>
        </row>
        <row r="85">
          <cell r="F85">
            <v>-3.0717104354629701</v>
          </cell>
          <cell r="G85">
            <v>-3.0764390396213002</v>
          </cell>
        </row>
        <row r="86">
          <cell r="F86">
            <v>2.3471149859020501</v>
          </cell>
          <cell r="G86">
            <v>2.1211714951849978</v>
          </cell>
        </row>
        <row r="87">
          <cell r="F87">
            <v>-1.0658141036401503E-14</v>
          </cell>
          <cell r="G87">
            <v>9.7699626167013776E-15</v>
          </cell>
        </row>
        <row r="88">
          <cell r="F88">
            <v>-5.4188254213650096</v>
          </cell>
          <cell r="G88">
            <v>-5.1976105348063077</v>
          </cell>
        </row>
        <row r="89">
          <cell r="G89">
            <v>-0.37108191348382302</v>
          </cell>
        </row>
        <row r="90">
          <cell r="F90">
            <v>-5.4188254213650096</v>
          </cell>
          <cell r="G90">
            <v>-5.5686924482901308</v>
          </cell>
        </row>
        <row r="94">
          <cell r="G94">
            <v>-1.9561743029965408</v>
          </cell>
        </row>
        <row r="95">
          <cell r="G95">
            <v>-0.49566442511652903</v>
          </cell>
        </row>
        <row r="96">
          <cell r="F96">
            <v>-2.0838585457790901</v>
          </cell>
          <cell r="G96">
            <v>-2.4518387281130698</v>
          </cell>
        </row>
        <row r="97">
          <cell r="G97">
            <v>1.1339981873136002</v>
          </cell>
        </row>
        <row r="98">
          <cell r="F98">
            <v>-2.0838585457790901</v>
          </cell>
          <cell r="G98">
            <v>-1.3178405407994696</v>
          </cell>
        </row>
        <row r="99">
          <cell r="F99">
            <v>1.91578801510438</v>
          </cell>
          <cell r="G99">
            <v>1.8165545614534364</v>
          </cell>
        </row>
        <row r="100">
          <cell r="F100">
            <v>-1.021405182655144E-14</v>
          </cell>
          <cell r="G100">
            <v>2.886579864025407E-15</v>
          </cell>
        </row>
        <row r="101">
          <cell r="F101">
            <v>-3.9996465608834599</v>
          </cell>
          <cell r="G101">
            <v>-3.1343951022529088</v>
          </cell>
        </row>
        <row r="102">
          <cell r="G102">
            <v>-0.31025884347720112</v>
          </cell>
        </row>
        <row r="103">
          <cell r="F103">
            <v>-3.9996465608834599</v>
          </cell>
          <cell r="G103">
            <v>-3.44465394573011</v>
          </cell>
        </row>
      </sheetData>
      <sheetData sheetId="4">
        <row r="10">
          <cell r="F10">
            <v>39.307203540000003</v>
          </cell>
          <cell r="G10">
            <v>38.726984980000005</v>
          </cell>
        </row>
        <row r="11">
          <cell r="F11">
            <v>25.24974164</v>
          </cell>
          <cell r="G11">
            <v>24.278089639999997</v>
          </cell>
        </row>
        <row r="12">
          <cell r="F12">
            <v>14.057461900000003</v>
          </cell>
          <cell r="G12">
            <v>14.448895340000007</v>
          </cell>
        </row>
        <row r="13">
          <cell r="F13">
            <v>1.0032815278213201</v>
          </cell>
          <cell r="G13">
            <v>5.788990502718721</v>
          </cell>
        </row>
        <row r="14">
          <cell r="F14">
            <v>2.5524113583922484E-2</v>
          </cell>
          <cell r="G14">
            <v>0.14948208608824989</v>
          </cell>
        </row>
        <row r="15">
          <cell r="F15">
            <v>-1.1566185021786701</v>
          </cell>
          <cell r="G15">
            <v>3.6665477863869684</v>
          </cell>
        </row>
        <row r="16">
          <cell r="F16">
            <v>-2.9425102729622215E-2</v>
          </cell>
          <cell r="G16">
            <v>9.4676820007560739E-2</v>
          </cell>
        </row>
        <row r="22">
          <cell r="F22">
            <v>39.307203540000003</v>
          </cell>
          <cell r="G22">
            <v>38.726984980000005</v>
          </cell>
        </row>
        <row r="23">
          <cell r="F23">
            <v>25.24974164</v>
          </cell>
          <cell r="G23">
            <v>24.278089639999997</v>
          </cell>
        </row>
        <row r="24">
          <cell r="F24">
            <v>14.057461900000003</v>
          </cell>
          <cell r="G24">
            <v>14.448895340000007</v>
          </cell>
        </row>
        <row r="25">
          <cell r="F25">
            <v>38.303922012178681</v>
          </cell>
          <cell r="G25">
            <v>33.527566598531287</v>
          </cell>
        </row>
        <row r="26">
          <cell r="F26">
            <v>1.0032815278213201</v>
          </cell>
          <cell r="G26">
            <v>5.1994183814687203</v>
          </cell>
        </row>
        <row r="27">
          <cell r="F27">
            <v>2.5524113583922484E-2</v>
          </cell>
          <cell r="G27">
            <v>0.13425827970222534</v>
          </cell>
        </row>
        <row r="28">
          <cell r="F28">
            <v>-1.1566185021786701</v>
          </cell>
          <cell r="G28">
            <v>3.67216762146872</v>
          </cell>
        </row>
        <row r="29">
          <cell r="F29">
            <v>-2.9425102729622215E-2</v>
          </cell>
          <cell r="G29">
            <v>9.4821934198212388E-2</v>
          </cell>
        </row>
        <row r="37">
          <cell r="AC37">
            <v>0</v>
          </cell>
          <cell r="AD37">
            <v>0</v>
          </cell>
        </row>
        <row r="45">
          <cell r="G45">
            <v>-0.58957212125000014</v>
          </cell>
        </row>
        <row r="51">
          <cell r="G51">
            <v>0.59519195633175193</v>
          </cell>
        </row>
        <row r="64">
          <cell r="G64">
            <v>5.2513591214687203</v>
          </cell>
        </row>
        <row r="65">
          <cell r="G65">
            <v>-5.1940739999999999E-2</v>
          </cell>
        </row>
        <row r="66">
          <cell r="F66">
            <v>1.0032815278213201</v>
          </cell>
          <cell r="G66">
            <v>5.1994183814687203</v>
          </cell>
        </row>
        <row r="67">
          <cell r="G67">
            <v>0.58957212125000069</v>
          </cell>
        </row>
        <row r="68">
          <cell r="F68">
            <v>1.0032815278213201</v>
          </cell>
          <cell r="G68">
            <v>5.788990502718721</v>
          </cell>
        </row>
        <row r="69">
          <cell r="F69">
            <v>2.1599000299999997</v>
          </cell>
          <cell r="G69">
            <v>2.1224427163317516</v>
          </cell>
        </row>
        <row r="70">
          <cell r="F70">
            <v>-9.3258734068513149E-15</v>
          </cell>
          <cell r="G70">
            <v>0</v>
          </cell>
        </row>
        <row r="71">
          <cell r="F71">
            <v>-1.1566185021786701</v>
          </cell>
          <cell r="G71">
            <v>3.6665477863869684</v>
          </cell>
        </row>
        <row r="72">
          <cell r="G72">
            <v>5.6198350817515674E-3</v>
          </cell>
        </row>
        <row r="73">
          <cell r="F73">
            <v>-1.1566185021786701</v>
          </cell>
          <cell r="G73">
            <v>3.67216762146872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P19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M133" sqref="AM133"/>
    </sheetView>
  </sheetViews>
  <sheetFormatPr baseColWidth="10" defaultRowHeight="12.75"/>
  <cols>
    <col min="1" max="1" width="6.5703125" style="1" bestFit="1" customWidth="1"/>
    <col min="2" max="3" width="11.42578125" style="1"/>
    <col min="4" max="4" width="48.7109375" style="1" customWidth="1"/>
    <col min="5" max="5" width="1" style="1" customWidth="1"/>
    <col min="6" max="8" width="11.42578125" style="1" customWidth="1"/>
    <col min="9" max="9" width="6.85546875" style="1" customWidth="1"/>
    <col min="10" max="10" width="0.85546875" style="1" customWidth="1"/>
    <col min="11" max="11" width="11.42578125" style="1"/>
    <col min="12" max="12" width="48.7109375" style="1" customWidth="1"/>
    <col min="13" max="13" width="0.85546875" style="1" customWidth="1"/>
    <col min="14" max="16" width="11.42578125" style="1"/>
    <col min="17" max="17" width="6.85546875" style="1" customWidth="1"/>
    <col min="18" max="18" width="0.85546875" style="1" customWidth="1"/>
    <col min="19" max="19" width="11.42578125" style="1"/>
    <col min="20" max="20" width="48.7109375" style="1" customWidth="1"/>
    <col min="21" max="21" width="0.85546875" style="1" customWidth="1"/>
    <col min="22" max="24" width="11.42578125" style="1"/>
    <col min="25" max="25" width="6.85546875" style="1" customWidth="1"/>
    <col min="26" max="26" width="0.85546875" style="1" customWidth="1"/>
    <col min="27" max="27" width="11.42578125" style="1"/>
    <col min="28" max="28" width="48.7109375" style="1" customWidth="1"/>
    <col min="29" max="29" width="0.85546875" style="1" customWidth="1"/>
    <col min="30" max="32" width="11.42578125" style="1"/>
    <col min="33" max="33" width="6.85546875" style="1" customWidth="1"/>
    <col min="34" max="34" width="0.85546875" style="1" customWidth="1"/>
    <col min="35" max="35" width="11.42578125" style="1"/>
    <col min="36" max="36" width="48.7109375" style="1" customWidth="1"/>
    <col min="37" max="37" width="0.85546875" style="1" customWidth="1"/>
    <col min="38" max="40" width="11.42578125" style="1"/>
    <col min="41" max="41" width="6.85546875" style="1" customWidth="1"/>
    <col min="42" max="42" width="0.85546875" style="1" customWidth="1"/>
    <col min="43" max="16384" width="11.42578125" style="1"/>
  </cols>
  <sheetData>
    <row r="2" spans="1:42" ht="13.5" thickBot="1"/>
    <row r="3" spans="1:42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L3" s="3" t="str">
        <f>+IF($B$3="esp","EDUCACIÓN","EDUCATION")</f>
        <v>EDUCATION</v>
      </c>
      <c r="M3" s="4"/>
      <c r="N3" s="4"/>
      <c r="O3" s="5"/>
      <c r="P3" s="4"/>
      <c r="T3" s="3" t="str">
        <f>+IF($B$3="esp","RADIO","RADIO")</f>
        <v>RADIO</v>
      </c>
      <c r="U3" s="4"/>
      <c r="V3" s="4"/>
      <c r="W3" s="5"/>
      <c r="X3" s="4"/>
      <c r="AB3" s="3" t="str">
        <f>+IF($B$3="esp","PRENSA - incluye PBS y Tecnología","PRESS - includes PBS &amp; IT")</f>
        <v>PRESS - includes PBS &amp; IT</v>
      </c>
      <c r="AC3" s="4"/>
      <c r="AD3" s="4"/>
      <c r="AE3" s="5"/>
      <c r="AF3" s="4"/>
      <c r="AJ3" s="3" t="str">
        <f>+IF($B$3="esp","MEDIA CAPITAL","MEDIA CAPITAL")</f>
        <v>MEDIA CAPITAL</v>
      </c>
      <c r="AK3" s="4"/>
      <c r="AL3" s="4"/>
      <c r="AM3" s="5"/>
      <c r="AN3" s="4"/>
    </row>
    <row r="4" spans="1:42">
      <c r="A4" s="1" t="s">
        <v>2</v>
      </c>
      <c r="B4" s="6" t="s">
        <v>3</v>
      </c>
    </row>
    <row r="5" spans="1:42">
      <c r="A5" s="1" t="s">
        <v>4</v>
      </c>
      <c r="B5" s="1" t="s">
        <v>1</v>
      </c>
    </row>
    <row r="6" spans="1:42">
      <c r="F6" s="7" t="str">
        <f>+IF($B$3="esp","ENERO - MARZO","JANUARY - MARCH")</f>
        <v>JANUARY - MARCH</v>
      </c>
      <c r="G6" s="8"/>
      <c r="H6" s="8"/>
      <c r="N6" s="7" t="str">
        <f>+$F$6</f>
        <v>JANUARY - MARCH</v>
      </c>
      <c r="O6" s="8"/>
      <c r="P6" s="8"/>
      <c r="V6" s="7" t="str">
        <f>+$F$6</f>
        <v>JANUARY - MARCH</v>
      </c>
      <c r="W6" s="8"/>
      <c r="X6" s="8"/>
      <c r="AD6" s="7" t="str">
        <f>+$F$6</f>
        <v>JANUARY - MARCH</v>
      </c>
      <c r="AE6" s="8"/>
      <c r="AF6" s="8"/>
      <c r="AL6" s="7" t="str">
        <f>+$F$6</f>
        <v>JANUARY - MARCH</v>
      </c>
      <c r="AM6" s="8"/>
      <c r="AN6" s="8"/>
    </row>
    <row r="8" spans="1:42">
      <c r="D8" s="9" t="str">
        <f>+IF($B$3="esp","Millones de €","€ Millions")</f>
        <v>€ Millions</v>
      </c>
      <c r="F8" s="10">
        <v>2019</v>
      </c>
      <c r="G8" s="10">
        <v>2018</v>
      </c>
      <c r="H8" s="10" t="s">
        <v>5</v>
      </c>
      <c r="L8" s="9" t="str">
        <f>+IF($B$3="esp","Millones de €","€ Millions")</f>
        <v>€ Millions</v>
      </c>
      <c r="N8" s="10">
        <v>2019</v>
      </c>
      <c r="O8" s="10">
        <v>2018</v>
      </c>
      <c r="P8" s="10" t="s">
        <v>5</v>
      </c>
      <c r="T8" s="9" t="str">
        <f>+IF($B$3="esp","Millones de €","€ Millions")</f>
        <v>€ Millions</v>
      </c>
      <c r="V8" s="10">
        <v>2019</v>
      </c>
      <c r="W8" s="10">
        <v>2018</v>
      </c>
      <c r="X8" s="10" t="s">
        <v>5</v>
      </c>
      <c r="AB8" s="9" t="str">
        <f>+IF($B$3="esp","Millones de €","€ Millions")</f>
        <v>€ Millions</v>
      </c>
      <c r="AD8" s="10">
        <v>2019</v>
      </c>
      <c r="AE8" s="10">
        <v>2018</v>
      </c>
      <c r="AF8" s="10" t="s">
        <v>5</v>
      </c>
      <c r="AJ8" s="9" t="str">
        <f>+IF($B$3="esp","Millones de €","€ Millions")</f>
        <v>€ Millions</v>
      </c>
      <c r="AL8" s="10">
        <v>2019</v>
      </c>
      <c r="AM8" s="10">
        <v>2018</v>
      </c>
      <c r="AN8" s="10" t="s">
        <v>5</v>
      </c>
    </row>
    <row r="9" spans="1:42" ht="15.75" customHeight="1">
      <c r="D9" s="11" t="str">
        <f>+IF($B$3="esp","Resultados Comparables","Comparable Results")</f>
        <v>Comparable Results</v>
      </c>
      <c r="F9" s="12"/>
      <c r="G9" s="12"/>
      <c r="H9" s="12"/>
      <c r="L9" s="11" t="str">
        <f>+IF($B$3="esp","Resultados Comparables","Comparable Results")</f>
        <v>Comparable Results</v>
      </c>
      <c r="N9" s="12"/>
      <c r="O9" s="12"/>
      <c r="P9" s="12"/>
      <c r="T9" s="11" t="str">
        <f>+IF($B$3="esp","Resultados Comparables","Comparable Results")</f>
        <v>Comparable Results</v>
      </c>
      <c r="V9" s="12"/>
      <c r="W9" s="12"/>
      <c r="X9" s="12"/>
      <c r="AB9" s="11" t="str">
        <f>+IF($B$3="esp","Resultados Comparables","Comparable Results")</f>
        <v>Comparable Results</v>
      </c>
      <c r="AD9" s="12"/>
      <c r="AE9" s="12"/>
      <c r="AF9" s="12"/>
      <c r="AJ9" s="11" t="str">
        <f>+IF($B$3="esp","Resultados Comparables","Comparable Results")</f>
        <v>Comparable Results</v>
      </c>
      <c r="AL9" s="12"/>
      <c r="AM9" s="12"/>
      <c r="AN9" s="12"/>
      <c r="AP9" s="12"/>
    </row>
    <row r="10" spans="1:42" s="13" customFormat="1" ht="15" customHeight="1">
      <c r="D10" s="13" t="str">
        <f>+IF($B$3="esp","Ingresos de Explotación","Operating Revenues")</f>
        <v>Operating Revenues</v>
      </c>
      <c r="F10" s="14">
        <f>+[1]GRUPO!F10</f>
        <v>312.31821899949301</v>
      </c>
      <c r="G10" s="15">
        <f>+[1]GRUPO!G10</f>
        <v>321.00012511587602</v>
      </c>
      <c r="H10" s="16">
        <f t="shared" ref="H10:H19" si="0">IF(G10=0,"---",IF(OR(ABS((F10-G10)/ABS(G10))&gt;2,(F10*G10)&lt;0),"---",IF(G10="0","---",((F10-G10)/ABS(G10))*100)))</f>
        <v>-2.7046425957774853</v>
      </c>
      <c r="L10" s="13" t="str">
        <f>+IF($B$3="esp","Ingresos de Explotación Ajustados","Operating Adjusted Revenues")</f>
        <v>Operating Adjusted Revenues</v>
      </c>
      <c r="N10" s="14">
        <f>+[1]SANTILLANA!F10</f>
        <v>168.91643426788198</v>
      </c>
      <c r="O10" s="15">
        <f>+[1]SANTILLANA!G10</f>
        <v>173.74791724312399</v>
      </c>
      <c r="P10" s="16">
        <f t="shared" ref="P10:P19" si="1">IF(O10=0,"---",IF(OR(ABS((N10-O10)/ABS(O10))&gt;2,(N10*O10)&lt;0),"---",IF(O10="0","---",((N10-O10)/ABS(O10))*100)))</f>
        <v>-2.7807429590545008</v>
      </c>
      <c r="T10" s="13" t="str">
        <f>+IF($B$3="esp","Ingresos de Explotación","Operating Revenues")</f>
        <v>Operating Revenues</v>
      </c>
      <c r="V10" s="14">
        <f>+[1]RADIO!F10</f>
        <v>60.060861548662501</v>
      </c>
      <c r="W10" s="15">
        <f>+[1]RADIO!G10</f>
        <v>58.832278623779203</v>
      </c>
      <c r="X10" s="16">
        <f t="shared" ref="X10:X20" si="2">IF(W10=0,"---",IF(OR(ABS((V10-W10)/ABS(W10))&gt;2,(V10*W10)&lt;0),"---",IF(W10="0","---",((V10-W10)/ABS(W10))*100)))</f>
        <v>2.0882803685708713</v>
      </c>
      <c r="AB10" s="17" t="str">
        <f>+IF($B$3="esp","Ingresos de Explotación Noticias Gestión","Total Press Operating Revenues")</f>
        <v>Total Press Operating Revenues</v>
      </c>
      <c r="AD10" s="18">
        <f>+[1]NOTICIAS!F10</f>
        <v>49.057539887605202</v>
      </c>
      <c r="AE10" s="19">
        <f>+[1]NOTICIAS!G10</f>
        <v>51.121327048559699</v>
      </c>
      <c r="AF10" s="20">
        <f t="shared" ref="AF10:AF17" si="3">IF(AE10=0,"---",IF(OR(ABS((AD10-AE10)/ABS(AE10))&gt;2,(AD10*AE10)&lt;0),"---",IF(AE10="0","---",((AD10-AE10)/ABS(AE10))*100)))</f>
        <v>-4.0370375342450009</v>
      </c>
      <c r="AJ10" s="13" t="str">
        <f>+IF($B$3="esp","Ingresos de Explotación","OperatingRevenues")</f>
        <v>OperatingRevenues</v>
      </c>
      <c r="AL10" s="14">
        <f>+'[1]MEDIA CAPITAL'!F10</f>
        <v>39.307203540000003</v>
      </c>
      <c r="AM10" s="15">
        <f>+'[1]MEDIA CAPITAL'!G10</f>
        <v>38.726984980000005</v>
      </c>
      <c r="AN10" s="16">
        <f>IF(AM10=0,"---",IF(OR(ABS((AL10-AM10)/ABS(AM10))&gt;2,(AL10*AM10)&lt;0),"---",IF(AM10="0","---",((AL10-AM10)/ABS(AM10))*100)))</f>
        <v>1.4982280709423783</v>
      </c>
    </row>
    <row r="11" spans="1:42" ht="15" customHeight="1">
      <c r="D11" s="21" t="str">
        <f>+IF($B$3="esp","España","Spain")</f>
        <v>Spain</v>
      </c>
      <c r="F11" s="22">
        <f>+[1]GRUPO!F11</f>
        <v>87.662567140000021</v>
      </c>
      <c r="G11" s="23">
        <f>+[1]GRUPO!G11</f>
        <v>88.142521320000213</v>
      </c>
      <c r="H11" s="24">
        <f t="shared" si="0"/>
        <v>-0.54452059325342506</v>
      </c>
      <c r="L11" s="21" t="str">
        <f>+IF($B$3="esp","España","Spain")</f>
        <v>Spain</v>
      </c>
      <c r="N11" s="22">
        <f>+[1]SANTILLANA!F11</f>
        <v>2.4849308452183436</v>
      </c>
      <c r="O11" s="23">
        <f>+[1]SANTILLANA!G11</f>
        <v>2.0688771469338008</v>
      </c>
      <c r="P11" s="24">
        <f t="shared" si="1"/>
        <v>20.110121033583809</v>
      </c>
      <c r="T11" s="21" t="str">
        <f>+IF($B$3="esp","España","Spain")</f>
        <v>Spain</v>
      </c>
      <c r="V11" s="22">
        <f>+[1]RADIO!F11</f>
        <v>43.114360330000004</v>
      </c>
      <c r="W11" s="23">
        <f>+[1]RADIO!G11</f>
        <v>39.943437250000002</v>
      </c>
      <c r="X11" s="24">
        <f t="shared" si="2"/>
        <v>7.938533331905484</v>
      </c>
      <c r="AB11" s="25" t="str">
        <f>+IF($B$3="esp","Ingresos de Explotación PRENSA","PRESS Operating Revenues")</f>
        <v>PRESS Operating Revenues</v>
      </c>
      <c r="AC11" s="13"/>
      <c r="AD11" s="14">
        <f>+[1]NOTICIAS!F11</f>
        <v>43.842965088913296</v>
      </c>
      <c r="AE11" s="15">
        <f>+[1]NOTICIAS!G11</f>
        <v>45.650881196626997</v>
      </c>
      <c r="AF11" s="16">
        <f t="shared" si="3"/>
        <v>-3.960309330999908</v>
      </c>
      <c r="AJ11" s="26" t="str">
        <f>+IF($B$3="esp","Publicidad","Advertising")</f>
        <v>Advertising</v>
      </c>
      <c r="AL11" s="27">
        <f>+'[1]MEDIA CAPITAL'!F11</f>
        <v>25.24974164</v>
      </c>
      <c r="AM11" s="28">
        <f>+'[1]MEDIA CAPITAL'!G11</f>
        <v>24.278089639999997</v>
      </c>
      <c r="AN11" s="29">
        <f>IF(AM11=0,"---",IF(OR(ABS((AL11-AM11)/ABS(AM11))&gt;2,(AL11*AM11)&lt;0),"---",IF(AM11="0","---",((AL11-AM11)/ABS(AM11))*100)))</f>
        <v>4.0021765073275448</v>
      </c>
      <c r="AO11" s="30"/>
    </row>
    <row r="12" spans="1:42" ht="15" customHeight="1">
      <c r="D12" s="21" t="str">
        <f>+IF($B$3="esp","Internacional","International")</f>
        <v>International</v>
      </c>
      <c r="F12" s="22">
        <f>+[1]GRUPO!F12</f>
        <v>224.65565185949299</v>
      </c>
      <c r="G12" s="23">
        <f>+[1]GRUPO!G12</f>
        <v>232.8576037958758</v>
      </c>
      <c r="H12" s="24">
        <f t="shared" si="0"/>
        <v>-3.5223036751562069</v>
      </c>
      <c r="L12" s="21" t="str">
        <f>+IF($B$3="esp","Internacional","International")</f>
        <v>International</v>
      </c>
      <c r="N12" s="22">
        <f>+[1]SANTILLANA!F12</f>
        <v>166.43150342266364</v>
      </c>
      <c r="O12" s="23">
        <f>+[1]SANTILLANA!G12</f>
        <v>171.67904009619019</v>
      </c>
      <c r="P12" s="24">
        <f t="shared" si="1"/>
        <v>-3.0565971656099702</v>
      </c>
      <c r="T12" s="21" t="str">
        <f>+IF($B$3="esp","Latam","Latam")</f>
        <v>Latam</v>
      </c>
      <c r="V12" s="22">
        <f>+[1]RADIO!F12</f>
        <v>17.892667870062301</v>
      </c>
      <c r="W12" s="23">
        <f>+[1]RADIO!G12</f>
        <v>19.4060143532772</v>
      </c>
      <c r="X12" s="24">
        <f t="shared" si="2"/>
        <v>-7.798337441502162</v>
      </c>
      <c r="AB12" s="26" t="str">
        <f>+IF($B$3="esp","Publicidad","Advertising")</f>
        <v>Advertising</v>
      </c>
      <c r="AC12" s="30"/>
      <c r="AD12" s="27">
        <f>+[1]NOTICIAS!F12</f>
        <v>23.582915021489601</v>
      </c>
      <c r="AE12" s="28">
        <f>+[1]NOTICIAS!G12</f>
        <v>21.3949301040848</v>
      </c>
      <c r="AF12" s="29">
        <f t="shared" si="3"/>
        <v>10.226651392457986</v>
      </c>
      <c r="AJ12" s="26" t="str">
        <f>+IF($B$3="esp","Otros","Others")</f>
        <v>Others</v>
      </c>
      <c r="AL12" s="27">
        <f>+'[1]MEDIA CAPITAL'!F12</f>
        <v>14.057461900000003</v>
      </c>
      <c r="AM12" s="28">
        <f>+'[1]MEDIA CAPITAL'!G12</f>
        <v>14.448895340000007</v>
      </c>
      <c r="AN12" s="29">
        <f>IF(AM12=0,"---",IF(OR(ABS((AL12-AM12)/ABS(AM12))&gt;2,(AL12*AM12)&lt;0),"---",IF(AM12="0","---",((AL12-AM12)/ABS(AM12))*100)))</f>
        <v>-2.7090890396054559</v>
      </c>
      <c r="AO12" s="30"/>
    </row>
    <row r="13" spans="1:42" ht="15" customHeight="1">
      <c r="D13" s="31" t="str">
        <f>+IF($B$3="esp","Latam","Latam")</f>
        <v>Latam</v>
      </c>
      <c r="F13" s="22">
        <f>+[1]GRUPO!F13</f>
        <v>185.14863776949298</v>
      </c>
      <c r="G13" s="23">
        <f>+[1]GRUPO!G13</f>
        <v>194.40121281587579</v>
      </c>
      <c r="H13" s="24">
        <f t="shared" si="0"/>
        <v>-4.7595253714524173</v>
      </c>
      <c r="L13" s="31" t="str">
        <f>+IF($B$3="esp","Latam","Latam")</f>
        <v>Latam</v>
      </c>
      <c r="N13" s="22">
        <f>+[1]SANTILLANA!F13</f>
        <v>166.23166442266364</v>
      </c>
      <c r="O13" s="23">
        <f>+[1]SANTILLANA!G13</f>
        <v>171.6496340961902</v>
      </c>
      <c r="P13" s="24">
        <f t="shared" si="1"/>
        <v>-3.1564120145402685</v>
      </c>
      <c r="T13" s="21" t="str">
        <f>+IF($B$3="esp","Música","Music")</f>
        <v>Music</v>
      </c>
      <c r="V13" s="22">
        <f>+[1]RADIO!F13</f>
        <v>5.8638399999999995E-3</v>
      </c>
      <c r="W13" s="23">
        <f>+[1]RADIO!G13</f>
        <v>1.3483045690095801</v>
      </c>
      <c r="X13" s="24">
        <f t="shared" si="2"/>
        <v>-99.5650952956195</v>
      </c>
      <c r="AB13" s="26" t="str">
        <f>+IF($B$3="esp","Circulación","Circulation")</f>
        <v>Circulation</v>
      </c>
      <c r="AC13" s="30"/>
      <c r="AD13" s="27">
        <f>+[1]NOTICIAS!F13</f>
        <v>15.219825806268899</v>
      </c>
      <c r="AE13" s="28">
        <f>+[1]NOTICIAS!G13</f>
        <v>17.359048195345402</v>
      </c>
      <c r="AF13" s="29">
        <f t="shared" si="3"/>
        <v>-12.323385274372974</v>
      </c>
      <c r="AJ13" s="13" t="str">
        <f>+IF($B$3="esp","EBITDA Ajustado","Adjusted EBITDA")</f>
        <v>Adjusted EBITDA</v>
      </c>
      <c r="AL13" s="14">
        <f>+'[1]MEDIA CAPITAL'!F13</f>
        <v>1.0032815278213201</v>
      </c>
      <c r="AM13" s="15">
        <f>+'[1]MEDIA CAPITAL'!G13</f>
        <v>5.788990502718721</v>
      </c>
      <c r="AN13" s="16">
        <f>IF(AM13=0,"---",IF(OR(ABS((AL13-AM13)/ABS(AM13))&gt;2,(AL13*AM13)&lt;0),"---",IF(AM13="0","---",((AL13-AM13)/ABS(AM13))*100)))</f>
        <v>-82.669145382944691</v>
      </c>
      <c r="AO13" s="13"/>
    </row>
    <row r="14" spans="1:42" ht="15" customHeight="1">
      <c r="D14" s="31" t="str">
        <f>+IF($B$3="esp","Portugal","Portugal")</f>
        <v>Portugal</v>
      </c>
      <c r="F14" s="22">
        <f>+[1]GRUPO!F14</f>
        <v>39.507014090000006</v>
      </c>
      <c r="G14" s="23">
        <f>+[1]GRUPO!G14</f>
        <v>38.456390980000002</v>
      </c>
      <c r="H14" s="24">
        <f t="shared" si="0"/>
        <v>2.7319857199974922</v>
      </c>
      <c r="L14" s="31" t="str">
        <f>+IF($B$3="esp","Portugal","Portugal")</f>
        <v>Portugal</v>
      </c>
      <c r="N14" s="22">
        <f>+[1]SANTILLANA!F14</f>
        <v>0.19983899999999999</v>
      </c>
      <c r="O14" s="23">
        <f>+[1]SANTILLANA!G14</f>
        <v>2.9405999999999998E-2</v>
      </c>
      <c r="P14" s="24" t="str">
        <f t="shared" si="1"/>
        <v>---</v>
      </c>
      <c r="T14" s="21" t="str">
        <f>+IF($B$3="esp","Ajustes y Otros","Adjustments &amp; others")</f>
        <v>Adjustments &amp; others</v>
      </c>
      <c r="V14" s="22">
        <f>+[1]RADIO!F14</f>
        <v>-0.95203049139980322</v>
      </c>
      <c r="W14" s="23">
        <f>+[1]RADIO!G14</f>
        <v>-1.8654775485075796</v>
      </c>
      <c r="X14" s="24">
        <f t="shared" si="2"/>
        <v>48.965856374875848</v>
      </c>
      <c r="AB14" s="26" t="str">
        <f>+IF($B$3="esp","Promociones y Otros","Add-ons and Others")</f>
        <v>Add-ons and Others</v>
      </c>
      <c r="AC14" s="30"/>
      <c r="AD14" s="27">
        <f>+[1]NOTICIAS!F14</f>
        <v>5.0402242611547958</v>
      </c>
      <c r="AE14" s="28">
        <f>+[1]NOTICIAS!G14</f>
        <v>6.8969028971967958</v>
      </c>
      <c r="AF14" s="29">
        <f t="shared" si="3"/>
        <v>-26.920469429787619</v>
      </c>
      <c r="AJ14" s="26" t="str">
        <f>+IF($B$3="esp","Margen EBITDA Ajustado","Adjusted EBITDA Margin")</f>
        <v>Adjusted EBITDA Margin</v>
      </c>
      <c r="AL14" s="32">
        <f>+'[1]MEDIA CAPITAL'!F14</f>
        <v>2.5524113583922484E-2</v>
      </c>
      <c r="AM14" s="33">
        <f>+'[1]MEDIA CAPITAL'!G14</f>
        <v>0.14948208608824989</v>
      </c>
      <c r="AN14" s="34"/>
      <c r="AO14" s="30"/>
    </row>
    <row r="15" spans="1:42" s="13" customFormat="1" ht="15" customHeight="1" thickBot="1">
      <c r="D15" s="13" t="str">
        <f>+IF($B$3="esp","EBITDA","EBITDA")</f>
        <v>EBITDA</v>
      </c>
      <c r="F15" s="14">
        <f>+[1]GRUPO!F15</f>
        <v>70.009874638956688</v>
      </c>
      <c r="G15" s="15">
        <f>+[1]GRUPO!G15</f>
        <v>71.589075413446963</v>
      </c>
      <c r="H15" s="16">
        <f t="shared" si="0"/>
        <v>-2.2059242494332381</v>
      </c>
      <c r="L15" s="13" t="str">
        <f>+IF($B$3="esp","EBITDA Comparable","Comparable EBITDA")</f>
        <v>Comparable EBITDA</v>
      </c>
      <c r="N15" s="14">
        <f>+[1]SANTILLANA!F15</f>
        <v>66.246471194497801</v>
      </c>
      <c r="O15" s="15">
        <f>+[1]SANTILLANA!G15</f>
        <v>68.247919185280324</v>
      </c>
      <c r="P15" s="16">
        <f t="shared" si="1"/>
        <v>-2.932613938527513</v>
      </c>
      <c r="T15" s="13" t="str">
        <f>+IF($B$3="esp","Ingresos de Explotación con MX","Operating Revenues w/MX")</f>
        <v>Operating Revenues w/MX</v>
      </c>
      <c r="V15" s="14">
        <f>+[1]RADIO!F15</f>
        <v>63.635288209815641</v>
      </c>
      <c r="W15" s="15">
        <f>+[1]RADIO!G15</f>
        <v>63.342943723708878</v>
      </c>
      <c r="X15" s="16">
        <f t="shared" si="2"/>
        <v>0.46152652358867385</v>
      </c>
      <c r="AB15" s="25" t="str">
        <f>+IF($B$3="esp","PBS y Prisa Tecnología","PBS &amp; IT")</f>
        <v>PBS &amp; IT</v>
      </c>
      <c r="AD15" s="14">
        <f>+[1]NOTICIAS!F15</f>
        <v>5.2145747986919062</v>
      </c>
      <c r="AE15" s="15">
        <f>+[1]NOTICIAS!G15</f>
        <v>5.4704458519327019</v>
      </c>
      <c r="AF15" s="16">
        <f t="shared" si="3"/>
        <v>-4.6773345384708778</v>
      </c>
      <c r="AJ15" s="13" t="str">
        <f>+IF($B$3="esp","EBIT Ajustado","Adjusted EBIT")</f>
        <v>Adjusted EBIT</v>
      </c>
      <c r="AL15" s="14">
        <f>+'[1]MEDIA CAPITAL'!F15</f>
        <v>-1.1566185021786701</v>
      </c>
      <c r="AM15" s="15">
        <f>+'[1]MEDIA CAPITAL'!G15</f>
        <v>3.6665477863869684</v>
      </c>
      <c r="AN15" s="16" t="str">
        <f>IF(AM15=0,"---",IF(OR(ABS((AL15-AM15)/ABS(AM15))&gt;2,(AL15*AM15)&lt;0),"---",IF(AM15="0","---",((AL15-AM15)/ABS(AM15))*100)))</f>
        <v>---</v>
      </c>
    </row>
    <row r="16" spans="1:42" ht="15" customHeight="1" thickTop="1" thickBot="1">
      <c r="D16" s="21" t="str">
        <f>+IF($B$3="esp","España","Spain")</f>
        <v>Spain</v>
      </c>
      <c r="F16" s="22">
        <f>+[1]GRUPO!F16</f>
        <v>-12.315325830000049</v>
      </c>
      <c r="G16" s="23">
        <f>+[1]GRUPO!G16</f>
        <v>-18.135939762884846</v>
      </c>
      <c r="H16" s="24">
        <f t="shared" si="0"/>
        <v>32.094360749899863</v>
      </c>
      <c r="L16" s="21" t="str">
        <f>+IF($B$3="esp","España","Spain")</f>
        <v>Spain</v>
      </c>
      <c r="N16" s="22">
        <f>+[1]SANTILLANA!F16</f>
        <v>-14.940340609999936</v>
      </c>
      <c r="O16" s="23">
        <f>+[1]SANTILLANA!G16</f>
        <v>-14.144310579999697</v>
      </c>
      <c r="P16" s="24">
        <f t="shared" si="1"/>
        <v>-5.6279167902735336</v>
      </c>
      <c r="T16" s="13" t="str">
        <f>+IF($B$3="esp","EBITDA Comparable","Comparable EBITDA")</f>
        <v>Comparable EBITDA</v>
      </c>
      <c r="U16" s="13"/>
      <c r="V16" s="14">
        <f>+[1]RADIO!F16</f>
        <v>8.0448780192073901</v>
      </c>
      <c r="W16" s="15">
        <f>+[1]RADIO!G16</f>
        <v>5.7235744429131703</v>
      </c>
      <c r="X16" s="16">
        <f t="shared" si="2"/>
        <v>40.556886250836087</v>
      </c>
      <c r="Y16" s="13"/>
      <c r="AB16" s="35" t="str">
        <f>+IF($B$3="esp","EBITDA Comparable Noticias Gestión","Total Press Comparable EBITDA")</f>
        <v>Total Press Comparable EBITDA</v>
      </c>
      <c r="AC16" s="36"/>
      <c r="AD16" s="37">
        <f>+[1]NOTICIAS!F16</f>
        <v>-3.0717104354629701</v>
      </c>
      <c r="AE16" s="38">
        <f>+[1]NOTICIAS!G16</f>
        <v>-3.0764390396213002</v>
      </c>
      <c r="AF16" s="39">
        <f t="shared" si="3"/>
        <v>0.15370381461913096</v>
      </c>
      <c r="AJ16" s="40" t="str">
        <f>+IF($B$3="esp","Margen EBIT Ajustado","Adjusted EBIT Margin")</f>
        <v>Adjusted EBIT Margin</v>
      </c>
      <c r="AL16" s="41">
        <f>+'[1]MEDIA CAPITAL'!F16</f>
        <v>-2.9425102729622215E-2</v>
      </c>
      <c r="AM16" s="42">
        <f>+'[1]MEDIA CAPITAL'!G16</f>
        <v>9.4676820007560739E-2</v>
      </c>
      <c r="AN16" s="43"/>
      <c r="AO16" s="30"/>
    </row>
    <row r="17" spans="4:41" ht="15" customHeight="1" thickTop="1">
      <c r="D17" s="21" t="str">
        <f>+IF($B$3="esp","Internacional","International")</f>
        <v>International</v>
      </c>
      <c r="F17" s="22">
        <f>+[1]GRUPO!F17</f>
        <v>82.325200468956737</v>
      </c>
      <c r="G17" s="23">
        <f>+[1]GRUPO!G17</f>
        <v>89.725015176331809</v>
      </c>
      <c r="H17" s="24">
        <f t="shared" si="0"/>
        <v>-8.2472147737535728</v>
      </c>
      <c r="L17" s="21" t="str">
        <f>+IF($B$3="esp","Internacional","International")</f>
        <v>International</v>
      </c>
      <c r="N17" s="22">
        <f>+[1]SANTILLANA!F17</f>
        <v>81.186811804497736</v>
      </c>
      <c r="O17" s="23">
        <f>+[1]SANTILLANA!G17</f>
        <v>82.392229765280021</v>
      </c>
      <c r="P17" s="24">
        <f t="shared" si="1"/>
        <v>-1.463023836369393</v>
      </c>
      <c r="T17" s="21" t="str">
        <f>+IF($B$3="esp","España","Spain")</f>
        <v>Spain</v>
      </c>
      <c r="V17" s="22">
        <f>+[1]RADIO!F17</f>
        <v>6.2536923999999701</v>
      </c>
      <c r="W17" s="23">
        <f>+[1]RADIO!G17</f>
        <v>2.3710670999999302</v>
      </c>
      <c r="X17" s="24">
        <f t="shared" si="2"/>
        <v>163.75012330946495</v>
      </c>
      <c r="AB17" s="25" t="str">
        <f>+IF($B$3="esp","EBITDA Comparable","PRESS Comparable EBITDA")</f>
        <v>PRESS Comparable EBITDA</v>
      </c>
      <c r="AC17" s="36"/>
      <c r="AD17" s="44">
        <f>+[1]NOTICIAS!F17</f>
        <v>-2.0838585457790901</v>
      </c>
      <c r="AE17" s="45">
        <f>+[1]NOTICIAS!G17</f>
        <v>-1.3178405407994696</v>
      </c>
      <c r="AF17" s="46">
        <f t="shared" si="3"/>
        <v>-58.126759745523906</v>
      </c>
    </row>
    <row r="18" spans="4:41" ht="15" customHeight="1">
      <c r="D18" s="31" t="str">
        <f>+IF($B$3="esp","Latam","Latam")</f>
        <v>Latam</v>
      </c>
      <c r="F18" s="22">
        <f>+[1]GRUPO!F18</f>
        <v>81.368411021135429</v>
      </c>
      <c r="G18" s="23">
        <f>+[1]GRUPO!G18</f>
        <v>85.014476653613087</v>
      </c>
      <c r="H18" s="24">
        <f t="shared" si="0"/>
        <v>-4.2887585455984825</v>
      </c>
      <c r="L18" s="31" t="str">
        <f>+IF($B$3="esp","Latam","Latam")</f>
        <v>Latam</v>
      </c>
      <c r="N18" s="22">
        <f>+[1]SANTILLANA!F18</f>
        <v>81.254518804497735</v>
      </c>
      <c r="O18" s="23">
        <f>+[1]SANTILLANA!G18</f>
        <v>83.174172765280019</v>
      </c>
      <c r="P18" s="24">
        <f t="shared" si="1"/>
        <v>-2.3079928503762877</v>
      </c>
      <c r="T18" s="21" t="str">
        <f>+IF($B$3="esp","Latam","Latam")</f>
        <v>Latam</v>
      </c>
      <c r="V18" s="22">
        <f>+[1]RADIO!F18</f>
        <v>1.8312196592074499</v>
      </c>
      <c r="W18" s="23">
        <f>+[1]RADIO!G18</f>
        <v>3.6358039458599198</v>
      </c>
      <c r="X18" s="24">
        <f t="shared" si="2"/>
        <v>-49.63370724946116</v>
      </c>
      <c r="AB18" s="26" t="str">
        <f>+IF($B$3="esp","Margen EBITDA ","EBITDA Margin")</f>
        <v>EBITDA Margin</v>
      </c>
      <c r="AC18" s="30"/>
      <c r="AD18" s="32">
        <f>+[1]NOTICIAS!F18</f>
        <v>-4.7530055085303564E-2</v>
      </c>
      <c r="AE18" s="33">
        <f>+[1]NOTICIAS!G18</f>
        <v>-2.8867800713928842E-2</v>
      </c>
      <c r="AF18" s="34"/>
      <c r="AJ18" s="47"/>
      <c r="AK18" s="47"/>
      <c r="AL18" s="47"/>
      <c r="AM18" s="47"/>
      <c r="AN18" s="47"/>
    </row>
    <row r="19" spans="4:41" ht="15" customHeight="1" thickBot="1">
      <c r="D19" s="31" t="str">
        <f>+IF($B$3="esp","Portugal","Portugal")</f>
        <v>Portugal</v>
      </c>
      <c r="F19" s="22">
        <f>+[1]GRUPO!F19</f>
        <v>0.95678944782131992</v>
      </c>
      <c r="G19" s="23">
        <f>+[1]GRUPO!G19</f>
        <v>4.7105385227187195</v>
      </c>
      <c r="H19" s="24">
        <f t="shared" si="0"/>
        <v>-79.68832134146092</v>
      </c>
      <c r="L19" s="31" t="str">
        <f>+IF($B$3="esp","Portugal","Portugal")</f>
        <v>Portugal</v>
      </c>
      <c r="N19" s="22">
        <f>+[1]SANTILLANA!F19</f>
        <v>-6.7706999999999989E-2</v>
      </c>
      <c r="O19" s="23">
        <f>+[1]SANTILLANA!G19</f>
        <v>-0.78194300000000005</v>
      </c>
      <c r="P19" s="24">
        <f t="shared" si="1"/>
        <v>91.341184715509954</v>
      </c>
      <c r="T19" s="21" t="str">
        <f>+IF($B$3="esp","Música","Music")</f>
        <v>Music</v>
      </c>
      <c r="V19" s="22">
        <f>+[1]RADIO!F19</f>
        <v>-8.4370399999999998E-3</v>
      </c>
      <c r="W19" s="23">
        <f>+[1]RADIO!G19</f>
        <v>-0.28329660294665099</v>
      </c>
      <c r="X19" s="24">
        <f t="shared" si="2"/>
        <v>97.021835097122988</v>
      </c>
      <c r="AB19" s="25" t="str">
        <f>+IF($B$3="esp","PBS y Prisa Tecnología","PBS &amp; IT")</f>
        <v>PBS &amp; IT</v>
      </c>
      <c r="AC19" s="13"/>
      <c r="AD19" s="14">
        <f>+[1]NOTICIAS!F19</f>
        <v>-0.98785188968387994</v>
      </c>
      <c r="AE19" s="15">
        <f>+[1]NOTICIAS!G19</f>
        <v>-1.7585984988218306</v>
      </c>
      <c r="AF19" s="16">
        <f>IF(AE19=0,"---",IF(OR(ABS((AD19-AE19)/ABS(AE19))&gt;2,(AD19*AE19)&lt;0),"---",IF(AE19="0","---",((AD19-AE19)/ABS(AE19))*100)))</f>
        <v>43.827320997618884</v>
      </c>
      <c r="AJ19" s="48"/>
      <c r="AK19" s="47"/>
      <c r="AL19" s="49"/>
      <c r="AM19" s="49"/>
      <c r="AN19" s="49"/>
    </row>
    <row r="20" spans="4:41" s="30" customFormat="1" ht="15" customHeight="1" thickTop="1" thickBot="1">
      <c r="D20" s="26" t="str">
        <f>+IF($B$3="esp","Margen EBITDA","EBITDA Margin")</f>
        <v>EBITDA Margin</v>
      </c>
      <c r="F20" s="32">
        <f>+[1]GRUPO!F20</f>
        <v>0.22416199369742928</v>
      </c>
      <c r="G20" s="33">
        <f>+[1]GRUPO!G20</f>
        <v>0.22301883959579277</v>
      </c>
      <c r="H20" s="34"/>
      <c r="L20" s="26" t="str">
        <f>+IF($B$3="esp","Margen EBITDA Ajustado","Adjusted EBITDA Margin")</f>
        <v>Adjusted EBITDA Margin</v>
      </c>
      <c r="N20" s="32">
        <f>+[1]SANTILLANA!F20</f>
        <v>0.39218487817140718</v>
      </c>
      <c r="O20" s="33">
        <f>+[1]SANTILLANA!G20</f>
        <v>0.39279848799442924</v>
      </c>
      <c r="P20" s="34"/>
      <c r="T20" s="21" t="str">
        <f>+IF($B$3="esp","Ajustes y Otros","Adjustments &amp; others")</f>
        <v>Adjustments &amp; others</v>
      </c>
      <c r="U20" s="1"/>
      <c r="V20" s="22">
        <f>+[1]RADIO!F20</f>
        <v>-3.1597000000029858E-2</v>
      </c>
      <c r="W20" s="23">
        <f>+[1]RADIO!G20</f>
        <v>-2.8699265186560297E-14</v>
      </c>
      <c r="X20" s="24" t="str">
        <f t="shared" si="2"/>
        <v>---</v>
      </c>
      <c r="Y20" s="1"/>
      <c r="AB20" s="35" t="str">
        <f>+IF($B$3="esp","EBIT Comparable Noticias Gestión","Total Press Comparable EBIT")</f>
        <v>Total Press Comparable EBIT</v>
      </c>
      <c r="AC20" s="36"/>
      <c r="AD20" s="37">
        <f>+[1]NOTICIAS!F20</f>
        <v>-5.4188254213650096</v>
      </c>
      <c r="AE20" s="38">
        <f>+[1]NOTICIAS!G20</f>
        <v>-5.1976105348063077</v>
      </c>
      <c r="AF20" s="39">
        <f>IF(AE20=0,"---",IF(OR(ABS((AD20-AE20)/ABS(AE20))&gt;2,(AD20*AE20)&lt;0),"---",IF(AE20="0","---",((AD20-AE20)/ABS(AE20))*100)))</f>
        <v>-4.2560881596902007</v>
      </c>
      <c r="AJ20" s="50"/>
      <c r="AK20" s="51"/>
      <c r="AL20" s="47"/>
      <c r="AM20" s="47"/>
      <c r="AN20" s="47"/>
      <c r="AO20" s="1"/>
    </row>
    <row r="21" spans="4:41" s="13" customFormat="1" ht="15" customHeight="1" thickTop="1">
      <c r="D21" s="13" t="str">
        <f>+IF($B$3="esp","EBIT","EBIT")</f>
        <v>EBIT</v>
      </c>
      <c r="F21" s="14">
        <f>+[1]GRUPO!F21</f>
        <v>45.972254238616053</v>
      </c>
      <c r="G21" s="15">
        <f>+[1]GRUPO!G21</f>
        <v>47.249832680256766</v>
      </c>
      <c r="H21" s="16">
        <f>IF(G21=0,"---",IF(OR(ABS((F21-G21)/ABS(G21))&gt;2,(F21*G21)&lt;0),"---",IF(G21="0","---",((F21-G21)/ABS(G21))*100)))</f>
        <v>-2.7038792926234989</v>
      </c>
      <c r="L21" s="13" t="str">
        <f>+IF($B$3="esp","EBIT Comparable","Comparable EBIT")</f>
        <v>Comparable EBIT</v>
      </c>
      <c r="N21" s="14">
        <f>+[1]SANTILLANA!F21</f>
        <v>51.493144670333301</v>
      </c>
      <c r="O21" s="15">
        <f>+[1]SANTILLANA!G21</f>
        <v>52.919524916286576</v>
      </c>
      <c r="P21" s="16">
        <f>IF(O21=0,"---",IF(OR(ABS((N21-O21)/ABS(O21))&gt;2,(N21*O21)&lt;0),"---",IF(O21="0","---",((N21-O21)/ABS(O21))*100)))</f>
        <v>-2.6953761361419382</v>
      </c>
      <c r="T21" s="26" t="str">
        <f>+IF($B$3="esp","Margen EBITDA Ajustado","Adjusted EBITDA Margin")</f>
        <v>Adjusted EBITDA Margin</v>
      </c>
      <c r="U21" s="30"/>
      <c r="V21" s="32">
        <f>+[1]RADIO!F21</f>
        <v>0.13394543154678643</v>
      </c>
      <c r="W21" s="33">
        <f>+[1]RADIO!G21</f>
        <v>9.7286295496292058E-2</v>
      </c>
      <c r="X21" s="34"/>
      <c r="Y21" s="30"/>
      <c r="AB21" s="25" t="str">
        <f>+IF($B$3="esp","EBIT Comparable","PRESS Comparable EBIT")</f>
        <v>PRESS Comparable EBIT</v>
      </c>
      <c r="AC21" s="36"/>
      <c r="AD21" s="44">
        <f>+[1]NOTICIAS!F21</f>
        <v>-3.9996465608834599</v>
      </c>
      <c r="AE21" s="45">
        <f>+[1]NOTICIAS!G21</f>
        <v>-3.1343951022529088</v>
      </c>
      <c r="AF21" s="46">
        <f>IF(AE21=0,"---",IF(OR(ABS((AD21-AE21)/ABS(AE21))&gt;2,(AD21*AE21)&lt;0),"---",IF(AE21="0","---",((AD21-AE21)/ABS(AE21))*100)))</f>
        <v>-27.605053938753105</v>
      </c>
      <c r="AJ21" s="52"/>
      <c r="AK21" s="52"/>
      <c r="AL21" s="45"/>
      <c r="AM21" s="45"/>
      <c r="AN21" s="46"/>
    </row>
    <row r="22" spans="4:41" ht="15" customHeight="1">
      <c r="D22" s="21" t="str">
        <f>+IF($B$3="esp","España","Spain")</f>
        <v>Spain</v>
      </c>
      <c r="F22" s="22">
        <f>+[1]GRUPO!F22</f>
        <v>-20.031565910000275</v>
      </c>
      <c r="G22" s="23">
        <f>+[1]GRUPO!G22</f>
        <v>-25.773068587018038</v>
      </c>
      <c r="H22" s="24">
        <f>IF(G22=0,"---",IF(OR(ABS((F22-G22)/ABS(G22))&gt;2,(F22*G22)&lt;0),"---",IF(G22="0","---",((F22-G22)/ABS(G22))*100)))</f>
        <v>22.27714040969795</v>
      </c>
      <c r="L22" s="21" t="str">
        <f>+IF($B$3="esp","España","Spain")</f>
        <v>Spain</v>
      </c>
      <c r="N22" s="22">
        <f>+[1]SANTILLANA!F22</f>
        <v>-17.086284010000135</v>
      </c>
      <c r="O22" s="23">
        <f>+[1]SANTILLANA!G22</f>
        <v>-16.318326239999664</v>
      </c>
      <c r="P22" s="24">
        <f>IF(O22=0,"---",IF(OR(ABS((N22-O22)/ABS(O22))&gt;2,(N22*O22)&lt;0),"---",IF(O22="0","---",((N22-O22)/ABS(O22))*100)))</f>
        <v>-4.7061062434089882</v>
      </c>
      <c r="T22" s="53" t="str">
        <f>+IF($B$3="esp","EBITDA con MX y CR","EBITDA w/MX&amp;CR")</f>
        <v>EBITDA w/MX&amp;CR</v>
      </c>
      <c r="U22" s="13"/>
      <c r="V22" s="54">
        <f>+[1]RADIO!F22</f>
        <v>8.8386265334238399</v>
      </c>
      <c r="W22" s="55">
        <f>+[1]RADIO!G22</f>
        <v>7.4003466084320442</v>
      </c>
      <c r="X22" s="56">
        <f t="shared" ref="X22:X27" si="4">IF(W22=0,"---",IF(OR(ABS((V22-W22)/ABS(W22))&gt;2,(V22*W22)&lt;0),"---",IF(W22="0","---",((V22-W22)/ABS(W22))*100)))</f>
        <v>19.435304872788013</v>
      </c>
      <c r="Y22" s="13"/>
      <c r="AB22" s="57" t="str">
        <f>+IF($B$3="esp","Margen EBIT ","EBIT Margin")</f>
        <v>EBIT Margin</v>
      </c>
      <c r="AC22" s="30"/>
      <c r="AD22" s="58">
        <f>+[1]NOTICIAS!F22</f>
        <v>-9.1226643836068072E-2</v>
      </c>
      <c r="AE22" s="59">
        <f>+[1]NOTICIAS!G22</f>
        <v>-6.8660122654642192E-2</v>
      </c>
      <c r="AF22" s="60"/>
      <c r="AJ22" s="57"/>
      <c r="AK22" s="47"/>
      <c r="AL22" s="61"/>
      <c r="AM22" s="61"/>
      <c r="AN22" s="62"/>
      <c r="AO22" s="30"/>
    </row>
    <row r="23" spans="4:41" ht="15" customHeight="1">
      <c r="D23" s="21" t="str">
        <f>+IF($B$3="esp","Internacional","International")</f>
        <v>International</v>
      </c>
      <c r="F23" s="22">
        <f>+[1]GRUPO!F23</f>
        <v>66.003820148616327</v>
      </c>
      <c r="G23" s="23">
        <f>+[1]GRUPO!G23</f>
        <v>73.022901267274804</v>
      </c>
      <c r="H23" s="24">
        <f>IF(G23=0,"---",IF(OR(ABS((F23-G23)/ABS(G23))&gt;2,(F23*G23)&lt;0),"---",IF(G23="0","---",((F23-G23)/ABS(G23))*100)))</f>
        <v>-9.6121641250154983</v>
      </c>
      <c r="L23" s="21" t="str">
        <f>+IF($B$3="esp","Internacional","International")</f>
        <v>International</v>
      </c>
      <c r="N23" s="22">
        <f>+[1]SANTILLANA!F23</f>
        <v>68.579428680333436</v>
      </c>
      <c r="O23" s="23">
        <f>+[1]SANTILLANA!G23</f>
        <v>69.23785115628624</v>
      </c>
      <c r="P23" s="24">
        <f>IF(O23=0,"---",IF(OR(ABS((N23-O23)/ABS(O23))&gt;2,(N23*O23)&lt;0),"---",IF(O23="0","---",((N23-O23)/ABS(O23))*100)))</f>
        <v>-0.95095740979394128</v>
      </c>
      <c r="T23" s="13" t="str">
        <f>+IF($B$3="esp","EBIT Comparable","Comparable EBIT")</f>
        <v>Comparable EBIT</v>
      </c>
      <c r="U23" s="13"/>
      <c r="V23" s="14">
        <f>+[1]RADIO!F23</f>
        <v>3.6023070889331898</v>
      </c>
      <c r="W23" s="15">
        <f>+[1]RADIO!G23</f>
        <v>1.3164613418918485</v>
      </c>
      <c r="X23" s="16">
        <f t="shared" si="4"/>
        <v>173.63561498558087</v>
      </c>
      <c r="Y23" s="13"/>
      <c r="AB23" s="63" t="str">
        <f>+IF($B$3="esp","PBS y Prisa Tecnología","PBS &amp; IT")</f>
        <v>PBS &amp; IT</v>
      </c>
      <c r="AC23" s="13"/>
      <c r="AD23" s="54">
        <f>+[1]NOTICIAS!F23</f>
        <v>-1.4191788604815496</v>
      </c>
      <c r="AE23" s="55">
        <f>+[1]NOTICIAS!G23</f>
        <v>-2.0632154325533989</v>
      </c>
      <c r="AF23" s="56">
        <f>IF(AE23=0,"---",IF(OR(ABS((AD23-AE23)/ABS(AE23))&gt;2,(AD23*AE23)&lt;0),"---",IF(AE23="0","---",((AD23-AE23)/ABS(AE23))*100)))</f>
        <v>31.215187803960976</v>
      </c>
      <c r="AJ23" s="57"/>
      <c r="AK23" s="47"/>
      <c r="AL23" s="61"/>
      <c r="AM23" s="61"/>
      <c r="AN23" s="62"/>
      <c r="AO23" s="30"/>
    </row>
    <row r="24" spans="4:41" ht="15" customHeight="1">
      <c r="D24" s="31" t="str">
        <f>+IF($B$3="esp","Latam","Latam")</f>
        <v>Latam</v>
      </c>
      <c r="F24" s="22">
        <f>+[1]GRUPO!F24</f>
        <v>67.207019130795004</v>
      </c>
      <c r="G24" s="23">
        <f>+[1]GRUPO!G24</f>
        <v>70.431046410887831</v>
      </c>
      <c r="H24" s="24">
        <f>IF(G24=0,"---",IF(OR(ABS((F24-G24)/ABS(G24))&gt;2,(F24*G24)&lt;0),"---",IF(G24="0","---",((F24-G24)/ABS(G24))*100)))</f>
        <v>-4.5775654975849251</v>
      </c>
      <c r="L24" s="31" t="str">
        <f>+IF($B$3="esp","Latam","Latam")</f>
        <v>Latam</v>
      </c>
      <c r="N24" s="22">
        <f>+[1]SANTILLANA!F24</f>
        <v>68.651650680333432</v>
      </c>
      <c r="O24" s="23">
        <f>+[1]SANTILLANA!G24</f>
        <v>70.024091156286246</v>
      </c>
      <c r="P24" s="24">
        <f>IF(O24=0,"---",IF(OR(ABS((N24-O24)/ABS(O24))&gt;2,(N24*O24)&lt;0),"---",IF(O24="0","---",((N24-O24)/ABS(O24))*100)))</f>
        <v>-1.9599547145705534</v>
      </c>
      <c r="T24" s="21" t="str">
        <f>+IF($B$3="esp","España","Spain")</f>
        <v>Spain</v>
      </c>
      <c r="V24" s="22">
        <f>+[1]RADIO!F24</f>
        <v>3.3364080799999898</v>
      </c>
      <c r="W24" s="23">
        <f>+[1]RADIO!G24</f>
        <v>-0.64794318000002016</v>
      </c>
      <c r="X24" s="24" t="str">
        <f t="shared" si="4"/>
        <v>---</v>
      </c>
      <c r="AJ24" s="52"/>
      <c r="AK24" s="47"/>
      <c r="AL24" s="45"/>
      <c r="AM24" s="45"/>
      <c r="AN24" s="46"/>
      <c r="AO24" s="13"/>
    </row>
    <row r="25" spans="4:41" ht="15" customHeight="1">
      <c r="D25" s="31" t="str">
        <f>+IF($B$3="esp","Portugal","Portugal")</f>
        <v>Portugal</v>
      </c>
      <c r="F25" s="22">
        <f>+[1]GRUPO!F25</f>
        <v>-1.2031989821786702</v>
      </c>
      <c r="G25" s="23">
        <f>+[1]GRUPO!G25</f>
        <v>2.5918548563869686</v>
      </c>
      <c r="H25" s="24" t="str">
        <f>IF(G25=0,"---",IF(OR(ABS((F25-G25)/ABS(G25))&gt;2,(F25*G25)&lt;0),"---",IF(G25="0","---",((F25-G25)/ABS(G25))*100)))</f>
        <v>---</v>
      </c>
      <c r="L25" s="31" t="str">
        <f>+IF($B$3="esp","Portugal","Portugal")</f>
        <v>Portugal</v>
      </c>
      <c r="N25" s="22">
        <f>+[1]SANTILLANA!F25</f>
        <v>-7.2221999999999995E-2</v>
      </c>
      <c r="O25" s="23">
        <f>+[1]SANTILLANA!G25</f>
        <v>-0.78624000000000005</v>
      </c>
      <c r="P25" s="24">
        <f>IF(O25=0,"---",IF(OR(ABS((N25-O25)/ABS(O25))&gt;2,(N25*O25)&lt;0),"---",IF(O25="0","---",((N25-O25)/ABS(O25))*100)))</f>
        <v>90.814255189255192</v>
      </c>
      <c r="T25" s="21" t="str">
        <f>+IF($B$3="esp","Latam","Latam")</f>
        <v>Latam</v>
      </c>
      <c r="V25" s="22">
        <f>+[1]RADIO!F25</f>
        <v>0.30593304893328599</v>
      </c>
      <c r="W25" s="23">
        <f>+[1]RADIO!G25</f>
        <v>2.2490147161460299</v>
      </c>
      <c r="X25" s="24">
        <f t="shared" si="4"/>
        <v>-86.397018803970269</v>
      </c>
      <c r="AJ25" s="52"/>
      <c r="AK25" s="47"/>
      <c r="AL25" s="45"/>
      <c r="AM25" s="45"/>
      <c r="AN25" s="46"/>
      <c r="AO25" s="13"/>
    </row>
    <row r="26" spans="4:41" s="30" customFormat="1" ht="15" customHeight="1">
      <c r="D26" s="40" t="str">
        <f>+IF($B$3="esp","Margen EBIT","EBIT Margin")</f>
        <v>EBIT Margin</v>
      </c>
      <c r="F26" s="41">
        <f>+[1]GRUPO!F26</f>
        <v>0.1471968378466281</v>
      </c>
      <c r="G26" s="42">
        <f>+[1]GRUPO!G26</f>
        <v>0.14719568306461039</v>
      </c>
      <c r="H26" s="43"/>
      <c r="L26" s="40" t="str">
        <f>+IF($B$3="esp","Margen EBIT Ajustado","Adjusted EBIT Margin")</f>
        <v>Adjusted EBIT Margin</v>
      </c>
      <c r="N26" s="41">
        <f>+[1]SANTILLANA!F26</f>
        <v>0.30484390043819604</v>
      </c>
      <c r="O26" s="42">
        <f>+[1]SANTILLANA!G26</f>
        <v>0.30457645625896473</v>
      </c>
      <c r="P26" s="43"/>
      <c r="T26" s="21" t="str">
        <f>+IF($B$3="esp","Música","Music")</f>
        <v>Music</v>
      </c>
      <c r="U26" s="1"/>
      <c r="V26" s="22">
        <f>+[1]RADIO!F26</f>
        <v>-8.4370399999999998E-3</v>
      </c>
      <c r="W26" s="23">
        <f>+[1]RADIO!G26</f>
        <v>-0.28461019425408396</v>
      </c>
      <c r="X26" s="24">
        <f t="shared" si="4"/>
        <v>97.035580534241902</v>
      </c>
      <c r="Y26" s="1"/>
      <c r="AJ26" s="57"/>
      <c r="AK26" s="51"/>
      <c r="AL26" s="59"/>
      <c r="AM26" s="59"/>
      <c r="AN26" s="60"/>
    </row>
    <row r="27" spans="4:41">
      <c r="T27" s="21" t="str">
        <f>+IF($B$3="esp","Ajustes y Otros","Adjustments &amp; others")</f>
        <v>Adjustments &amp; others</v>
      </c>
      <c r="V27" s="22">
        <f>+[1]RADIO!F27</f>
        <v>-3.1597000000085924E-2</v>
      </c>
      <c r="W27" s="23">
        <f>+[1]RADIO!G27</f>
        <v>-7.7271522513910895E-14</v>
      </c>
      <c r="X27" s="24" t="str">
        <f t="shared" si="4"/>
        <v>---</v>
      </c>
      <c r="AJ27" s="52"/>
      <c r="AK27" s="47"/>
      <c r="AL27" s="45"/>
      <c r="AM27" s="45"/>
      <c r="AN27" s="46"/>
      <c r="AO27" s="13"/>
    </row>
    <row r="28" spans="4:41">
      <c r="D28" s="9"/>
      <c r="F28" s="10">
        <v>2019</v>
      </c>
      <c r="G28" s="10">
        <v>2018</v>
      </c>
      <c r="H28" s="10" t="s">
        <v>5</v>
      </c>
      <c r="L28" s="9"/>
      <c r="N28" s="10">
        <v>2019</v>
      </c>
      <c r="O28" s="10">
        <v>2018</v>
      </c>
      <c r="P28" s="10" t="s">
        <v>5</v>
      </c>
      <c r="T28" s="57" t="str">
        <f>+IF($B$3="esp","Margen EBIT Ajustado","Adjusted EBIT Margin")</f>
        <v>Adjusted EBIT Margin</v>
      </c>
      <c r="U28" s="30"/>
      <c r="V28" s="58">
        <f>+[1]RADIO!F28</f>
        <v>5.9977612642378254E-2</v>
      </c>
      <c r="W28" s="59">
        <f>+[1]RADIO!G28</f>
        <v>2.2376514605364151E-2</v>
      </c>
      <c r="X28" s="60"/>
      <c r="Y28" s="30"/>
      <c r="AJ28" s="57"/>
      <c r="AK28" s="47"/>
      <c r="AL28" s="59"/>
      <c r="AM28" s="59"/>
      <c r="AN28" s="60"/>
      <c r="AO28" s="30"/>
    </row>
    <row r="29" spans="4:41" ht="15.75" customHeight="1">
      <c r="D29" s="11" t="str">
        <f>+IF($B$3="esp","Resultados Comparables a tipo constante","Comparable Results at constant currency")</f>
        <v>Comparable Results at constant currency</v>
      </c>
      <c r="F29" s="12"/>
      <c r="G29" s="12"/>
      <c r="H29" s="12"/>
      <c r="L29" s="11" t="str">
        <f>+IF($B$3="esp","Resultados Comparables a tipo constante","Comparable Results at constant currency")</f>
        <v>Comparable Results at constant currency</v>
      </c>
      <c r="N29" s="12"/>
      <c r="O29" s="12"/>
      <c r="P29" s="12"/>
      <c r="T29" s="53" t="str">
        <f>+IF($B$3="esp","EBIT con MX y CR","EBIT w/MX&amp;CR")</f>
        <v>EBIT w/MX&amp;CR</v>
      </c>
      <c r="U29" s="13"/>
      <c r="V29" s="54">
        <f>+[1]RADIO!F29</f>
        <v>4.1466807923294402</v>
      </c>
      <c r="W29" s="55">
        <f>+[1]RADIO!G29</f>
        <v>2.7931111588378332</v>
      </c>
      <c r="X29" s="56">
        <f>IF(W29=0,"---",IF(OR(ABS((V29-W29)/ABS(W29))&gt;2,(V29*W29)&lt;0),"---",IF(W29="0","---",((V29-W29)/ABS(W29))*100)))</f>
        <v>48.46100124618043</v>
      </c>
      <c r="Y29" s="13"/>
    </row>
    <row r="30" spans="4:41" s="13" customFormat="1" ht="15" customHeight="1">
      <c r="D30" s="13" t="str">
        <f>+IF($B$3="esp","Ingresos de Explotación a tipo constante","Operating Revenues on constant currency")</f>
        <v>Operating Revenues on constant currency</v>
      </c>
      <c r="F30" s="14">
        <f>+[1]GRUPO!F30</f>
        <v>319.67064964951811</v>
      </c>
      <c r="G30" s="15">
        <f>+[1]GRUPO!G30</f>
        <v>321.00012511587602</v>
      </c>
      <c r="H30" s="16">
        <f t="shared" ref="H30:H39" si="5">IF(G30=0,"---",IF(OR(ABS((F30-G30)/ABS(G30))&gt;2,(F30*G30)&lt;0),"---",IF(G30="0","---",((F30-G30)/ABS(G30))*100)))</f>
        <v>-0.41416665052014723</v>
      </c>
      <c r="L30" s="13" t="str">
        <f>+IF($B$3="esp","Ingresos de Explotación Ajustados a tipo constante","Operating Adjusted Revenues on constant currency")</f>
        <v>Operating Adjusted Revenues on constant currency</v>
      </c>
      <c r="N30" s="14">
        <f>+[1]SANTILLANA!F30</f>
        <v>175.38669266469134</v>
      </c>
      <c r="O30" s="15">
        <f>+[1]SANTILLANA!G30</f>
        <v>173.74791724312399</v>
      </c>
      <c r="P30" s="16">
        <f t="shared" ref="P30:P39" si="6">IF(O30=0,"---",IF(OR(ABS((N30-O30)/ABS(O30))&gt;2,(N30*O30)&lt;0),"---",IF(O30="0","---",((N30-O30)/ABS(O30))*100)))</f>
        <v>0.94319140486399078</v>
      </c>
      <c r="T30" s="1"/>
      <c r="U30" s="1"/>
      <c r="V30" s="1"/>
      <c r="W30" s="1"/>
      <c r="X30" s="1"/>
      <c r="Y30" s="1"/>
      <c r="AJ30" s="1"/>
      <c r="AL30" s="1"/>
      <c r="AM30" s="1"/>
      <c r="AN30" s="1"/>
      <c r="AO30" s="1"/>
    </row>
    <row r="31" spans="4:41" ht="15" customHeight="1">
      <c r="D31" s="21" t="str">
        <f>+IF($B$3="esp","España","Spain")</f>
        <v>Spain</v>
      </c>
      <c r="F31" s="22">
        <f>+[1]GRUPO!F31</f>
        <v>87.662567139999993</v>
      </c>
      <c r="G31" s="23">
        <f>+[1]GRUPO!G31</f>
        <v>88.142521320000213</v>
      </c>
      <c r="H31" s="24">
        <f t="shared" si="5"/>
        <v>-0.54452059325345736</v>
      </c>
      <c r="L31" s="21" t="str">
        <f>+IF($B$3="esp","España","Spain")</f>
        <v>Spain</v>
      </c>
      <c r="N31" s="22">
        <f>+[1]SANTILLANA!F31</f>
        <v>2.484930845218372</v>
      </c>
      <c r="O31" s="23">
        <f>+[1]SANTILLANA!G31</f>
        <v>2.0688771469338008</v>
      </c>
      <c r="P31" s="24">
        <f t="shared" si="6"/>
        <v>20.11012103358518</v>
      </c>
      <c r="T31" s="9"/>
      <c r="V31" s="10">
        <v>2019</v>
      </c>
      <c r="W31" s="10">
        <v>2018</v>
      </c>
      <c r="X31" s="10" t="s">
        <v>5</v>
      </c>
    </row>
    <row r="32" spans="4:41" ht="15" customHeight="1">
      <c r="D32" s="21" t="str">
        <f>+IF($B$3="esp","Internacional","International")</f>
        <v>International</v>
      </c>
      <c r="F32" s="22">
        <f>+[1]GRUPO!F32</f>
        <v>232.00808250951812</v>
      </c>
      <c r="G32" s="23">
        <f>+[1]GRUPO!G32</f>
        <v>232.8576037958758</v>
      </c>
      <c r="H32" s="24">
        <f t="shared" si="5"/>
        <v>-0.36482437013411001</v>
      </c>
      <c r="L32" s="21" t="str">
        <f>+IF($B$3="esp","Internacional","International")</f>
        <v>International</v>
      </c>
      <c r="N32" s="22">
        <f>+[1]SANTILLANA!F32</f>
        <v>172.90176181947297</v>
      </c>
      <c r="O32" s="23">
        <f>+[1]SANTILLANA!G32</f>
        <v>171.67904009619019</v>
      </c>
      <c r="P32" s="24">
        <f t="shared" si="6"/>
        <v>0.71221374641755586</v>
      </c>
      <c r="T32" s="11" t="str">
        <f>+IF($B$3="esp","Resultados Comparables a tipo constante","Comparable Results at constant currency")</f>
        <v>Comparable Results at constant currency</v>
      </c>
      <c r="V32" s="12"/>
      <c r="W32" s="12"/>
      <c r="X32" s="12"/>
    </row>
    <row r="33" spans="4:25" ht="15" customHeight="1">
      <c r="D33" s="31" t="str">
        <f>+IF($B$3="esp","Latam","Latam")</f>
        <v>Latam</v>
      </c>
      <c r="F33" s="22">
        <f>+[1]GRUPO!F33</f>
        <v>192.50106841951811</v>
      </c>
      <c r="G33" s="23">
        <f>+[1]GRUPO!G33</f>
        <v>194.40121281587579</v>
      </c>
      <c r="H33" s="24">
        <f t="shared" si="5"/>
        <v>-0.97743443512226558</v>
      </c>
      <c r="L33" s="31" t="str">
        <f>+IF($B$3="esp","Latam","Latam")</f>
        <v>Latam</v>
      </c>
      <c r="N33" s="22">
        <f>+[1]SANTILLANA!F33</f>
        <v>172.70192281947297</v>
      </c>
      <c r="O33" s="23">
        <f>+[1]SANTILLANA!G33</f>
        <v>171.6496340961902</v>
      </c>
      <c r="P33" s="24">
        <f t="shared" si="6"/>
        <v>0.6130445478800628</v>
      </c>
      <c r="T33" s="13" t="str">
        <f>+IF($B$3="esp","Ingresos de Explotación Ajustados a tipo constante","Operating Adjusted Revenues on constant currency")</f>
        <v>Operating Adjusted Revenues on constant currency</v>
      </c>
      <c r="U33" s="13"/>
      <c r="V33" s="14">
        <f>+[1]RADIO!F33</f>
        <v>60.976403280359001</v>
      </c>
      <c r="W33" s="15">
        <f>+[1]RADIO!G33</f>
        <v>58.832278623779203</v>
      </c>
      <c r="X33" s="16">
        <f t="shared" ref="X33:X43" si="7">IF(W33=0,"---",IF(OR(ABS((V33-W33)/ABS(W33))&gt;2,(V33*W33)&lt;0),"---",IF(W33="0","---",((V33-W33)/ABS(W33))*100)))</f>
        <v>3.6444698501158723</v>
      </c>
      <c r="Y33" s="13"/>
    </row>
    <row r="34" spans="4:25" ht="15" customHeight="1">
      <c r="D34" s="31" t="str">
        <f>+IF($B$3="esp","Portugal","Portugal")</f>
        <v>Portugal</v>
      </c>
      <c r="F34" s="22">
        <f>+[1]GRUPO!F34</f>
        <v>39.507014090000006</v>
      </c>
      <c r="G34" s="23">
        <f>+[1]GRUPO!G34</f>
        <v>38.456390980000002</v>
      </c>
      <c r="H34" s="24">
        <f t="shared" si="5"/>
        <v>2.7319857199974922</v>
      </c>
      <c r="L34" s="31" t="str">
        <f>+IF($B$3="esp","Portugal","Portugal")</f>
        <v>Portugal</v>
      </c>
      <c r="N34" s="22">
        <f>+[1]SANTILLANA!F34</f>
        <v>0.19983899999999999</v>
      </c>
      <c r="O34" s="23">
        <f>+[1]SANTILLANA!G34</f>
        <v>2.9405999999999998E-2</v>
      </c>
      <c r="P34" s="24" t="str">
        <f t="shared" si="6"/>
        <v>---</v>
      </c>
      <c r="T34" s="21" t="str">
        <f>+IF($B$3="esp","España","Spain")</f>
        <v>Spain</v>
      </c>
      <c r="V34" s="22">
        <f>+[1]RADIO!F34</f>
        <v>43.114360330000004</v>
      </c>
      <c r="W34" s="23">
        <f>+[1]RADIO!G34</f>
        <v>39.943437250000002</v>
      </c>
      <c r="X34" s="24">
        <f t="shared" si="7"/>
        <v>7.938533331905484</v>
      </c>
    </row>
    <row r="35" spans="4:25" s="13" customFormat="1" ht="15" customHeight="1">
      <c r="D35" s="13" t="str">
        <f>+IF($B$3="esp","EBITDA a tipo constante","EBITDA on constant currency")</f>
        <v>EBITDA on constant currency</v>
      </c>
      <c r="F35" s="14">
        <f>+[1]GRUPO!F35</f>
        <v>73.458505722627748</v>
      </c>
      <c r="G35" s="15">
        <f>+[1]GRUPO!G35</f>
        <v>71.589075413446963</v>
      </c>
      <c r="H35" s="16">
        <f t="shared" si="5"/>
        <v>2.6113346182840074</v>
      </c>
      <c r="L35" s="13" t="str">
        <f>+IF($B$3="esp","EBITDA Comparable a tipo constante","Comparable EBITDA on constant currency")</f>
        <v>Comparable EBITDA on constant currency</v>
      </c>
      <c r="N35" s="14">
        <f>+[1]SANTILLANA!F35</f>
        <v>70.266475969713511</v>
      </c>
      <c r="O35" s="15">
        <f>+[1]SANTILLANA!G35</f>
        <v>68.247919185280324</v>
      </c>
      <c r="P35" s="16">
        <f t="shared" si="6"/>
        <v>2.9576825323467859</v>
      </c>
      <c r="T35" s="21" t="str">
        <f>+IF($B$3="esp","Latam","Latam")</f>
        <v>Latam</v>
      </c>
      <c r="U35" s="1"/>
      <c r="V35" s="22">
        <f>+[1]RADIO!F35</f>
        <v>18.793709270608698</v>
      </c>
      <c r="W35" s="23">
        <f>+[1]RADIO!G35</f>
        <v>19.4060143532772</v>
      </c>
      <c r="X35" s="24">
        <f t="shared" si="7"/>
        <v>-3.1552335864633587</v>
      </c>
      <c r="Y35" s="1"/>
    </row>
    <row r="36" spans="4:25" ht="15" customHeight="1">
      <c r="D36" s="21" t="str">
        <f>+IF($B$3="esp","España","Spain")</f>
        <v>Spain</v>
      </c>
      <c r="F36" s="22">
        <f>+[1]GRUPO!F36</f>
        <v>-12.315325830000035</v>
      </c>
      <c r="G36" s="23">
        <f>+[1]GRUPO!G36</f>
        <v>-18.135939762884846</v>
      </c>
      <c r="H36" s="24">
        <f t="shared" si="5"/>
        <v>32.094360749899948</v>
      </c>
      <c r="L36" s="21" t="str">
        <f>+IF($B$3="esp","España","Spain")</f>
        <v>Spain</v>
      </c>
      <c r="N36" s="22">
        <f>+[1]SANTILLANA!F36</f>
        <v>-14.940340609999936</v>
      </c>
      <c r="O36" s="23">
        <f>+[1]SANTILLANA!G36</f>
        <v>-14.144310579999697</v>
      </c>
      <c r="P36" s="24">
        <f t="shared" si="6"/>
        <v>-5.6279167902735336</v>
      </c>
      <c r="T36" s="21" t="str">
        <f>+IF($B$3="esp","Música","Music")</f>
        <v>Music</v>
      </c>
      <c r="V36" s="22">
        <f>+[1]RADIO!F36</f>
        <v>5.8638399999999995E-3</v>
      </c>
      <c r="W36" s="23">
        <f>+[1]RADIO!G36</f>
        <v>1.3483045690095801</v>
      </c>
      <c r="X36" s="24">
        <f t="shared" si="7"/>
        <v>-99.5650952956195</v>
      </c>
    </row>
    <row r="37" spans="4:25" ht="15" customHeight="1">
      <c r="D37" s="21" t="str">
        <f>+IF($B$3="esp","Internacional","International")</f>
        <v>International</v>
      </c>
      <c r="F37" s="22">
        <f>+[1]GRUPO!F37</f>
        <v>85.773831552627783</v>
      </c>
      <c r="G37" s="23">
        <f>+[1]GRUPO!G37</f>
        <v>89.725015176331809</v>
      </c>
      <c r="H37" s="24">
        <f t="shared" si="5"/>
        <v>-4.4036589082085689</v>
      </c>
      <c r="L37" s="21" t="str">
        <f>+IF($B$3="esp","Internacional","International")</f>
        <v>International</v>
      </c>
      <c r="N37" s="22">
        <f>+[1]SANTILLANA!F37</f>
        <v>85.206816579713447</v>
      </c>
      <c r="O37" s="23">
        <f>+[1]SANTILLANA!G37</f>
        <v>82.392229765280021</v>
      </c>
      <c r="P37" s="24">
        <f t="shared" si="6"/>
        <v>3.4160828302033512</v>
      </c>
      <c r="T37" s="21" t="str">
        <f>+IF($B$3="esp","Ajustes y Otros","Adjustments &amp; others")</f>
        <v>Adjustments &amp; others</v>
      </c>
      <c r="V37" s="22">
        <f>+[1]RADIO!F37</f>
        <v>-0.93753016024970037</v>
      </c>
      <c r="W37" s="23">
        <f>+[1]RADIO!G37</f>
        <v>-1.8654775485075796</v>
      </c>
      <c r="X37" s="24">
        <f t="shared" si="7"/>
        <v>49.743154990005436</v>
      </c>
    </row>
    <row r="38" spans="4:25" ht="15" customHeight="1">
      <c r="D38" s="31" t="str">
        <f>+IF($B$3="esp","Latam","Latam")</f>
        <v>Latam</v>
      </c>
      <c r="F38" s="22">
        <f>+[1]GRUPO!F38</f>
        <v>84.817042104806475</v>
      </c>
      <c r="G38" s="23">
        <f>+[1]GRUPO!G38</f>
        <v>85.014476653613087</v>
      </c>
      <c r="H38" s="24">
        <f t="shared" si="5"/>
        <v>-0.23223638676392552</v>
      </c>
      <c r="L38" s="31" t="str">
        <f>+IF($B$3="esp","Latam","Latam")</f>
        <v>Latam</v>
      </c>
      <c r="N38" s="22">
        <f>+[1]SANTILLANA!F38</f>
        <v>85.274523579713446</v>
      </c>
      <c r="O38" s="23">
        <f>+[1]SANTILLANA!G38</f>
        <v>83.174172765280019</v>
      </c>
      <c r="P38" s="24">
        <f t="shared" si="6"/>
        <v>2.5252440085706396</v>
      </c>
      <c r="T38" s="13" t="str">
        <f>+IF($B$3="esp","Ingresos de Explotación a TC CTE con MX y CR","Operating Revenues on ctt ccy w/MX&amp;CR")</f>
        <v>Operating Revenues on ctt ccy w/MX&amp;CR</v>
      </c>
      <c r="U38" s="13"/>
      <c r="V38" s="14">
        <f>+[1]RADIO!F38</f>
        <v>64.362659078357453</v>
      </c>
      <c r="W38" s="15">
        <f>+[1]RADIO!G38</f>
        <v>63.342943723708878</v>
      </c>
      <c r="X38" s="16">
        <f t="shared" si="7"/>
        <v>1.6098325949239107</v>
      </c>
      <c r="Y38" s="13"/>
    </row>
    <row r="39" spans="4:25" ht="15" customHeight="1">
      <c r="D39" s="31" t="str">
        <f>+IF($B$3="esp","Portugal","Portugal")</f>
        <v>Portugal</v>
      </c>
      <c r="F39" s="22">
        <f>+[1]GRUPO!F39</f>
        <v>0.95678944782131992</v>
      </c>
      <c r="G39" s="23">
        <f>+[1]GRUPO!G39</f>
        <v>4.7105385227187195</v>
      </c>
      <c r="H39" s="24">
        <f t="shared" si="5"/>
        <v>-79.68832134146092</v>
      </c>
      <c r="L39" s="31" t="str">
        <f>+IF($B$3="esp","Portugal","Portugal")</f>
        <v>Portugal</v>
      </c>
      <c r="N39" s="22">
        <f>+[1]SANTILLANA!F39</f>
        <v>-6.7706999999999989E-2</v>
      </c>
      <c r="O39" s="23">
        <f>+[1]SANTILLANA!G39</f>
        <v>-0.78194300000000005</v>
      </c>
      <c r="P39" s="24">
        <f t="shared" si="6"/>
        <v>91.341184715509954</v>
      </c>
      <c r="T39" s="13" t="str">
        <f>+IF($B$3="esp","EBITDA Comparable a tipo constante","Comparable EBITDA on constant currency")</f>
        <v>Comparable EBITDA on constant currency</v>
      </c>
      <c r="U39" s="13"/>
      <c r="V39" s="14">
        <f>+[1]RADIO!F39</f>
        <v>7.5289467077445495</v>
      </c>
      <c r="W39" s="15">
        <f>+[1]RADIO!G39</f>
        <v>5.7235744429131703</v>
      </c>
      <c r="X39" s="16">
        <f t="shared" si="7"/>
        <v>31.542741041251933</v>
      </c>
      <c r="Y39" s="13"/>
    </row>
    <row r="40" spans="4:25" s="30" customFormat="1" ht="15" customHeight="1">
      <c r="D40" s="26" t="str">
        <f>+IF($B$3="esp","Margen EBITDA","EBITDA Margin")</f>
        <v>EBITDA Margin</v>
      </c>
      <c r="F40" s="32">
        <f>+[1]GRUPO!F40</f>
        <v>0.2297943392775236</v>
      </c>
      <c r="G40" s="33">
        <f>+[1]GRUPO!G40</f>
        <v>0.22301883959579277</v>
      </c>
      <c r="H40" s="34"/>
      <c r="L40" s="26" t="str">
        <f>+IF($B$3="esp","Margen EBITDA Ajustado","Adjusted EBITDA Margin")</f>
        <v>Adjusted EBITDA Margin</v>
      </c>
      <c r="N40" s="32">
        <f>+[1]SANTILLANA!F40</f>
        <v>0.40063744234034171</v>
      </c>
      <c r="O40" s="33">
        <f>+[1]SANTILLANA!G40</f>
        <v>0.39279848799442924</v>
      </c>
      <c r="P40" s="34"/>
      <c r="T40" s="21" t="str">
        <f>+IF($B$3="esp","España","Spain")</f>
        <v>Spain</v>
      </c>
      <c r="U40" s="1"/>
      <c r="V40" s="22">
        <f>+[1]RADIO!F40</f>
        <v>6.2536923999999701</v>
      </c>
      <c r="W40" s="23">
        <f>+[1]RADIO!G40</f>
        <v>2.3710670999999302</v>
      </c>
      <c r="X40" s="24">
        <f t="shared" si="7"/>
        <v>163.75012330946495</v>
      </c>
      <c r="Y40" s="1"/>
    </row>
    <row r="41" spans="4:25" s="13" customFormat="1" ht="15" customHeight="1">
      <c r="D41" s="13" t="str">
        <f>+IF($B$3="esp","EBIT a tipo constante","EBIT on constant currency")</f>
        <v>EBIT on constant currency</v>
      </c>
      <c r="F41" s="14">
        <f>+[1]GRUPO!F41</f>
        <v>48.827603092896531</v>
      </c>
      <c r="G41" s="15">
        <f>+[1]GRUPO!G41</f>
        <v>47.249832680256766</v>
      </c>
      <c r="H41" s="16">
        <f>IF(G41=0,"---",IF(OR(ABS((F41-G41)/ABS(G41))&gt;2,(F41*G41)&lt;0),"---",IF(G41="0","---",((F41-G41)/ABS(G41))*100)))</f>
        <v>3.3392084651741696</v>
      </c>
      <c r="L41" s="13" t="str">
        <f>+IF($B$3="esp","EBIT Comparable a tipo constante","Comparable EBIT on constant currency")</f>
        <v>Comparable EBIT on constant currency</v>
      </c>
      <c r="N41" s="14">
        <f>+[1]SANTILLANA!F41</f>
        <v>54.963910627098493</v>
      </c>
      <c r="O41" s="15">
        <f>+[1]SANTILLANA!G41</f>
        <v>52.919524916286576</v>
      </c>
      <c r="P41" s="16">
        <f>IF(O41=0,"---",IF(OR(ABS((N41-O41)/ABS(O41))&gt;2,(N41*O41)&lt;0),"---",IF(O41="0","---",((N41-O41)/ABS(O41))*100)))</f>
        <v>3.8631974002902156</v>
      </c>
      <c r="T41" s="21" t="str">
        <f>+IF($B$3="esp","Latam","Latam")</f>
        <v>Latam</v>
      </c>
      <c r="U41" s="1"/>
      <c r="V41" s="22">
        <f>+[1]RADIO!F41</f>
        <v>1.31528834774456</v>
      </c>
      <c r="W41" s="23">
        <f>+[1]RADIO!G41</f>
        <v>3.6358039458599198</v>
      </c>
      <c r="X41" s="24">
        <f t="shared" si="7"/>
        <v>-63.824002412388722</v>
      </c>
      <c r="Y41" s="1"/>
    </row>
    <row r="42" spans="4:25" ht="15" customHeight="1">
      <c r="D42" s="21" t="str">
        <f>+IF($B$3="esp","España","Spain")</f>
        <v>Spain</v>
      </c>
      <c r="F42" s="22">
        <f>+[1]GRUPO!F42</f>
        <v>-20.031565910000289</v>
      </c>
      <c r="G42" s="23">
        <f>+[1]GRUPO!G42</f>
        <v>-25.773068587018038</v>
      </c>
      <c r="H42" s="24">
        <f>IF(G42=0,"---",IF(OR(ABS((F42-G42)/ABS(G42))&gt;2,(F42*G42)&lt;0),"---",IF(G42="0","---",((F42-G42)/ABS(G42))*100)))</f>
        <v>22.277140409697893</v>
      </c>
      <c r="L42" s="21" t="str">
        <f>+IF($B$3="esp","España","Spain")</f>
        <v>Spain</v>
      </c>
      <c r="N42" s="22">
        <f>+[1]SANTILLANA!F42</f>
        <v>-17.086284010000135</v>
      </c>
      <c r="O42" s="23">
        <f>+[1]SANTILLANA!G42</f>
        <v>-16.318326239999664</v>
      </c>
      <c r="P42" s="24">
        <f>IF(O42=0,"---",IF(OR(ABS((N42-O42)/ABS(O42))&gt;2,(N42*O42)&lt;0),"---",IF(O42="0","---",((N42-O42)/ABS(O42))*100)))</f>
        <v>-4.7061062434089882</v>
      </c>
      <c r="T42" s="21" t="str">
        <f>+IF($B$3="esp","Música","Music")</f>
        <v>Music</v>
      </c>
      <c r="V42" s="22">
        <f>+[1]RADIO!F42</f>
        <v>-8.4370399999999998E-3</v>
      </c>
      <c r="W42" s="23">
        <f>+[1]RADIO!G42</f>
        <v>-0.28329660294665099</v>
      </c>
      <c r="X42" s="24">
        <f t="shared" si="7"/>
        <v>97.021835097122988</v>
      </c>
    </row>
    <row r="43" spans="4:25" ht="15" customHeight="1">
      <c r="D43" s="21" t="str">
        <f>+IF($B$3="esp","Internacional","International")</f>
        <v>International</v>
      </c>
      <c r="F43" s="22">
        <f>+[1]GRUPO!F43</f>
        <v>68.85916900289682</v>
      </c>
      <c r="G43" s="23">
        <f>+[1]GRUPO!G43</f>
        <v>73.022901267274804</v>
      </c>
      <c r="H43" s="24">
        <f>IF(G43=0,"---",IF(OR(ABS((F43-G43)/ABS(G43))&gt;2,(F43*G43)&lt;0),"---",IF(G43="0","---",((F43-G43)/ABS(G43))*100)))</f>
        <v>-5.7019540337600354</v>
      </c>
      <c r="L43" s="21" t="str">
        <f>+IF($B$3="esp","Internacional","International")</f>
        <v>International</v>
      </c>
      <c r="N43" s="22">
        <f>+[1]SANTILLANA!F43</f>
        <v>72.050194637098627</v>
      </c>
      <c r="O43" s="23">
        <f>+[1]SANTILLANA!G43</f>
        <v>69.23785115628624</v>
      </c>
      <c r="P43" s="24">
        <f>IF(O43=0,"---",IF(OR(ABS((N43-O43)/ABS(O43))&gt;2,(N43*O43)&lt;0),"---",IF(O43="0","---",((N43-O43)/ABS(O43))*100)))</f>
        <v>4.0618584110362725</v>
      </c>
      <c r="T43" s="21" t="str">
        <f>+IF($B$3="esp","Ajustes y Otros","Adjustments &amp; others")</f>
        <v>Adjustments &amp; others</v>
      </c>
      <c r="V43" s="22">
        <f>+[1]RADIO!F43</f>
        <v>-3.1596999999980564E-2</v>
      </c>
      <c r="W43" s="23">
        <f>+[1]RADIO!G43</f>
        <v>-2.8699265186560297E-14</v>
      </c>
      <c r="X43" s="24" t="str">
        <f t="shared" si="7"/>
        <v>---</v>
      </c>
    </row>
    <row r="44" spans="4:25" ht="15" customHeight="1">
      <c r="D44" s="31" t="str">
        <f>+IF($B$3="esp","Latam","Latam")</f>
        <v>Latam</v>
      </c>
      <c r="F44" s="22">
        <f>+[1]GRUPO!F44</f>
        <v>70.062367985075483</v>
      </c>
      <c r="G44" s="23">
        <f>+[1]GRUPO!G44</f>
        <v>70.431046410887831</v>
      </c>
      <c r="H44" s="24">
        <f>IF(G44=0,"---",IF(OR(ABS((F44-G44)/ABS(G44))&gt;2,(F44*G44)&lt;0),"---",IF(G44="0","---",((F44-G44)/ABS(G44))*100)))</f>
        <v>-0.52346009977122065</v>
      </c>
      <c r="L44" s="31" t="str">
        <f>+IF($B$3="esp","Latam","Latam")</f>
        <v>Latam</v>
      </c>
      <c r="N44" s="22">
        <f>+[1]SANTILLANA!F44</f>
        <v>72.122416637098624</v>
      </c>
      <c r="O44" s="23">
        <f>+[1]SANTILLANA!G44</f>
        <v>70.024091156286246</v>
      </c>
      <c r="P44" s="24">
        <f>IF(O44=0,"---",IF(OR(ABS((N44-O44)/ABS(O44))&gt;2,(N44*O44)&lt;0),"---",IF(O44="0","---",((N44-O44)/ABS(O44))*100)))</f>
        <v>2.9965765298247722</v>
      </c>
      <c r="T44" s="26" t="str">
        <f>+IF($B$3="esp","Margen EBITDA Ajustado","Adjusted EBITDA Margin")</f>
        <v>Adjusted EBITDA Margin</v>
      </c>
      <c r="U44" s="30"/>
      <c r="V44" s="32">
        <f>+[1]RADIO!F44</f>
        <v>0.12347311915279341</v>
      </c>
      <c r="W44" s="33">
        <f>+[1]RADIO!G44</f>
        <v>9.7286295496292058E-2</v>
      </c>
      <c r="X44" s="34"/>
      <c r="Y44" s="30"/>
    </row>
    <row r="45" spans="4:25" ht="15" customHeight="1">
      <c r="D45" s="31" t="str">
        <f>+IF($B$3="esp","Portugal","Portugal")</f>
        <v>Portugal</v>
      </c>
      <c r="F45" s="22">
        <f>+[1]GRUPO!F45</f>
        <v>-1.2031989821786702</v>
      </c>
      <c r="G45" s="23">
        <f>+[1]GRUPO!G45</f>
        <v>2.5918548563869686</v>
      </c>
      <c r="H45" s="24" t="str">
        <f>IF(G45=0,"---",IF(OR(ABS((F45-G45)/ABS(G45))&gt;2,(F45*G45)&lt;0),"---",IF(G45="0","---",((F45-G45)/ABS(G45))*100)))</f>
        <v>---</v>
      </c>
      <c r="L45" s="31" t="str">
        <f>+IF($B$3="esp","Portugal","Portugal")</f>
        <v>Portugal</v>
      </c>
      <c r="N45" s="22">
        <f>+[1]SANTILLANA!F45</f>
        <v>-7.2221999999999995E-2</v>
      </c>
      <c r="O45" s="23">
        <f>+[1]SANTILLANA!G45</f>
        <v>-0.78624000000000005</v>
      </c>
      <c r="P45" s="24">
        <f>IF(O45=0,"---",IF(OR(ABS((N45-O45)/ABS(O45))&gt;2,(N45*O45)&lt;0),"---",IF(O45="0","---",((N45-O45)/ABS(O45))*100)))</f>
        <v>90.814255189255192</v>
      </c>
      <c r="T45" s="13" t="str">
        <f>+IF($B$3="esp","EBITDA a TC CTE con MX y CR","EBITDA on ctt ccy w/MX&amp;CR")</f>
        <v>EBITDA on ctt ccy w/MX&amp;CR</v>
      </c>
      <c r="U45" s="13"/>
      <c r="V45" s="14">
        <f>+[1]RADIO!F45</f>
        <v>8.2809985309622505</v>
      </c>
      <c r="W45" s="15">
        <f>+[1]RADIO!G45</f>
        <v>7.4003466084320442</v>
      </c>
      <c r="X45" s="16">
        <f t="shared" ref="X45:X50" si="8">IF(W45=0,"---",IF(OR(ABS((V45-W45)/ABS(W45))&gt;2,(V45*W45)&lt;0),"---",IF(W45="0","---",((V45-W45)/ABS(W45))*100)))</f>
        <v>11.900144265226455</v>
      </c>
      <c r="Y45" s="13"/>
    </row>
    <row r="46" spans="4:25" s="30" customFormat="1" ht="15" customHeight="1">
      <c r="D46" s="40" t="str">
        <f>+IF($B$3="esp","Margen EBIT","EBIT Margin")</f>
        <v>EBIT Margin</v>
      </c>
      <c r="F46" s="41">
        <f>+[1]GRUPO!F46</f>
        <v>0.15274346627202201</v>
      </c>
      <c r="G46" s="42">
        <f>+[1]GRUPO!G46</f>
        <v>0.14719568306461039</v>
      </c>
      <c r="H46" s="43"/>
      <c r="L46" s="40" t="str">
        <f>+IF($B$3="esp","Margen EBIT Ajustado","Adjusted EBIT Margin")</f>
        <v>Adjusted EBIT Margin</v>
      </c>
      <c r="N46" s="41">
        <f>+[1]SANTILLANA!F46</f>
        <v>0.31338700668801522</v>
      </c>
      <c r="O46" s="42">
        <f>+[1]SANTILLANA!G46</f>
        <v>0.30457645625896473</v>
      </c>
      <c r="P46" s="43"/>
      <c r="T46" s="13" t="str">
        <f>+IF($B$3="esp","EBIT Comparable a tipo constante","Comparable EBIT on constant currency")</f>
        <v>Comparable EBIT on constant currency</v>
      </c>
      <c r="U46" s="13"/>
      <c r="V46" s="14">
        <f>+[1]RADIO!F46</f>
        <v>3.0411301974382101</v>
      </c>
      <c r="W46" s="15">
        <f>+[1]RADIO!G46</f>
        <v>1.3164613418918485</v>
      </c>
      <c r="X46" s="16">
        <f t="shared" si="8"/>
        <v>131.00793776958844</v>
      </c>
      <c r="Y46" s="13"/>
    </row>
    <row r="47" spans="4:25">
      <c r="T47" s="21" t="str">
        <f>+IF($B$3="esp","España","Spain")</f>
        <v>Spain</v>
      </c>
      <c r="V47" s="22">
        <f>+[1]RADIO!F47</f>
        <v>3.3364080799999898</v>
      </c>
      <c r="W47" s="23">
        <f>+[1]RADIO!G47</f>
        <v>-0.64794318000002016</v>
      </c>
      <c r="X47" s="24" t="str">
        <f t="shared" si="8"/>
        <v>---</v>
      </c>
    </row>
    <row r="48" spans="4:25">
      <c r="D48" s="9" t="s">
        <v>6</v>
      </c>
      <c r="F48" s="10">
        <v>2019</v>
      </c>
      <c r="G48" s="10">
        <v>2018</v>
      </c>
      <c r="H48" s="10" t="s">
        <v>5</v>
      </c>
      <c r="L48" s="9"/>
      <c r="N48" s="10">
        <v>2019</v>
      </c>
      <c r="O48" s="10">
        <v>2018</v>
      </c>
      <c r="P48" s="10" t="s">
        <v>5</v>
      </c>
      <c r="T48" s="21" t="str">
        <f>+IF($B$3="esp","Latam","Latam")</f>
        <v>Latam</v>
      </c>
      <c r="V48" s="22">
        <f>+[1]RADIO!F48</f>
        <v>-0.25524384256179899</v>
      </c>
      <c r="W48" s="23">
        <f>+[1]RADIO!G48</f>
        <v>2.2490147161460299</v>
      </c>
      <c r="X48" s="24" t="str">
        <f t="shared" si="8"/>
        <v>---</v>
      </c>
    </row>
    <row r="49" spans="4:42" ht="15.75" customHeight="1">
      <c r="D49" s="11" t="str">
        <f>+IF($B$3="esp","Resultados Reportados","Reported Results")</f>
        <v>Reported Results</v>
      </c>
      <c r="F49" s="12"/>
      <c r="G49" s="12"/>
      <c r="H49" s="12"/>
      <c r="L49" s="11" t="str">
        <f>+IF($B$3="esp","Resultados Reportados","Reported Results")</f>
        <v>Reported Results</v>
      </c>
      <c r="N49" s="12"/>
      <c r="O49" s="12"/>
      <c r="P49" s="12"/>
      <c r="T49" s="21" t="str">
        <f>+IF($B$3="esp","Música","Music")</f>
        <v>Music</v>
      </c>
      <c r="V49" s="22">
        <f>+[1]RADIO!F49</f>
        <v>-8.4370399999999998E-3</v>
      </c>
      <c r="W49" s="23">
        <f>+[1]RADIO!G49</f>
        <v>-0.28461019425408396</v>
      </c>
      <c r="X49" s="24">
        <f t="shared" si="8"/>
        <v>97.035580534241902</v>
      </c>
    </row>
    <row r="50" spans="4:42" s="13" customFormat="1" ht="15" customHeight="1">
      <c r="D50" s="13" t="str">
        <f>+IF($B$3="esp","Ingresos de Explotación","Operating Revenues")</f>
        <v>Operating Revenues</v>
      </c>
      <c r="F50" s="14">
        <f>+[1]GRUPO!F51</f>
        <v>312.31821899949301</v>
      </c>
      <c r="G50" s="15">
        <f>+[1]GRUPO!G51</f>
        <v>321.00012511587602</v>
      </c>
      <c r="H50" s="16">
        <f t="shared" ref="H50:H64" si="9">IF(G50=0,"---",IF(OR(ABS((F50-G50)/ABS(G50))&gt;2,(F50*G50)&lt;0),"---",IF(G50="0","---",((F50-G50)/ABS(G50))*100)))</f>
        <v>-2.7046425957774853</v>
      </c>
      <c r="L50" s="13" t="str">
        <f>+IF($B$3="esp","Ingresos de Explotación","Operating Revenues")</f>
        <v>Operating Revenues</v>
      </c>
      <c r="N50" s="14">
        <f>+[1]SANTILLANA!F51</f>
        <v>168.91643426788198</v>
      </c>
      <c r="O50" s="15">
        <f>+[1]SANTILLANA!G51</f>
        <v>173.74791724312399</v>
      </c>
      <c r="P50" s="16">
        <f t="shared" ref="P50:P64" si="10">IF(O50=0,"---",IF(OR(ABS((N50-O50)/ABS(O50))&gt;2,(N50*O50)&lt;0),"---",IF(O50="0","---",((N50-O50)/ABS(O50))*100)))</f>
        <v>-2.7807429590545008</v>
      </c>
      <c r="T50" s="21" t="str">
        <f>+IF($B$3="esp","Ajustes y Otros","Adjustments &amp; others")</f>
        <v>Adjustments &amp; others</v>
      </c>
      <c r="U50" s="1"/>
      <c r="V50" s="22">
        <f>+[1]RADIO!F50</f>
        <v>-3.1596999999980675E-2</v>
      </c>
      <c r="W50" s="23">
        <f>+[1]RADIO!G50</f>
        <v>-7.7271522513910895E-14</v>
      </c>
      <c r="X50" s="24" t="str">
        <f t="shared" si="8"/>
        <v>---</v>
      </c>
      <c r="Y50" s="1"/>
      <c r="AP50" s="1"/>
    </row>
    <row r="51" spans="4:42" ht="15" customHeight="1">
      <c r="D51" s="21" t="str">
        <f>+IF($B$3="esp","España","Spain")</f>
        <v>Spain</v>
      </c>
      <c r="F51" s="22">
        <f>+[1]GRUPO!F52</f>
        <v>87.662567140000021</v>
      </c>
      <c r="G51" s="23">
        <f>+[1]GRUPO!G52</f>
        <v>88.142521320000213</v>
      </c>
      <c r="H51" s="24">
        <f t="shared" si="9"/>
        <v>-0.54452059325342506</v>
      </c>
      <c r="L51" s="21" t="str">
        <f>+IF($B$3="esp","España","Spain")</f>
        <v>Spain</v>
      </c>
      <c r="N51" s="22">
        <f>+[1]SANTILLANA!F52</f>
        <v>2.4849308452183436</v>
      </c>
      <c r="O51" s="23">
        <f>+[1]SANTILLANA!G52</f>
        <v>2.0688771469338008</v>
      </c>
      <c r="P51" s="24">
        <f t="shared" si="10"/>
        <v>20.110121033583809</v>
      </c>
      <c r="T51" s="57" t="str">
        <f>+IF($B$3="esp","Margen EBIT Ajustado","Adjusted EBIT Margin")</f>
        <v>Adjusted EBIT Margin</v>
      </c>
      <c r="U51" s="30"/>
      <c r="V51" s="58">
        <f>+[1]RADIO!F51</f>
        <v>4.9873886189311906E-2</v>
      </c>
      <c r="W51" s="59">
        <f>+[1]RADIO!G51</f>
        <v>2.2376514605364151E-2</v>
      </c>
      <c r="X51" s="60"/>
      <c r="Y51" s="30"/>
      <c r="AO51" s="30"/>
    </row>
    <row r="52" spans="4:42" ht="15" customHeight="1">
      <c r="D52" s="21" t="str">
        <f>+IF($B$3="esp","Internacional","International")</f>
        <v>International</v>
      </c>
      <c r="F52" s="22">
        <f>+[1]GRUPO!F53</f>
        <v>224.65565185949299</v>
      </c>
      <c r="G52" s="23">
        <f>+[1]GRUPO!G53</f>
        <v>232.8576037958758</v>
      </c>
      <c r="H52" s="24">
        <f t="shared" si="9"/>
        <v>-3.5223036751562069</v>
      </c>
      <c r="L52" s="21" t="str">
        <f>+IF($B$3="esp","Internacional","International")</f>
        <v>International</v>
      </c>
      <c r="N52" s="22">
        <f>+[1]SANTILLANA!F53</f>
        <v>166.43150342266364</v>
      </c>
      <c r="O52" s="23">
        <f>+[1]SANTILLANA!G53</f>
        <v>171.67904009619019</v>
      </c>
      <c r="P52" s="24">
        <f t="shared" si="10"/>
        <v>-3.0565971656099702</v>
      </c>
      <c r="T52" s="53" t="str">
        <f>+IF($B$3="esp","EBIT a TC CTE con MX y CR","EBIT on ctt ccy w/MX&amp;CR")</f>
        <v>EBIT on ctt ccy w/MX&amp;CR</v>
      </c>
      <c r="U52" s="13"/>
      <c r="V52" s="54">
        <f>+[1]RADIO!F52</f>
        <v>3.5569789864358854</v>
      </c>
      <c r="W52" s="55">
        <f>+[1]RADIO!G52</f>
        <v>2.7931111588378332</v>
      </c>
      <c r="X52" s="56">
        <f>IF(W52=0,"---",IF(OR(ABS((V52-W52)/ABS(W52))&gt;2,(V52*W52)&lt;0),"---",IF(W52="0","---",((V52-W52)/ABS(W52))*100)))</f>
        <v>27.348278824530738</v>
      </c>
      <c r="Y52" s="13"/>
      <c r="AO52" s="30"/>
      <c r="AP52" s="13"/>
    </row>
    <row r="53" spans="4:42" ht="15" customHeight="1">
      <c r="D53" s="31" t="str">
        <f>+IF($B$3="esp","Latam","Latam")</f>
        <v>Latam</v>
      </c>
      <c r="F53" s="22">
        <f>+[1]GRUPO!F54</f>
        <v>185.14863776949298</v>
      </c>
      <c r="G53" s="23">
        <f>+[1]GRUPO!G54</f>
        <v>194.40121281587579</v>
      </c>
      <c r="H53" s="24">
        <f t="shared" si="9"/>
        <v>-4.7595253714524173</v>
      </c>
      <c r="L53" s="31" t="str">
        <f>+IF($B$3="esp","Latam","Latam")</f>
        <v>Latam</v>
      </c>
      <c r="N53" s="22">
        <f>+[1]SANTILLANA!F54</f>
        <v>166.23166442266364</v>
      </c>
      <c r="O53" s="23">
        <f>+[1]SANTILLANA!G54</f>
        <v>171.6496340961902</v>
      </c>
      <c r="P53" s="24">
        <f t="shared" si="10"/>
        <v>-3.1564120145402685</v>
      </c>
      <c r="AO53" s="13"/>
    </row>
    <row r="54" spans="4:42" ht="15" customHeight="1">
      <c r="D54" s="31" t="str">
        <f>+IF($B$3="esp","Portugal","Portugal")</f>
        <v>Portugal</v>
      </c>
      <c r="F54" s="22">
        <f>+[1]GRUPO!F55</f>
        <v>39.507014090000006</v>
      </c>
      <c r="G54" s="23">
        <f>+[1]GRUPO!G55</f>
        <v>38.456390980000002</v>
      </c>
      <c r="H54" s="24">
        <f t="shared" si="9"/>
        <v>2.7319857199974922</v>
      </c>
      <c r="L54" s="31" t="str">
        <f>+IF($B$3="esp","Portugal","Portugal")</f>
        <v>Portugal</v>
      </c>
      <c r="N54" s="22">
        <f>+[1]SANTILLANA!F55</f>
        <v>0.19983899999999999</v>
      </c>
      <c r="O54" s="23">
        <f>+[1]SANTILLANA!G55</f>
        <v>2.9405999999999998E-2</v>
      </c>
      <c r="P54" s="24" t="str">
        <f t="shared" si="10"/>
        <v>---</v>
      </c>
      <c r="T54" s="9"/>
      <c r="V54" s="10">
        <v>2019</v>
      </c>
      <c r="W54" s="10">
        <v>2018</v>
      </c>
      <c r="X54" s="10" t="s">
        <v>5</v>
      </c>
      <c r="AB54" s="9"/>
      <c r="AD54" s="10">
        <v>2019</v>
      </c>
      <c r="AE54" s="10">
        <v>2018</v>
      </c>
      <c r="AF54" s="10" t="str">
        <f>+IF($B$3="esp","Var.%","% Chg.")</f>
        <v>% Chg.</v>
      </c>
      <c r="AJ54" s="9"/>
      <c r="AL54" s="10">
        <v>2019</v>
      </c>
      <c r="AM54" s="10">
        <v>2018</v>
      </c>
      <c r="AN54" s="10" t="str">
        <f>+IF($B$3="esp","Var.%","% Chg.")</f>
        <v>% Chg.</v>
      </c>
      <c r="AO54" s="13"/>
    </row>
    <row r="55" spans="4:42" s="13" customFormat="1" ht="15" customHeight="1">
      <c r="D55" s="13" t="str">
        <f>+IF($B$3="esp","Gastos de Explotación Contables","Reported Expenses")</f>
        <v>Reported Expenses</v>
      </c>
      <c r="F55" s="14">
        <f>+[1]GRUPO!F56</f>
        <v>293.34416986053634</v>
      </c>
      <c r="G55" s="15">
        <f>+[1]GRUPO!G56</f>
        <v>258.27320749450769</v>
      </c>
      <c r="H55" s="16">
        <f t="shared" si="9"/>
        <v>13.57901685050876</v>
      </c>
      <c r="L55" s="13" t="str">
        <f>+IF($B$3="esp","Gastos de Explotación","Operating Expenses")</f>
        <v>Operating Expenses</v>
      </c>
      <c r="N55" s="14">
        <f>+[1]SANTILLANA!F56</f>
        <v>102.66996307338418</v>
      </c>
      <c r="O55" s="15">
        <f>+[1]SANTILLANA!G56</f>
        <v>108.9075478315571</v>
      </c>
      <c r="P55" s="16">
        <f t="shared" si="10"/>
        <v>-5.7274127297589468</v>
      </c>
      <c r="T55" s="11" t="str">
        <f>+IF($B$3="esp","Resultados Reportados","Reported Results")</f>
        <v>Reported Results</v>
      </c>
      <c r="U55" s="1"/>
      <c r="V55" s="12"/>
      <c r="W55" s="12"/>
      <c r="X55" s="12"/>
      <c r="Y55" s="1"/>
      <c r="AB55" s="11" t="str">
        <f>+IF($B$3="esp","Resultados Reportados","Reported Results")</f>
        <v>Reported Results</v>
      </c>
      <c r="AC55" s="1"/>
      <c r="AD55" s="12"/>
      <c r="AE55" s="12"/>
      <c r="AF55" s="12"/>
      <c r="AJ55" s="11" t="str">
        <f>+IF($B$3="esp","Resultados Reportados","Reported Results")</f>
        <v>Reported Results</v>
      </c>
      <c r="AK55" s="1"/>
      <c r="AL55" s="12"/>
      <c r="AM55" s="12"/>
      <c r="AN55" s="12"/>
      <c r="AO55" s="30"/>
      <c r="AP55" s="1"/>
    </row>
    <row r="56" spans="4:42" ht="15" customHeight="1">
      <c r="D56" s="21" t="str">
        <f>+IF($B$3="esp","España","Spain")</f>
        <v>Spain</v>
      </c>
      <c r="F56" s="22">
        <f>+[1]GRUPO!F57</f>
        <v>151.01371847000007</v>
      </c>
      <c r="G56" s="23">
        <f>+[1]GRUPO!G57</f>
        <v>111.21485348000031</v>
      </c>
      <c r="H56" s="24">
        <f t="shared" si="9"/>
        <v>35.785566176335209</v>
      </c>
      <c r="L56" s="21" t="str">
        <f>+IF($B$3="esp","España","Spain")</f>
        <v>Spain</v>
      </c>
      <c r="N56" s="22">
        <f>+[1]SANTILLANA!F57</f>
        <v>17.425271455218279</v>
      </c>
      <c r="O56" s="23">
        <f>+[1]SANTILLANA!G57</f>
        <v>17.323797726933506</v>
      </c>
      <c r="P56" s="24">
        <f t="shared" si="10"/>
        <v>0.58574759347952288</v>
      </c>
      <c r="T56" s="13" t="str">
        <f>+IF($B$3="esp","Ingresos de Explotación","Operating Revenues")</f>
        <v>Operating Revenues</v>
      </c>
      <c r="U56" s="13"/>
      <c r="V56" s="14">
        <f>+[1]RADIO!F56</f>
        <v>60.060861548662501</v>
      </c>
      <c r="W56" s="15">
        <f>+[1]RADIO!G56</f>
        <v>58.832278623779203</v>
      </c>
      <c r="X56" s="16">
        <f t="shared" ref="X56:X71" si="11">IF(W56=0,"---",IF(OR(ABS((V56-W56)/ABS(W56))&gt;2,(V56*W56)&lt;0),"---",IF(W56="0","---",((V56-W56)/ABS(W56))*100)))</f>
        <v>2.0882803685708713</v>
      </c>
      <c r="Y56" s="13"/>
      <c r="AB56" s="17" t="str">
        <f>+IF($B$3="esp","Ingresos de Explotación Noticias Gestión","Total Press Operating Revenues")</f>
        <v>Total Press Operating Revenues</v>
      </c>
      <c r="AC56" s="13"/>
      <c r="AD56" s="18">
        <f>+[1]NOTICIAS!F28</f>
        <v>49.057539887605202</v>
      </c>
      <c r="AE56" s="19">
        <f>+[1]NOTICIAS!G28</f>
        <v>51.121327048559699</v>
      </c>
      <c r="AF56" s="20">
        <f t="shared" ref="AF56:AF66" si="12">IF(AE56=0,"---",IF(OR(ABS((AD56-AE56)/ABS(AE56))&gt;2,(AD56*AE56)&lt;0),"---",IF(AE56="0","---",((AD56-AE56)/ABS(AE56))*100)))</f>
        <v>-4.0370375342450009</v>
      </c>
      <c r="AJ56" s="13" t="str">
        <f>+IF($B$3="esp","Ingresos de Explotación","Operating Revenues")</f>
        <v>Operating Revenues</v>
      </c>
      <c r="AL56" s="14">
        <f>+'[1]MEDIA CAPITAL'!F22</f>
        <v>39.307203540000003</v>
      </c>
      <c r="AM56" s="15">
        <f>+'[1]MEDIA CAPITAL'!G22</f>
        <v>38.726984980000005</v>
      </c>
      <c r="AN56" s="16">
        <f>IF(AM56=0,"---",IF(OR(ABS((AL56-AM56)/ABS(AM56))&gt;2,(AL56*AM56)&lt;0),"---",IF(AM56="0","---",((AL56-AM56)/ABS(AM56))*100)))</f>
        <v>1.4982280709423783</v>
      </c>
      <c r="AO56" s="13"/>
    </row>
    <row r="57" spans="4:42" ht="15" customHeight="1">
      <c r="D57" s="21" t="str">
        <f>+IF($B$3="esp","Internacional","International")</f>
        <v>International</v>
      </c>
      <c r="F57" s="22">
        <f>+[1]GRUPO!F58</f>
        <v>142.33045139053627</v>
      </c>
      <c r="G57" s="23">
        <f>+[1]GRUPO!G58</f>
        <v>147.05835401450742</v>
      </c>
      <c r="H57" s="24">
        <f t="shared" si="9"/>
        <v>-3.2149840487842911</v>
      </c>
      <c r="L57" s="21" t="str">
        <f>+IF($B$3="esp","Internacional","International")</f>
        <v>International</v>
      </c>
      <c r="N57" s="22">
        <f>+[1]SANTILLANA!F58</f>
        <v>85.244691618165902</v>
      </c>
      <c r="O57" s="23">
        <f>+[1]SANTILLANA!G58</f>
        <v>91.58375010462359</v>
      </c>
      <c r="P57" s="24">
        <f t="shared" si="10"/>
        <v>-6.9215974222676664</v>
      </c>
      <c r="T57" s="21" t="str">
        <f>+IF($B$3="esp","Publicidad","Advertising")</f>
        <v>Advertising</v>
      </c>
      <c r="V57" s="22">
        <f>+[1]RADIO!F57</f>
        <v>56.106369096782593</v>
      </c>
      <c r="W57" s="23">
        <f>+[1]RADIO!G57</f>
        <v>54.597548095694698</v>
      </c>
      <c r="X57" s="24">
        <f t="shared" si="11"/>
        <v>2.7635325279504146</v>
      </c>
      <c r="AB57" s="25" t="str">
        <f>+IF($B$3="esp","Ingresos de Explotación PRENSA","PRESS Operating Revenues")</f>
        <v>PRESS Operating Revenues</v>
      </c>
      <c r="AC57" s="13"/>
      <c r="AD57" s="14">
        <f>+[1]NOTICIAS!F29</f>
        <v>43.842965088913296</v>
      </c>
      <c r="AE57" s="15">
        <f>+[1]NOTICIAS!G29</f>
        <v>45.650881196626997</v>
      </c>
      <c r="AF57" s="16">
        <f t="shared" si="12"/>
        <v>-3.960309330999908</v>
      </c>
      <c r="AJ57" s="26" t="str">
        <f>+IF($B$3="esp","Publicidad","Advertising")</f>
        <v>Advertising</v>
      </c>
      <c r="AL57" s="27">
        <f>+'[1]MEDIA CAPITAL'!F23</f>
        <v>25.24974164</v>
      </c>
      <c r="AM57" s="28">
        <f>+'[1]MEDIA CAPITAL'!G23</f>
        <v>24.278089639999997</v>
      </c>
      <c r="AN57" s="29">
        <f>IF(AM57=0,"---",IF(OR(ABS((AL57-AM57)/ABS(AM57))&gt;2,(AL57*AM57)&lt;0),"---",IF(AM57="0","---",((AL57-AM57)/ABS(AM57))*100)))</f>
        <v>4.0021765073275448</v>
      </c>
      <c r="AO57" s="30"/>
      <c r="AP57" s="30"/>
    </row>
    <row r="58" spans="4:42" ht="15" customHeight="1">
      <c r="D58" s="31" t="str">
        <f>+IF($B$3="esp","Latam","Latam")</f>
        <v>Latam</v>
      </c>
      <c r="F58" s="22">
        <f>+[1]GRUPO!F59</f>
        <v>103.78022674835755</v>
      </c>
      <c r="G58" s="23">
        <f>+[1]GRUPO!G59</f>
        <v>112.71924943597611</v>
      </c>
      <c r="H58" s="24">
        <f t="shared" si="9"/>
        <v>-7.9303426276768061</v>
      </c>
      <c r="L58" s="31" t="str">
        <f>+IF($B$3="esp","Latam","Latam")</f>
        <v>Latam</v>
      </c>
      <c r="N58" s="22">
        <f>+[1]SANTILLANA!F59</f>
        <v>84.977145618165906</v>
      </c>
      <c r="O58" s="23">
        <f>+[1]SANTILLANA!G59</f>
        <v>90.768721104623594</v>
      </c>
      <c r="P58" s="24">
        <f t="shared" si="10"/>
        <v>-6.3805850914017954</v>
      </c>
      <c r="T58" s="64" t="str">
        <f>+IF($B$3="esp","España","Spain")</f>
        <v>Spain</v>
      </c>
      <c r="U58" s="30"/>
      <c r="V58" s="27">
        <f>+[1]RADIO!F58</f>
        <v>40.062555860000003</v>
      </c>
      <c r="W58" s="28">
        <f>+[1]RADIO!G58</f>
        <v>36.375610619999996</v>
      </c>
      <c r="X58" s="29">
        <f t="shared" si="11"/>
        <v>10.135761784223781</v>
      </c>
      <c r="AB58" s="26" t="str">
        <f>+IF($B$3="esp","Publicidad","Advertising")</f>
        <v>Advertising</v>
      </c>
      <c r="AC58" s="30"/>
      <c r="AD58" s="27">
        <f>+[1]NOTICIAS!F30</f>
        <v>23.582915021489601</v>
      </c>
      <c r="AE58" s="28">
        <f>+[1]NOTICIAS!G30</f>
        <v>21.3949301040848</v>
      </c>
      <c r="AF58" s="29">
        <f t="shared" si="12"/>
        <v>10.226651392457986</v>
      </c>
      <c r="AJ58" s="26" t="str">
        <f>+IF($B$3="esp","Otros","Others")</f>
        <v>Others</v>
      </c>
      <c r="AK58" s="13"/>
      <c r="AL58" s="27">
        <f>+'[1]MEDIA CAPITAL'!F24</f>
        <v>14.057461900000003</v>
      </c>
      <c r="AM58" s="28">
        <f>+'[1]MEDIA CAPITAL'!G24</f>
        <v>14.448895340000007</v>
      </c>
      <c r="AN58" s="29">
        <f>IF(AM58=0,"---",IF(OR(ABS((AL58-AM58)/ABS(AM58))&gt;2,(AL58*AM58)&lt;0),"---",IF(AM58="0","---",((AL58-AM58)/ABS(AM58))*100)))</f>
        <v>-2.7090890396054559</v>
      </c>
      <c r="AP58" s="13"/>
    </row>
    <row r="59" spans="4:42" ht="15" customHeight="1">
      <c r="D59" s="31" t="str">
        <f>+IF($B$3="esp","Portugal","Portugal")</f>
        <v>Portugal</v>
      </c>
      <c r="F59" s="22">
        <f>+[1]GRUPO!F60</f>
        <v>38.550224642178684</v>
      </c>
      <c r="G59" s="23">
        <f>+[1]GRUPO!G60</f>
        <v>34.339104578531284</v>
      </c>
      <c r="H59" s="24">
        <f t="shared" si="9"/>
        <v>12.263336843908796</v>
      </c>
      <c r="L59" s="31" t="str">
        <f>+IF($B$3="esp","Portugal","Portugal")</f>
        <v>Portugal</v>
      </c>
      <c r="N59" s="22">
        <f>+[1]SANTILLANA!F60</f>
        <v>0.26754599999999995</v>
      </c>
      <c r="O59" s="23">
        <f>+[1]SANTILLANA!G60</f>
        <v>0.81502900000000011</v>
      </c>
      <c r="P59" s="24">
        <f t="shared" si="10"/>
        <v>-67.173438000365636</v>
      </c>
      <c r="T59" s="64" t="str">
        <f>+IF($B$3="esp","Latam","Latam")</f>
        <v>Latam</v>
      </c>
      <c r="U59" s="30"/>
      <c r="V59" s="27">
        <f>+[1]RADIO!F59</f>
        <v>16.052300396782499</v>
      </c>
      <c r="W59" s="28">
        <f>+[1]RADIO!G59</f>
        <v>18.2565152197344</v>
      </c>
      <c r="X59" s="29">
        <f t="shared" si="11"/>
        <v>-12.073579193083093</v>
      </c>
      <c r="AB59" s="26" t="str">
        <f>+IF($B$3="esp","Circulación","Circulation")</f>
        <v>Circulation</v>
      </c>
      <c r="AC59" s="30"/>
      <c r="AD59" s="27">
        <f>+[1]NOTICIAS!F31</f>
        <v>15.219825806268899</v>
      </c>
      <c r="AE59" s="28">
        <f>+[1]NOTICIAS!G31</f>
        <v>17.359048195345402</v>
      </c>
      <c r="AF59" s="29">
        <f t="shared" si="12"/>
        <v>-12.323385274372974</v>
      </c>
      <c r="AJ59" s="13" t="str">
        <f>+IF($B$3="esp","Gastos de Explotación","Operating Expenses")</f>
        <v>Operating Expenses</v>
      </c>
      <c r="AL59" s="14">
        <f>+'[1]MEDIA CAPITAL'!F25</f>
        <v>38.303922012178681</v>
      </c>
      <c r="AM59" s="15">
        <f>+'[1]MEDIA CAPITAL'!G25</f>
        <v>33.527566598531287</v>
      </c>
      <c r="AN59" s="16">
        <f>IF(AM59=0,"---",IF(OR(ABS((AL59-AM59)/ABS(AM59))&gt;2,(AL59*AM59)&lt;0),"---",IF(AM59="0","---",((AL59-AM59)/ABS(AM59))*100)))</f>
        <v>14.246054510429717</v>
      </c>
    </row>
    <row r="60" spans="4:42" s="13" customFormat="1" ht="15" customHeight="1">
      <c r="D60" s="13" t="str">
        <f>+IF($B$3="esp","EBITDA Contable","Reported EBITDA")</f>
        <v>Reported EBITDA</v>
      </c>
      <c r="F60" s="14">
        <f>+[1]GRUPO!F61</f>
        <v>18.974049138956701</v>
      </c>
      <c r="G60" s="15">
        <f>+[1]GRUPO!G61</f>
        <v>62.726917621368301</v>
      </c>
      <c r="H60" s="16">
        <f t="shared" si="9"/>
        <v>-69.75134462450761</v>
      </c>
      <c r="L60" s="13" t="str">
        <f>+IF($B$3="esp","EBITDA","EBITDA")</f>
        <v>EBITDA</v>
      </c>
      <c r="N60" s="14">
        <f>+[1]SANTILLANA!F61</f>
        <v>66.246471194497801</v>
      </c>
      <c r="O60" s="15">
        <f>+[1]SANTILLANA!G61</f>
        <v>64.840369411566897</v>
      </c>
      <c r="P60" s="16">
        <f t="shared" si="10"/>
        <v>2.168559179553454</v>
      </c>
      <c r="T60" s="64" t="str">
        <f>+IF($B$3="esp","Otros","Others")</f>
        <v>Others</v>
      </c>
      <c r="U60" s="30"/>
      <c r="V60" s="27">
        <f>+[1]RADIO!F60</f>
        <v>-8.4871599999090108E-3</v>
      </c>
      <c r="W60" s="28">
        <f>+[1]RADIO!G60</f>
        <v>-3.4577744039697933E-2</v>
      </c>
      <c r="X60" s="29">
        <f t="shared" si="11"/>
        <v>75.454847516468703</v>
      </c>
      <c r="Y60" s="1"/>
      <c r="AB60" s="26" t="str">
        <f>+IF($B$3="esp","Promociones y Otros","Add-ons and Others")</f>
        <v>Add-ons and Others</v>
      </c>
      <c r="AC60" s="30"/>
      <c r="AD60" s="27">
        <f>+[1]NOTICIAS!F32</f>
        <v>5.0402242611547958</v>
      </c>
      <c r="AE60" s="28">
        <f>+[1]NOTICIAS!G32</f>
        <v>6.8969028971967958</v>
      </c>
      <c r="AF60" s="29">
        <f t="shared" si="12"/>
        <v>-26.920469429787619</v>
      </c>
      <c r="AJ60" s="13" t="str">
        <f>+IF($B$3="esp","EBITDA","EBITDA")</f>
        <v>EBITDA</v>
      </c>
      <c r="AK60" s="1"/>
      <c r="AL60" s="14">
        <f>+'[1]MEDIA CAPITAL'!F26</f>
        <v>1.0032815278213201</v>
      </c>
      <c r="AM60" s="15">
        <f>+'[1]MEDIA CAPITAL'!G26</f>
        <v>5.1994183814687203</v>
      </c>
      <c r="AN60" s="16">
        <f>IF(AM60=0,"---",IF(OR(ABS((AL60-AM60)/ABS(AM60))&gt;2,(AL60*AM60)&lt;0),"---",IF(AM60="0","---",((AL60-AM60)/ABS(AM60))*100)))</f>
        <v>-80.703966209045191</v>
      </c>
    </row>
    <row r="61" spans="4:42" ht="15" customHeight="1" thickBot="1">
      <c r="D61" s="21" t="str">
        <f>+IF($B$3="esp","España","Spain")</f>
        <v>Spain</v>
      </c>
      <c r="F61" s="22">
        <f>+[1]GRUPO!F62</f>
        <v>-63.351151330000036</v>
      </c>
      <c r="G61" s="23">
        <f>+[1]GRUPO!G62</f>
        <v>-23.072332160000101</v>
      </c>
      <c r="H61" s="24">
        <f t="shared" si="9"/>
        <v>-174.57627989523431</v>
      </c>
      <c r="L61" s="21" t="str">
        <f>+IF($B$3="esp","España","Spain")</f>
        <v>Spain</v>
      </c>
      <c r="N61" s="22">
        <f>+[1]SANTILLANA!F62</f>
        <v>-14.940340609999936</v>
      </c>
      <c r="O61" s="23">
        <f>+[1]SANTILLANA!G62</f>
        <v>-15.254920579999705</v>
      </c>
      <c r="P61" s="24">
        <f t="shared" si="10"/>
        <v>2.0621540987385174</v>
      </c>
      <c r="T61" s="21" t="str">
        <f>+IF($B$3="esp","Otros","Others")</f>
        <v>Others</v>
      </c>
      <c r="V61" s="22">
        <f>+[1]RADIO!F61</f>
        <v>3.9544924518799078</v>
      </c>
      <c r="W61" s="23">
        <f>+[1]RADIO!G61</f>
        <v>4.2347305280845049</v>
      </c>
      <c r="X61" s="24">
        <f t="shared" si="11"/>
        <v>-6.6176129589845978</v>
      </c>
      <c r="Y61" s="13"/>
      <c r="AB61" s="25" t="str">
        <f>+IF($B$3="esp","PBS y Prisa Tecnología","PBS &amp; IT")</f>
        <v>PBS &amp; IT</v>
      </c>
      <c r="AC61" s="13"/>
      <c r="AD61" s="14">
        <f>+[1]NOTICIAS!F33</f>
        <v>5.2145747986919062</v>
      </c>
      <c r="AE61" s="15">
        <f>+[1]NOTICIAS!G33</f>
        <v>5.4704458519327019</v>
      </c>
      <c r="AF61" s="16">
        <f>IF(AE61=0,"---",IF(OR(ABS((AD61-AE61)/ABS(AE61))&gt;2,(AD61*AE61)&lt;0),"---",IF(AE61="0","---",((AD61-AE61)/ABS(AE61))*100)))</f>
        <v>-4.6773345384708778</v>
      </c>
      <c r="AJ61" s="26" t="str">
        <f>+IF($B$3="esp","Margen EBITDA ","EBITDA Margin")</f>
        <v>EBITDA Margin</v>
      </c>
      <c r="AL61" s="32">
        <f>+'[1]MEDIA CAPITAL'!F27</f>
        <v>2.5524113583922484E-2</v>
      </c>
      <c r="AM61" s="33">
        <f>+'[1]MEDIA CAPITAL'!G27</f>
        <v>0.13425827970222534</v>
      </c>
      <c r="AN61" s="34"/>
    </row>
    <row r="62" spans="4:42" ht="15" customHeight="1" thickTop="1">
      <c r="D62" s="21" t="str">
        <f>+IF($B$3="esp","Internacional","International")</f>
        <v>International</v>
      </c>
      <c r="F62" s="22">
        <f>+[1]GRUPO!F63</f>
        <v>82.325200468956737</v>
      </c>
      <c r="G62" s="23">
        <f>+[1]GRUPO!G63</f>
        <v>85.799249781368403</v>
      </c>
      <c r="H62" s="24">
        <f t="shared" si="9"/>
        <v>-4.0490439266825229</v>
      </c>
      <c r="L62" s="21" t="str">
        <f>+IF($B$3="esp","Internacional","International")</f>
        <v>International</v>
      </c>
      <c r="N62" s="22">
        <f>+[1]SANTILLANA!F63</f>
        <v>81.186811804497736</v>
      </c>
      <c r="O62" s="23">
        <f>+[1]SANTILLANA!G63</f>
        <v>80.095289991566602</v>
      </c>
      <c r="P62" s="24">
        <f t="shared" si="10"/>
        <v>1.3627790261400672</v>
      </c>
      <c r="T62" s="13" t="str">
        <f>+IF($B$3="esp","Gastos de Explotación","Operating Expenses")</f>
        <v>Operating Expenses</v>
      </c>
      <c r="U62" s="13"/>
      <c r="V62" s="14">
        <f>+[1]RADIO!F62</f>
        <v>52.015983529455113</v>
      </c>
      <c r="W62" s="15">
        <f>+[1]RADIO!G62</f>
        <v>56.298957680866032</v>
      </c>
      <c r="X62" s="16">
        <f t="shared" si="11"/>
        <v>-7.6075549669839555</v>
      </c>
      <c r="AB62" s="35" t="str">
        <f>+IF($B$3="esp","Gastos de Explotación Contables Noticias Gestión","Total Press Reported Expenses")</f>
        <v>Total Press Reported Expenses</v>
      </c>
      <c r="AC62" s="36"/>
      <c r="AD62" s="65">
        <f>+[1]NOTICIAS!F34</f>
        <v>51.141398433384289</v>
      </c>
      <c r="AE62" s="38">
        <f>+[1]NOTICIAS!G34</f>
        <v>53.573165776672766</v>
      </c>
      <c r="AF62" s="39">
        <f t="shared" ref="AF62" si="13">IF(AE62=0,"---",IF(OR(ABS((AD62-AE62)/ABS(AE62))&gt;2,(AD62*AE62)&lt;0),"---",IF(AE62="0","---",((AD62-AE62)/ABS(AE62))*100)))</f>
        <v>-4.5391518459551934</v>
      </c>
      <c r="AJ62" s="13" t="str">
        <f>+IF($B$3="esp","EBIT","EBIT")</f>
        <v>EBIT</v>
      </c>
      <c r="AL62" s="14">
        <f>+'[1]MEDIA CAPITAL'!F28</f>
        <v>-1.1566185021786701</v>
      </c>
      <c r="AM62" s="15">
        <f>+'[1]MEDIA CAPITAL'!G28</f>
        <v>3.67216762146872</v>
      </c>
      <c r="AN62" s="16" t="str">
        <f>IF(AM62=0,"---",IF(OR(ABS((AL62-AM62)/ABS(AM62))&gt;2,(AL62*AM62)&lt;0),"---",IF(AM62="0","---",((AL62-AM62)/ABS(AM62))*100)))</f>
        <v>---</v>
      </c>
    </row>
    <row r="63" spans="4:42" ht="15" customHeight="1">
      <c r="D63" s="31" t="str">
        <f>+IF($B$3="esp","Latam","Latam")</f>
        <v>Latam</v>
      </c>
      <c r="F63" s="22">
        <f>+[1]GRUPO!F64</f>
        <v>81.368411021135429</v>
      </c>
      <c r="G63" s="23">
        <f>+[1]GRUPO!G64</f>
        <v>81.681963379899685</v>
      </c>
      <c r="H63" s="24">
        <f t="shared" si="9"/>
        <v>-0.38386976241735915</v>
      </c>
      <c r="L63" s="31" t="str">
        <f>+IF($B$3="esp","Latam","Latam")</f>
        <v>Latam</v>
      </c>
      <c r="N63" s="22">
        <f>+[1]SANTILLANA!F64</f>
        <v>81.254518804497735</v>
      </c>
      <c r="O63" s="23">
        <f>+[1]SANTILLANA!G64</f>
        <v>80.880912991566603</v>
      </c>
      <c r="P63" s="24">
        <f t="shared" si="10"/>
        <v>0.46192086502545704</v>
      </c>
      <c r="T63" s="21" t="str">
        <f>+IF($B$3="esp","España","Spain")</f>
        <v>Spain</v>
      </c>
      <c r="V63" s="22">
        <f>+[1]RADIO!F63</f>
        <v>36.860667930000034</v>
      </c>
      <c r="W63" s="23">
        <f>+[1]RADIO!G63</f>
        <v>39.723370150000072</v>
      </c>
      <c r="X63" s="24">
        <f t="shared" si="11"/>
        <v>-7.2065945290899061</v>
      </c>
      <c r="AB63" s="25" t="str">
        <f>+IF($B$3="esp","Gastos de Explotación Contables PRENSA","PRESS Reported Expenses")</f>
        <v>PRESS Reported Expenses</v>
      </c>
      <c r="AC63" s="13"/>
      <c r="AD63" s="14">
        <f>+[1]NOTICIAS!F35</f>
        <v>45.926823634692383</v>
      </c>
      <c r="AE63" s="15">
        <f>+[1]NOTICIAS!G35</f>
        <v>48.102719924740065</v>
      </c>
      <c r="AF63" s="16">
        <f t="shared" si="12"/>
        <v>-4.5234371225827097</v>
      </c>
      <c r="AJ63" s="26" t="str">
        <f>+IF($B$3="esp","Margen EBIT ","EBIT Margin")</f>
        <v>EBIT Margin</v>
      </c>
      <c r="AK63" s="30"/>
      <c r="AL63" s="32">
        <f>+'[1]MEDIA CAPITAL'!F29</f>
        <v>-2.9425102729622215E-2</v>
      </c>
      <c r="AM63" s="33">
        <f>+'[1]MEDIA CAPITAL'!G29</f>
        <v>9.4821934198212388E-2</v>
      </c>
      <c r="AN63" s="34"/>
    </row>
    <row r="64" spans="4:42" ht="15" customHeight="1" thickBot="1">
      <c r="D64" s="31" t="str">
        <f>+IF($B$3="esp","Portugal","Portugal")</f>
        <v>Portugal</v>
      </c>
      <c r="F64" s="22">
        <f>+[1]GRUPO!F65</f>
        <v>0.95678944782131992</v>
      </c>
      <c r="G64" s="23">
        <f>+[1]GRUPO!G65</f>
        <v>4.1172864014687205</v>
      </c>
      <c r="H64" s="24">
        <f t="shared" si="9"/>
        <v>-76.761649432985436</v>
      </c>
      <c r="L64" s="31" t="str">
        <f>+IF($B$3="esp","Portugal","Portugal")</f>
        <v>Portugal</v>
      </c>
      <c r="N64" s="22">
        <f>+[1]SANTILLANA!F65</f>
        <v>-6.7706999999999989E-2</v>
      </c>
      <c r="O64" s="23">
        <f>+[1]SANTILLANA!G65</f>
        <v>-0.78562300000000007</v>
      </c>
      <c r="P64" s="24">
        <f t="shared" si="10"/>
        <v>91.381744169913574</v>
      </c>
      <c r="T64" s="21" t="str">
        <f>+IF($B$3="esp","Latam","Latam")</f>
        <v>Latam</v>
      </c>
      <c r="V64" s="22">
        <f>+[1]RADIO!F64</f>
        <v>16.061448210854852</v>
      </c>
      <c r="W64" s="23">
        <f>+[1]RADIO!G64</f>
        <v>16.809463907417282</v>
      </c>
      <c r="X64" s="24">
        <f t="shared" si="11"/>
        <v>-4.4499675937455869</v>
      </c>
      <c r="AB64" s="25" t="str">
        <f>+IF($B$3="esp","Gastos de Explotación Contables PBS y Tecnología","PBS &amp; IT Reported Expenses")</f>
        <v>PBS &amp; IT Reported Expenses</v>
      </c>
      <c r="AC64" s="13"/>
      <c r="AD64" s="14">
        <f>+[1]NOTICIAS!F36</f>
        <v>5.2145747986919062</v>
      </c>
      <c r="AE64" s="15">
        <f>+[1]NOTICIAS!G36</f>
        <v>5.4704458519327019</v>
      </c>
      <c r="AF64" s="16">
        <f t="shared" si="12"/>
        <v>-4.6773345384708778</v>
      </c>
      <c r="AJ64" s="66"/>
      <c r="AK64" s="13"/>
      <c r="AL64" s="66"/>
      <c r="AM64" s="66"/>
      <c r="AN64" s="66"/>
    </row>
    <row r="65" spans="4:32" s="30" customFormat="1" ht="15" customHeight="1" thickTop="1">
      <c r="D65" s="26" t="str">
        <f>+IF($B$3="esp","Margen EBITDA ","EBITDA Margin")</f>
        <v>EBITDA Margin</v>
      </c>
      <c r="F65" s="32">
        <f>+[1]GRUPO!F66</f>
        <v>6.468186890497081E-2</v>
      </c>
      <c r="G65" s="33">
        <f>+[1]GRUPO!G66</f>
        <v>0.24287040157931294</v>
      </c>
      <c r="H65" s="34"/>
      <c r="L65" s="26" t="str">
        <f>+IF($B$3="esp","Margen EBITDA ","EBITDA Margin")</f>
        <v>EBITDA Margin</v>
      </c>
      <c r="N65" s="32">
        <f>+[1]SANTILLANA!F66</f>
        <v>0.39218487817140718</v>
      </c>
      <c r="O65" s="33">
        <f>+[1]SANTILLANA!G66</f>
        <v>0.37318645564445135</v>
      </c>
      <c r="P65" s="34"/>
      <c r="T65" s="21" t="str">
        <f>+IF($B$3="esp","Música","Music")</f>
        <v>Music</v>
      </c>
      <c r="U65" s="1"/>
      <c r="V65" s="22">
        <f>+[1]RADIO!F65</f>
        <v>1.4300879999999998E-2</v>
      </c>
      <c r="W65" s="23">
        <f>+[1]RADIO!G65</f>
        <v>1.6316011719562311</v>
      </c>
      <c r="X65" s="24">
        <f t="shared" si="11"/>
        <v>-99.123506390789501</v>
      </c>
      <c r="Y65" s="1"/>
      <c r="AB65" s="35" t="str">
        <f>+IF($B$3="esp","EBITDA Contable Noticias Gestión","Total Press Reported EBITDA")</f>
        <v>Total Press Reported EBITDA</v>
      </c>
      <c r="AC65" s="36"/>
      <c r="AD65" s="65">
        <f>+[1]NOTICIAS!F37</f>
        <v>-3.0717104354629701</v>
      </c>
      <c r="AE65" s="38">
        <f>+[1]NOTICIAS!G37</f>
        <v>-4.4403270669349002</v>
      </c>
      <c r="AF65" s="39">
        <f t="shared" si="12"/>
        <v>30.822428412163529</v>
      </c>
    </row>
    <row r="66" spans="4:32" s="13" customFormat="1" ht="15" customHeight="1">
      <c r="D66" s="13" t="str">
        <f>+IF($B$3="esp","EBIT Contable","Reported EBIT")</f>
        <v>Reported EBIT</v>
      </c>
      <c r="F66" s="14">
        <f>+[1]GRUPO!F67</f>
        <v>-5.0635712613839523</v>
      </c>
      <c r="G66" s="15">
        <f>+[1]GRUPO!G67</f>
        <v>45.405651933371701</v>
      </c>
      <c r="H66" s="16" t="str">
        <f>IF(G66=0,"---",IF(OR(ABS((F66-G66)/ABS(G66))&gt;2,(F66*G66)&lt;0),"---",IF(G66="0","---",((F66-G66)/ABS(G66))*100)))</f>
        <v>---</v>
      </c>
      <c r="L66" s="13" t="str">
        <f>+IF($B$3="esp","EBIT","EBIT")</f>
        <v>EBIT</v>
      </c>
      <c r="N66" s="14">
        <f>+[1]SANTILLANA!F67</f>
        <v>51.493144670333301</v>
      </c>
      <c r="O66" s="15">
        <f>+[1]SANTILLANA!G67</f>
        <v>52.272485037302005</v>
      </c>
      <c r="P66" s="16">
        <f>IF(O66=0,"---",IF(OR(ABS((N66-O66)/ABS(O66))&gt;2,(N66*O66)&lt;0),"---",IF(O66="0","---",((N66-O66)/ABS(O66))*100)))</f>
        <v>-1.4909189153960465</v>
      </c>
      <c r="T66" s="21" t="str">
        <f>+IF($B$3="esp","Ajustes y Otros","Adjustments &amp; others")</f>
        <v>Adjustments &amp; others</v>
      </c>
      <c r="U66" s="1"/>
      <c r="V66" s="22">
        <f>+[1]RADIO!F66</f>
        <v>-0.92043349139977293</v>
      </c>
      <c r="W66" s="23">
        <f>+[1]RADIO!G66</f>
        <v>-1.8654775485075532</v>
      </c>
      <c r="X66" s="24">
        <f t="shared" si="11"/>
        <v>50.659631785107692</v>
      </c>
      <c r="AB66" s="25" t="str">
        <f>+IF($B$3="esp","EBITDA Contable PRENSA","PRESS Reported EBITDA")</f>
        <v>PRESS Reported EBITDA</v>
      </c>
      <c r="AD66" s="14">
        <f>+[1]NOTICIAS!F38</f>
        <v>-2.0838585457790901</v>
      </c>
      <c r="AE66" s="15">
        <f>+[1]NOTICIAS!G38</f>
        <v>-2.4518387281130698</v>
      </c>
      <c r="AF66" s="16">
        <f t="shared" si="12"/>
        <v>15.008335504071937</v>
      </c>
    </row>
    <row r="67" spans="4:32" ht="15" customHeight="1">
      <c r="D67" s="21" t="str">
        <f>+IF($B$3="esp","España","Spain")</f>
        <v>Spain</v>
      </c>
      <c r="F67" s="22">
        <f>+[1]GRUPO!F68</f>
        <v>-71.067391410000283</v>
      </c>
      <c r="G67" s="23">
        <f>+[1]GRUPO!G68</f>
        <v>-26.842785790000292</v>
      </c>
      <c r="H67" s="24">
        <f>IF(G67=0,"---",IF(OR(ABS((F67-G67)/ABS(G67))&gt;2,(F67*G67)&lt;0),"---",IF(G67="0","---",((F67-G67)/ABS(G67))*100)))</f>
        <v>-164.75415765704514</v>
      </c>
      <c r="L67" s="21" t="str">
        <f>+IF($B$3="esp","España","Spain")</f>
        <v>Spain</v>
      </c>
      <c r="N67" s="22">
        <f>+[1]SANTILLANA!F68</f>
        <v>-17.086284010000135</v>
      </c>
      <c r="O67" s="23">
        <f>+[1]SANTILLANA!G68</f>
        <v>-16.454786239999663</v>
      </c>
      <c r="P67" s="24">
        <f>IF(O67=0,"---",IF(OR(ABS((N67-O67)/ABS(O67))&gt;2,(N67*O67)&lt;0),"---",IF(O67="0","---",((N67-O67)/ABS(O67))*100)))</f>
        <v>-3.8377755917933141</v>
      </c>
      <c r="T67" s="13" t="str">
        <f>+IF($B$3="esp","EBITDA","EBITDA")</f>
        <v>EBITDA</v>
      </c>
      <c r="U67" s="13"/>
      <c r="V67" s="14">
        <f>+[1]RADIO!F67</f>
        <v>8.0448780192073901</v>
      </c>
      <c r="W67" s="15">
        <f>+[1]RADIO!G67</f>
        <v>2.53332094291317</v>
      </c>
      <c r="X67" s="16" t="str">
        <f t="shared" si="11"/>
        <v>---</v>
      </c>
      <c r="AB67" s="26" t="str">
        <f>+IF($B$3="esp","Margen EBITDA ","EBITDA Margin")</f>
        <v>EBITDA Margin</v>
      </c>
      <c r="AC67" s="30"/>
      <c r="AD67" s="32">
        <f>+[1]NOTICIAS!F39</f>
        <v>-4.7530055085303564E-2</v>
      </c>
      <c r="AE67" s="33">
        <f>+[1]NOTICIAS!G39</f>
        <v>-5.3708464411728128E-2</v>
      </c>
      <c r="AF67" s="34"/>
    </row>
    <row r="68" spans="4:32" ht="15" customHeight="1" thickBot="1">
      <c r="D68" s="21" t="str">
        <f>+IF($B$3="esp","Internacional","International")</f>
        <v>International</v>
      </c>
      <c r="F68" s="22">
        <f>+[1]GRUPO!F69</f>
        <v>66.003820148616327</v>
      </c>
      <c r="G68" s="23">
        <f>+[1]GRUPO!G69</f>
        <v>72.248437723371993</v>
      </c>
      <c r="H68" s="24">
        <f>IF(G68=0,"---",IF(OR(ABS((F68-G68)/ABS(G68))&gt;2,(F68*G68)&lt;0),"---",IF(G68="0","---",((F68-G68)/ABS(G68))*100)))</f>
        <v>-8.6432562025290185</v>
      </c>
      <c r="L68" s="21" t="str">
        <f>+IF($B$3="esp","Internacional","International")</f>
        <v>International</v>
      </c>
      <c r="N68" s="22">
        <f>+[1]SANTILLANA!F69</f>
        <v>68.579428680333436</v>
      </c>
      <c r="O68" s="23">
        <f>+[1]SANTILLANA!G69</f>
        <v>68.727271277301668</v>
      </c>
      <c r="P68" s="24">
        <f>IF(O68=0,"---",IF(OR(ABS((N68-O68)/ABS(O68))&gt;2,(N68*O68)&lt;0),"---",IF(O68="0","---",((N68-O68)/ABS(O68))*100)))</f>
        <v>-0.21511489430696995</v>
      </c>
      <c r="T68" s="21" t="str">
        <f>+IF($B$3="esp","España","Spain")</f>
        <v>Spain</v>
      </c>
      <c r="V68" s="22">
        <f>+[1]RADIO!F68</f>
        <v>6.2536923999999701</v>
      </c>
      <c r="W68" s="23">
        <f>+[1]RADIO!G68</f>
        <v>0.22006709999993018</v>
      </c>
      <c r="X68" s="24" t="str">
        <f t="shared" si="11"/>
        <v>---</v>
      </c>
      <c r="AB68" s="25" t="str">
        <f>+IF($B$3="esp","PBS y Prisa Tecnología","PBS &amp; IT")</f>
        <v>PBS &amp; IT</v>
      </c>
      <c r="AC68" s="13"/>
      <c r="AD68" s="14">
        <f>+[1]NOTICIAS!F40</f>
        <v>-0.98785188968387994</v>
      </c>
      <c r="AE68" s="15">
        <f>+[1]NOTICIAS!G40</f>
        <v>-1.9884883388218304</v>
      </c>
      <c r="AF68" s="16">
        <f>IF(AE68=0,"---",IF(OR(ABS((AD68-AE68)/ABS(AE68))&gt;2,(AD68*AE68)&lt;0),"---",IF(AE68="0","---",((AD68-AE68)/ABS(AE68))*100)))</f>
        <v>50.321464280289554</v>
      </c>
    </row>
    <row r="69" spans="4:32" ht="15" customHeight="1" thickTop="1">
      <c r="D69" s="31" t="str">
        <f>+IF($B$3="esp","Latam","Latam")</f>
        <v>Latam</v>
      </c>
      <c r="F69" s="22">
        <f>+[1]GRUPO!F70</f>
        <v>67.207019130795004</v>
      </c>
      <c r="G69" s="23">
        <f>+[1]GRUPO!G70</f>
        <v>69.651303031903268</v>
      </c>
      <c r="H69" s="24">
        <f>IF(G69=0,"---",IF(OR(ABS((F69-G69)/ABS(G69))&gt;2,(F69*G69)&lt;0),"---",IF(G69="0","---",((F69-G69)/ABS(G69))*100)))</f>
        <v>-3.5093153964236361</v>
      </c>
      <c r="L69" s="31" t="str">
        <f>+IF($B$3="esp","Latam","Latam")</f>
        <v>Latam</v>
      </c>
      <c r="N69" s="22">
        <f>+[1]SANTILLANA!F70</f>
        <v>68.651650680333432</v>
      </c>
      <c r="O69" s="23">
        <f>+[1]SANTILLANA!G70</f>
        <v>69.513851277301669</v>
      </c>
      <c r="P69" s="24">
        <f>IF(O69=0,"---",IF(OR(ABS((N69-O69)/ABS(O69))&gt;2,(N69*O69)&lt;0),"---",IF(O69="0","---",((N69-O69)/ABS(O69))*100)))</f>
        <v>-1.2403292022028569</v>
      </c>
      <c r="T69" s="21" t="str">
        <f>+IF($B$3="esp","Latam","Latam")</f>
        <v>Latam</v>
      </c>
      <c r="V69" s="22">
        <f>+[1]RADIO!F69</f>
        <v>1.8312196592074499</v>
      </c>
      <c r="W69" s="23">
        <f>+[1]RADIO!G69</f>
        <v>2.5965504458599198</v>
      </c>
      <c r="X69" s="24">
        <f t="shared" si="11"/>
        <v>-29.47490536425952</v>
      </c>
      <c r="AB69" s="35" t="str">
        <f>+IF($B$3="esp","EBIT Contable Noticias Gestión","Total Press Reported EBIT")</f>
        <v>Total Press Reported EBIT</v>
      </c>
      <c r="AC69" s="36"/>
      <c r="AD69" s="65">
        <f>+[1]NOTICIAS!F41</f>
        <v>-5.4188254213650096</v>
      </c>
      <c r="AE69" s="38">
        <f>+[1]NOTICIAS!G41</f>
        <v>-5.5686924482901308</v>
      </c>
      <c r="AF69" s="39">
        <f>IF(AE69=0,"---",IF(OR(ABS((AD69-AE69)/ABS(AE69))&gt;2,(AD69*AE69)&lt;0),"---",IF(AE69="0","---",((AD69-AE69)/ABS(AE69))*100)))</f>
        <v>2.6912426627392207</v>
      </c>
    </row>
    <row r="70" spans="4:32" ht="15" customHeight="1">
      <c r="D70" s="31" t="str">
        <f>+IF($B$3="esp","Portugal","Portugal")</f>
        <v>Portugal</v>
      </c>
      <c r="F70" s="22">
        <f>+[1]GRUPO!F71</f>
        <v>-1.2031989821786702</v>
      </c>
      <c r="G70" s="23">
        <f>+[1]GRUPO!G71</f>
        <v>2.5971346914687201</v>
      </c>
      <c r="H70" s="24" t="str">
        <f>IF(G70=0,"---",IF(OR(ABS((F70-G70)/ABS(G70))&gt;2,(F70*G70)&lt;0),"---",IF(G70="0","---",((F70-G70)/ABS(G70))*100)))</f>
        <v>---</v>
      </c>
      <c r="L70" s="31" t="str">
        <f>+IF($B$3="esp","Portugal","Portugal")</f>
        <v>Portugal</v>
      </c>
      <c r="N70" s="22">
        <f>+[1]SANTILLANA!F71</f>
        <v>-7.2221999999999995E-2</v>
      </c>
      <c r="O70" s="23">
        <f>+[1]SANTILLANA!G71</f>
        <v>-0.78658000000000006</v>
      </c>
      <c r="P70" s="24">
        <f>IF(O70=0,"---",IF(OR(ABS((N70-O70)/ABS(O70))&gt;2,(N70*O70)&lt;0),"---",IF(O70="0","---",((N70-O70)/ABS(O70))*100)))</f>
        <v>90.818225736733709</v>
      </c>
      <c r="T70" s="21" t="str">
        <f>+IF($B$3="esp","Música","Music")</f>
        <v>Music</v>
      </c>
      <c r="V70" s="22">
        <f>+[1]RADIO!F70</f>
        <v>-8.4370399999999998E-3</v>
      </c>
      <c r="W70" s="23">
        <f>+[1]RADIO!G70</f>
        <v>-0.28329660294665099</v>
      </c>
      <c r="X70" s="24">
        <f t="shared" si="11"/>
        <v>97.021835097122988</v>
      </c>
      <c r="AB70" s="25" t="str">
        <f>+IF($B$3="esp","EBIT Contable PRENSA","PRESS Reported EBIT")</f>
        <v>PRESS Reported EBIT</v>
      </c>
      <c r="AC70" s="13"/>
      <c r="AD70" s="14">
        <f>+[1]NOTICIAS!F42</f>
        <v>-3.9996465608834599</v>
      </c>
      <c r="AE70" s="15">
        <f>+[1]NOTICIAS!G42</f>
        <v>-3.44465394573011</v>
      </c>
      <c r="AF70" s="16">
        <f>IF(AE70=0,"---",IF(OR(ABS((AD70-AE70)/ABS(AE70))&gt;2,(AD70*AE70)&lt;0),"---",IF(AE70="0","---",((AD70-AE70)/ABS(AE70))*100)))</f>
        <v>-16.111708865307129</v>
      </c>
    </row>
    <row r="71" spans="4:32" s="30" customFormat="1" ht="15" customHeight="1">
      <c r="D71" s="26" t="str">
        <f>+IF($B$3="esp","Margen EBIT ","EBIT Margin")</f>
        <v>EBIT Margin</v>
      </c>
      <c r="F71" s="32">
        <f>+[1]GRUPO!F72</f>
        <v>-1.7261537066822596E-2</v>
      </c>
      <c r="G71" s="33">
        <f>+[1]GRUPO!G72</f>
        <v>0.17580473163999125</v>
      </c>
      <c r="H71" s="34"/>
      <c r="L71" s="26" t="str">
        <f>+IF($B$3="esp","Margen EBIT ","EBIT Margin")</f>
        <v>EBIT Margin</v>
      </c>
      <c r="N71" s="32">
        <f>+[1]SANTILLANA!F72</f>
        <v>0.30484390043819604</v>
      </c>
      <c r="O71" s="33">
        <f>+[1]SANTILLANA!G72</f>
        <v>0.30085244109233011</v>
      </c>
      <c r="P71" s="34"/>
      <c r="T71" s="21" t="str">
        <f>+IF($B$3="esp","Ajustes y Otros","Adjustments &amp; others")</f>
        <v>Adjustments &amp; others</v>
      </c>
      <c r="U71" s="1"/>
      <c r="V71" s="22">
        <f>+[1]RADIO!F71</f>
        <v>-3.1597000000029858E-2</v>
      </c>
      <c r="W71" s="23">
        <f>+[1]RADIO!G71</f>
        <v>-2.9143354396410359E-14</v>
      </c>
      <c r="X71" s="24" t="str">
        <f t="shared" si="11"/>
        <v>---</v>
      </c>
      <c r="AB71" s="26" t="str">
        <f>+IF($B$3="esp","Margen EBIT ","EBIT Margin")</f>
        <v>EBIT Margin</v>
      </c>
      <c r="AD71" s="32">
        <f>+[1]NOTICIAS!F43</f>
        <v>-9.1226643836068072E-2</v>
      </c>
      <c r="AE71" s="33">
        <f>+[1]NOTICIAS!G43</f>
        <v>-7.5456461199365082E-2</v>
      </c>
      <c r="AF71" s="34"/>
    </row>
    <row r="72" spans="4:32" s="13" customFormat="1" ht="15" customHeight="1">
      <c r="D72" s="13" t="str">
        <f>+IF($B$3="esp","Resultado Financiero","Financial Result")</f>
        <v>Financial Result</v>
      </c>
      <c r="F72" s="14">
        <f>+[1]GRUPO!F73</f>
        <v>-20.317486081905699</v>
      </c>
      <c r="G72" s="15">
        <f>+[1]GRUPO!G73</f>
        <v>-15.636434447509902</v>
      </c>
      <c r="H72" s="16">
        <f t="shared" ref="H72:H83" si="14">IF(G72=0,"---",IF(OR(ABS((F72-G72)/ABS(G72))&gt;2,(F72*G72)&lt;0),"---",IF(G72="0","---",((F72-G72)/ABS(G72))*100)))</f>
        <v>-29.936822554461912</v>
      </c>
      <c r="L72" s="1"/>
      <c r="M72" s="1"/>
      <c r="N72" s="1"/>
      <c r="O72" s="1"/>
      <c r="P72" s="1"/>
      <c r="T72" s="26" t="str">
        <f>+IF($B$3="esp","Margen EBITDA ","EBITDA Margin")</f>
        <v>EBITDA Margin</v>
      </c>
      <c r="U72" s="30"/>
      <c r="V72" s="32">
        <f>+[1]RADIO!F72</f>
        <v>0.13394543154678643</v>
      </c>
      <c r="W72" s="33">
        <f>+[1]RADIO!G72</f>
        <v>4.3060051423696455E-2</v>
      </c>
      <c r="X72" s="34"/>
      <c r="AB72" s="25" t="str">
        <f>+IF($B$3="esp","PBS y Prisa Tecnología","PBS &amp; IT")</f>
        <v>PBS &amp; IT</v>
      </c>
      <c r="AD72" s="14">
        <f>+[1]NOTICIAS!F44</f>
        <v>-1.4191788604815496</v>
      </c>
      <c r="AE72" s="15">
        <f>+[1]NOTICIAS!G44</f>
        <v>-2.1240385025600208</v>
      </c>
      <c r="AF72" s="16">
        <f>IF(AE72=0,"---",IF(OR(ABS((AD72-AE72)/ABS(AE72))&gt;2,(AD72*AE72)&lt;0),"---",IF(AE72="0","---",((AD72-AE72)/ABS(AE72))*100)))</f>
        <v>33.184880652065928</v>
      </c>
    </row>
    <row r="73" spans="4:32" ht="15" customHeight="1">
      <c r="D73" s="21" t="str">
        <f>+IF($B$3="esp","Gastos por intereses de financiación","Interests on debt")</f>
        <v>Interests on debt</v>
      </c>
      <c r="F73" s="22">
        <f>+[1]GRUPO!F74</f>
        <v>-14.7118523427976</v>
      </c>
      <c r="G73" s="23">
        <f>+[1]GRUPO!G74</f>
        <v>-12.640595589795598</v>
      </c>
      <c r="H73" s="24">
        <f t="shared" si="14"/>
        <v>-16.385752857041563</v>
      </c>
      <c r="T73" s="13" t="str">
        <f>+IF($B$3="esp","EBIT","EBIT")</f>
        <v>EBIT</v>
      </c>
      <c r="U73" s="13"/>
      <c r="V73" s="14">
        <f>+[1]RADIO!F73</f>
        <v>3.6023070889331898</v>
      </c>
      <c r="W73" s="15">
        <f>+[1]RADIO!G73</f>
        <v>0.51495784189184801</v>
      </c>
      <c r="X73" s="16" t="str">
        <f>IF(W73=0,"---",IF(OR(ABS((V73-W73)/ABS(W73))&gt;2,(V73*W73)&lt;0),"---",IF(W73="0","---",((V73-W73)/ABS(W73))*100)))</f>
        <v>---</v>
      </c>
    </row>
    <row r="74" spans="4:32" ht="15" customHeight="1">
      <c r="D74" s="21" t="str">
        <f>+IF($B$3="esp","Otros resultados financieros","Other financial results")</f>
        <v>Other financial results</v>
      </c>
      <c r="F74" s="22">
        <f>+[1]GRUPO!F75</f>
        <v>-5.6056337391080984</v>
      </c>
      <c r="G74" s="23">
        <f>+[1]GRUPO!G75</f>
        <v>-2.995838857714304</v>
      </c>
      <c r="H74" s="24">
        <f t="shared" si="14"/>
        <v>-87.113993954433028</v>
      </c>
      <c r="T74" s="21" t="str">
        <f>+IF($B$3="esp","España","Spain")</f>
        <v>Spain</v>
      </c>
      <c r="V74" s="22">
        <f>+[1]RADIO!F74</f>
        <v>3.3364080799999898</v>
      </c>
      <c r="W74" s="23">
        <f>+[1]RADIO!G74</f>
        <v>-1.1799431800000202</v>
      </c>
      <c r="X74" s="24" t="str">
        <f>IF(W74=0,"---",IF(OR(ABS((V74-W74)/ABS(W74))&gt;2,(V74*W74)&lt;0),"---",IF(W74="0","---",((V74-W74)/ABS(W74))*100)))</f>
        <v>---</v>
      </c>
    </row>
    <row r="75" spans="4:32" s="13" customFormat="1" ht="15" customHeight="1">
      <c r="D75" s="13" t="str">
        <f>+IF($B$3="esp","Resultado puesta en equivalencia","Result from associates")</f>
        <v>Result from associates</v>
      </c>
      <c r="F75" s="14">
        <f>+[1]GRUPO!F76</f>
        <v>0.34856353914214</v>
      </c>
      <c r="G75" s="15">
        <f>+[1]GRUPO!G76</f>
        <v>0.786383078561535</v>
      </c>
      <c r="H75" s="16">
        <f t="shared" si="14"/>
        <v>-55.675096699723213</v>
      </c>
      <c r="T75" s="21" t="str">
        <f>+IF($B$3="esp","Latam","Latam")</f>
        <v>Latam</v>
      </c>
      <c r="U75" s="1"/>
      <c r="V75" s="22">
        <f>+[1]RADIO!F75</f>
        <v>0.30593304893328599</v>
      </c>
      <c r="W75" s="23">
        <f>+[1]RADIO!G75</f>
        <v>1.97951121614603</v>
      </c>
      <c r="X75" s="24">
        <f>IF(W75=0,"---",IF(OR(ABS((V75-W75)/ABS(W75))&gt;2,(V75*W75)&lt;0),"---",IF(W75="0","---",((V75-W75)/ABS(W75))*100)))</f>
        <v>-84.545020688040552</v>
      </c>
      <c r="Y75" s="1"/>
    </row>
    <row r="76" spans="4:32" s="13" customFormat="1" ht="15" customHeight="1">
      <c r="D76" s="13" t="str">
        <f>+IF($B$3="esp","Resultado antes de impuestos","Profit before tax")</f>
        <v>Profit before tax</v>
      </c>
      <c r="F76" s="14">
        <f>+[1]GRUPO!F77</f>
        <v>-25.03249380414751</v>
      </c>
      <c r="G76" s="15">
        <f>+[1]GRUPO!G77</f>
        <v>30.555600564423333</v>
      </c>
      <c r="H76" s="16" t="str">
        <f t="shared" si="14"/>
        <v>---</v>
      </c>
      <c r="T76" s="21" t="str">
        <f>+IF($B$3="esp","Música","Music")</f>
        <v>Music</v>
      </c>
      <c r="U76" s="1"/>
      <c r="V76" s="22">
        <f>+[1]RADIO!F76</f>
        <v>-8.4370399999999998E-3</v>
      </c>
      <c r="W76" s="23">
        <f>+[1]RADIO!G76</f>
        <v>-0.28461019425408396</v>
      </c>
      <c r="X76" s="24">
        <f>IF(W76=0,"---",IF(OR(ABS((V76-W76)/ABS(W76))&gt;2,(V76*W76)&lt;0),"---",IF(W76="0","---",((V76-W76)/ABS(W76))*100)))</f>
        <v>97.035580534241902</v>
      </c>
      <c r="Y76" s="1"/>
    </row>
    <row r="77" spans="4:32" ht="15" customHeight="1">
      <c r="D77" s="21" t="str">
        <f>+IF($B$3="esp","Impuesto sobre sociedades","Income tax expense")</f>
        <v>Income tax expense</v>
      </c>
      <c r="F77" s="22">
        <f>+[1]GRUPO!F78</f>
        <v>20.762623349236669</v>
      </c>
      <c r="G77" s="23">
        <f>+[1]GRUPO!G78</f>
        <v>13.35983925695643</v>
      </c>
      <c r="H77" s="24">
        <f t="shared" si="14"/>
        <v>55.41072725426416</v>
      </c>
      <c r="T77" s="21" t="str">
        <f>+IF($B$3="esp","Ajustes y Otros","Adjustments &amp; others")</f>
        <v>Adjustments &amp; others</v>
      </c>
      <c r="V77" s="22">
        <f>+[1]RADIO!F77</f>
        <v>-3.1597000000085924E-2</v>
      </c>
      <c r="W77" s="23">
        <f>+[1]RADIO!G77</f>
        <v>-7.7937656328685989E-14</v>
      </c>
      <c r="X77" s="24" t="str">
        <f>IF(W77=0,"---",IF(OR(ABS((V77-W77)/ABS(W77))&gt;2,(V77*W77)&lt;0),"---",IF(W77="0","---",((V77-W77)/ABS(W77))*100)))</f>
        <v>---</v>
      </c>
      <c r="Y77" s="30"/>
    </row>
    <row r="78" spans="4:32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+[1]GRUPO!F79</f>
        <v>0.40895078000000001</v>
      </c>
      <c r="G78" s="15">
        <f>+[1]GRUPO!G79</f>
        <v>0</v>
      </c>
      <c r="H78" s="16" t="str">
        <f t="shared" si="14"/>
        <v>---</v>
      </c>
      <c r="T78" s="26" t="str">
        <f>+IF($B$3="esp","Margen EBIT ","EBIT Margin")</f>
        <v>EBIT Margin</v>
      </c>
      <c r="U78" s="30"/>
      <c r="V78" s="32">
        <f>+[1]RADIO!F78</f>
        <v>5.9977612642378254E-2</v>
      </c>
      <c r="W78" s="33">
        <f>+[1]RADIO!G78</f>
        <v>8.7529814234274632E-3</v>
      </c>
      <c r="X78" s="34"/>
    </row>
    <row r="79" spans="4:32" s="13" customFormat="1" ht="15" customHeight="1">
      <c r="D79" s="13" t="str">
        <f>+IF($B$3="esp","Resultado atribuido a socios externos","Minority interest")</f>
        <v>Minority interest</v>
      </c>
      <c r="F79" s="14">
        <f>+[1]GRUPO!F80</f>
        <v>-4.7967037359836908</v>
      </c>
      <c r="G79" s="15">
        <f>+[1]GRUPO!G80</f>
        <v>5.3901843120346804</v>
      </c>
      <c r="H79" s="16" t="str">
        <f t="shared" si="14"/>
        <v>---</v>
      </c>
      <c r="T79" s="1"/>
      <c r="U79" s="1"/>
      <c r="V79" s="1"/>
      <c r="W79" s="1"/>
      <c r="X79" s="1"/>
      <c r="Y79" s="1"/>
    </row>
    <row r="80" spans="4:32" s="13" customFormat="1" ht="15" customHeight="1">
      <c r="D80" s="13" t="str">
        <f>+IF($B$3="esp","Resultado Neto","Net Profit")</f>
        <v>Net Profit</v>
      </c>
      <c r="F80" s="14">
        <f>+[1]GRUPO!F81</f>
        <v>-40.589462637400104</v>
      </c>
      <c r="G80" s="15">
        <f>+[1]GRUPO!G81</f>
        <v>11.805576995433031</v>
      </c>
      <c r="H80" s="16" t="str">
        <f t="shared" si="14"/>
        <v>---</v>
      </c>
    </row>
    <row r="81" spans="4:42">
      <c r="D81" s="21" t="str">
        <f>+IF($A$1="esp","Sentencia Mediapro","Mediapro sentence")</f>
        <v>Mediapro sentence</v>
      </c>
      <c r="F81" s="22">
        <f>+[1]GRUPO!F82</f>
        <v>-40.828660400000004</v>
      </c>
      <c r="G81" s="23">
        <f>+[1]GRUPO!G82</f>
        <v>0</v>
      </c>
      <c r="H81" s="24" t="str">
        <f t="shared" si="14"/>
        <v>---</v>
      </c>
      <c r="T81" s="13"/>
      <c r="U81" s="13"/>
      <c r="V81" s="13"/>
      <c r="W81" s="13"/>
      <c r="X81" s="13"/>
      <c r="Y81" s="13"/>
    </row>
    <row r="82" spans="4:42">
      <c r="D82" s="21" t="str">
        <f>+IF($A$1="esp","NIIF16","IFRS16")</f>
        <v>IFRS16</v>
      </c>
      <c r="F82" s="22">
        <f>+[1]GRUPO!F83</f>
        <v>0</v>
      </c>
      <c r="G82" s="23">
        <f>+[1]GRUPO!G83</f>
        <v>-1.4039693827658084</v>
      </c>
      <c r="H82" s="24">
        <f t="shared" si="14"/>
        <v>100</v>
      </c>
      <c r="T82" s="13"/>
      <c r="U82" s="13"/>
      <c r="V82" s="13"/>
      <c r="W82" s="13"/>
      <c r="X82" s="13"/>
      <c r="Y82" s="13"/>
    </row>
    <row r="83" spans="4:42">
      <c r="D83" s="13" t="str">
        <f>+IF($B$3="esp","Resultado Neto Comparable","Comparable Net Profit")</f>
        <v>Comparable Net Profit</v>
      </c>
      <c r="F83" s="14">
        <f>+[1]GRUPO!F84</f>
        <v>0.23919776260090567</v>
      </c>
      <c r="G83" s="15">
        <f>+[1]GRUPO!G84</f>
        <v>10.401607612667222</v>
      </c>
      <c r="H83" s="16">
        <f t="shared" si="14"/>
        <v>-97.700376984903684</v>
      </c>
      <c r="T83" s="13"/>
      <c r="U83" s="13"/>
      <c r="V83" s="13"/>
      <c r="W83" s="13"/>
      <c r="X83" s="13"/>
      <c r="Y83" s="13"/>
    </row>
    <row r="84" spans="4:42">
      <c r="T84" s="13"/>
      <c r="U84" s="13"/>
      <c r="V84" s="13"/>
      <c r="W84" s="13"/>
      <c r="X84" s="13"/>
      <c r="Y84" s="13"/>
    </row>
    <row r="85" spans="4:42">
      <c r="T85" s="13"/>
      <c r="U85" s="13"/>
      <c r="V85" s="13"/>
      <c r="W85" s="13"/>
      <c r="X85" s="13"/>
      <c r="Y85" s="13"/>
    </row>
    <row r="86" spans="4:42">
      <c r="T86" s="13"/>
      <c r="U86" s="13"/>
      <c r="V86" s="13"/>
      <c r="W86" s="13"/>
      <c r="X86" s="13"/>
      <c r="Y86" s="13"/>
    </row>
    <row r="87" spans="4:42">
      <c r="T87" s="13"/>
      <c r="U87" s="13"/>
      <c r="V87" s="13"/>
      <c r="W87" s="13"/>
      <c r="X87" s="13"/>
      <c r="Y87" s="13"/>
    </row>
    <row r="88" spans="4:42">
      <c r="T88" s="13"/>
      <c r="U88" s="13"/>
      <c r="V88" s="13"/>
      <c r="W88" s="13"/>
      <c r="X88" s="13"/>
      <c r="Y88" s="13"/>
    </row>
    <row r="89" spans="4:42"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</row>
    <row r="90" spans="4:42">
      <c r="T90" s="13"/>
      <c r="U90" s="13"/>
      <c r="V90" s="13"/>
      <c r="W90" s="13"/>
      <c r="X90" s="13"/>
      <c r="Y90" s="13"/>
    </row>
    <row r="91" spans="4:42">
      <c r="F91" s="7" t="str">
        <f>+F6</f>
        <v>JANUARY - MARCH</v>
      </c>
      <c r="G91" s="8"/>
      <c r="H91" s="8"/>
    </row>
    <row r="93" spans="4:42">
      <c r="D93" s="9" t="str">
        <f>+IF($B$3="esp","Millones de €","€ Millions")</f>
        <v>€ Millions</v>
      </c>
      <c r="F93" s="10">
        <v>2019</v>
      </c>
      <c r="G93" s="10">
        <v>2018</v>
      </c>
      <c r="H93" s="10" t="s">
        <v>5</v>
      </c>
      <c r="I93" s="13"/>
      <c r="J93" s="13"/>
      <c r="L93" s="9" t="str">
        <f>+IF($B$3="esp","Millones de €","€ Millions")</f>
        <v>€ Millions</v>
      </c>
      <c r="N93" s="10">
        <v>2019</v>
      </c>
      <c r="O93" s="10">
        <v>2018</v>
      </c>
      <c r="P93" s="10" t="s">
        <v>5</v>
      </c>
      <c r="T93" s="9" t="str">
        <f>+IF($B$3="esp","Millones de €","€ Millions")</f>
        <v>€ Millions</v>
      </c>
      <c r="V93" s="10">
        <v>2019</v>
      </c>
      <c r="W93" s="10">
        <v>2018</v>
      </c>
      <c r="X93" s="10" t="s">
        <v>5</v>
      </c>
      <c r="AB93" s="9" t="str">
        <f>+IF($B$3="esp","Millones de €","€ Millions")</f>
        <v>€ Millions</v>
      </c>
      <c r="AD93" s="10">
        <v>2019</v>
      </c>
      <c r="AE93" s="10">
        <v>2018</v>
      </c>
      <c r="AF93" s="10" t="str">
        <f>+IF($B$3="esp","Var.%","% Chg.")</f>
        <v>% Chg.</v>
      </c>
      <c r="AJ93" s="9" t="str">
        <f>+IF($B$3="esp","Millones de €","€ Millions")</f>
        <v>€ Millions</v>
      </c>
      <c r="AL93" s="10">
        <v>2019</v>
      </c>
      <c r="AM93" s="10">
        <v>2018</v>
      </c>
      <c r="AN93" s="10" t="str">
        <f>+IF($B$3="esp","Var.%","% Chg.")</f>
        <v>% Chg.</v>
      </c>
    </row>
    <row r="94" spans="4:42" ht="15.75" customHeight="1">
      <c r="D94" s="11" t="str">
        <f>+IF($B$3="esp","Efecto Sentencia Mediapro y NIIF16","Mediapro sentence &amp; IFRS16 Effect")</f>
        <v>Mediapro sentence &amp; IFRS16 Effect</v>
      </c>
      <c r="F94" s="12"/>
      <c r="G94" s="12"/>
      <c r="H94" s="12"/>
      <c r="L94" s="11" t="str">
        <f>+IF($B$3="esp","Efecto NIIF16","IFRS16 Effect")</f>
        <v>IFRS16 Effect</v>
      </c>
      <c r="N94" s="12"/>
      <c r="O94" s="12"/>
      <c r="P94" s="12"/>
      <c r="T94" s="11" t="str">
        <f>+IF($B$3="esp","Efecto NIIF16","IFRS16 Effect")</f>
        <v>IFRS16 Effect</v>
      </c>
      <c r="V94" s="12"/>
      <c r="W94" s="12"/>
      <c r="X94" s="12"/>
      <c r="AB94" s="11" t="str">
        <f>+IF($B$3="esp","Efecto NIIF16","IFRS16 Effect")</f>
        <v>IFRS16 Effect</v>
      </c>
      <c r="AD94" s="12"/>
      <c r="AE94" s="12"/>
      <c r="AF94" s="12"/>
      <c r="AJ94" s="11" t="str">
        <f>+IF($B$3="esp","Efecto NIIF16","IFRS16 Effect")</f>
        <v>IFRS16 Effect</v>
      </c>
      <c r="AL94" s="12"/>
      <c r="AM94" s="12"/>
      <c r="AN94" s="12"/>
    </row>
    <row r="95" spans="4:42" s="13" customFormat="1" ht="15" customHeight="1">
      <c r="D95" s="13" t="str">
        <f>+IF($B$3="esp","Efectos extraordinarios en Ingresos","One-offs in Operating Revenues")</f>
        <v>One-offs in Operating Revenues</v>
      </c>
      <c r="F95" s="14"/>
      <c r="G95" s="15"/>
      <c r="H95" s="16" t="str">
        <f>IF(G95=0,"---",IF(OR(ABS((F95-G95)/ABS(G95))&gt;2,(F95*G95)&lt;0),"---",IF(G95="0","---",((F95-G95)/ABS(G95))*100)))</f>
        <v>---</v>
      </c>
      <c r="I95" s="1"/>
      <c r="J95" s="1"/>
      <c r="L95" s="13" t="str">
        <f>+IF($B$3="esp","Efectos extraordinarios en Ingresos","One-offs in Operating Revenues")</f>
        <v>One-offs in Operating Revenues</v>
      </c>
      <c r="N95" s="14">
        <f>+[1]SANTILLANA!AC80</f>
        <v>0</v>
      </c>
      <c r="O95" s="15">
        <f>+[1]SANTILLANA!AD80</f>
        <v>0</v>
      </c>
      <c r="P95" s="16" t="str">
        <f>IF(O95=0,"---",IF(OR(ABS((N95-O95)/ABS(O95))&gt;2,(N95*O95)&lt;0),"---",IF(O95="0","---",((N95-O95)/ABS(O95))*100)))</f>
        <v>---</v>
      </c>
      <c r="T95" s="13" t="str">
        <f>+IF($B$3="esp","Efectos extraordinarios en Ingresos","One-offs in Operating Revenues")</f>
        <v>One-offs in Operating Revenues</v>
      </c>
      <c r="V95" s="14">
        <f>+[1]RADIO!AC86</f>
        <v>0</v>
      </c>
      <c r="W95" s="15">
        <f>+[1]RADIO!AD86</f>
        <v>0</v>
      </c>
      <c r="X95" s="16" t="str">
        <f>IF(W95=0,"---",IF(OR(ABS((V95-W95)/ABS(W95))&gt;2,(V95*W95)&lt;0),"---",IF(W95="0","---",((V95-W95)/ABS(W95))*100)))</f>
        <v>---</v>
      </c>
      <c r="AB95" s="13" t="str">
        <f>+IF($B$3="esp","Efectos extraordinarios en Ingresos","One-offs in Operating Revenues")</f>
        <v>One-offs in Operating Revenues</v>
      </c>
      <c r="AD95" s="14">
        <f>+[1]NOTICIAS!AC52</f>
        <v>0</v>
      </c>
      <c r="AE95" s="15">
        <f>+[1]NOTICIAS!AD52</f>
        <v>0</v>
      </c>
      <c r="AF95" s="16" t="str">
        <f>IF(AE95=0,"---",IF(OR(ABS((AD95-AE95)/ABS(AE95))&gt;2,(AD95*AE95)&lt;0),"---",IF(AE95="0","---",((AD95-AE95)/ABS(AE95))*100)))</f>
        <v>---</v>
      </c>
      <c r="AJ95" s="13" t="str">
        <f>+IF($B$3="esp","Efectos extraordinarios en Ingresos","One-offs in Operating Revenues")</f>
        <v>One-offs in Operating Revenues</v>
      </c>
      <c r="AL95" s="14">
        <f>+'[1]MEDIA CAPITAL'!AC37</f>
        <v>0</v>
      </c>
      <c r="AM95" s="15">
        <f>+'[1]MEDIA CAPITAL'!AD37</f>
        <v>0</v>
      </c>
      <c r="AN95" s="16" t="str">
        <f t="shared" ref="AN95:AN103" si="15">IF(AM95=0,"---",IF(OR(ABS((AL95-AM95)/ABS(AM95))&gt;2,(AL95*AM95)&lt;0),"---",IF(AM95="0","---",((AL95-AM95)/ABS(AM95))*100)))</f>
        <v>---</v>
      </c>
    </row>
    <row r="96" spans="4:42" ht="15" customHeight="1">
      <c r="D96" s="21"/>
      <c r="F96" s="22"/>
      <c r="G96" s="23"/>
      <c r="H96" s="24" t="str">
        <f t="shared" ref="H96:H98" si="16">IF(G96=0,"---",IF(OR(ABS((F96-G96)/ABS(G96))&gt;2,(F96*G96)&lt;0),"---",IF(G96="0","---",((F96-G96)/ABS(G96))*100)))</f>
        <v>---</v>
      </c>
      <c r="L96" s="21"/>
      <c r="N96" s="22"/>
      <c r="O96" s="23"/>
      <c r="P96" s="24" t="str">
        <f>IF(O96=0,"---",IF(OR(ABS((N96-O96)/ABS(O96))&gt;2,(N96*O96)&lt;0),"---",IF(O96="0","---",((N96-O96)/ABS(O96))*100)))</f>
        <v>---</v>
      </c>
      <c r="T96" s="21"/>
      <c r="V96" s="22"/>
      <c r="W96" s="23"/>
      <c r="X96" s="24"/>
      <c r="AB96" s="21"/>
      <c r="AD96" s="22"/>
      <c r="AE96" s="23"/>
      <c r="AF96" s="24"/>
      <c r="AJ96" s="21"/>
      <c r="AL96" s="22"/>
      <c r="AM96" s="23"/>
      <c r="AN96" s="24" t="str">
        <f t="shared" si="15"/>
        <v>---</v>
      </c>
    </row>
    <row r="97" spans="1:42" ht="15" customHeight="1">
      <c r="D97" s="21"/>
      <c r="F97" s="22"/>
      <c r="G97" s="23"/>
      <c r="H97" s="24" t="str">
        <f t="shared" si="16"/>
        <v>---</v>
      </c>
      <c r="L97" s="21"/>
      <c r="N97" s="22"/>
      <c r="O97" s="23"/>
      <c r="P97" s="24"/>
      <c r="T97" s="21"/>
      <c r="V97" s="22"/>
      <c r="W97" s="23"/>
      <c r="X97" s="24"/>
      <c r="AB97" s="21"/>
      <c r="AD97" s="22"/>
      <c r="AE97" s="23"/>
      <c r="AF97" s="24"/>
      <c r="AJ97" s="21"/>
      <c r="AL97" s="22"/>
      <c r="AM97" s="23"/>
      <c r="AN97" s="24" t="str">
        <f t="shared" si="15"/>
        <v>---</v>
      </c>
    </row>
    <row r="98" spans="1:42" ht="15" customHeight="1">
      <c r="D98" s="21"/>
      <c r="F98" s="22"/>
      <c r="G98" s="23"/>
      <c r="H98" s="24" t="str">
        <f t="shared" si="16"/>
        <v>---</v>
      </c>
      <c r="L98" s="21"/>
      <c r="N98" s="22"/>
      <c r="O98" s="23"/>
      <c r="P98" s="24"/>
      <c r="T98" s="21"/>
      <c r="V98" s="22"/>
      <c r="W98" s="23"/>
      <c r="X98" s="24"/>
      <c r="AB98" s="21"/>
      <c r="AD98" s="22"/>
      <c r="AE98" s="23"/>
      <c r="AF98" s="24"/>
      <c r="AJ98" s="21"/>
      <c r="AL98" s="22"/>
      <c r="AM98" s="23"/>
      <c r="AN98" s="24" t="str">
        <f t="shared" si="15"/>
        <v>---</v>
      </c>
    </row>
    <row r="99" spans="1:42" ht="15" customHeight="1">
      <c r="D99" s="13" t="str">
        <f>+IF($B$3="esp","Efecto en Gastos","Effect in Expenses")</f>
        <v>Effect in Expenses</v>
      </c>
      <c r="E99" s="13"/>
      <c r="F99" s="14">
        <f>+[1]GRUPO!F98</f>
        <v>51.035825500000001</v>
      </c>
      <c r="G99" s="15">
        <f>+[1]GRUPO!G98</f>
        <v>-8.8621577920786656</v>
      </c>
      <c r="H99" s="16" t="str">
        <f>IF(G99=0,"---",IF(OR(ABS((F99-G99)/ABS(G99))&gt;2,(F99*G99)&lt;0),"---",IF(G99="0","---",((F99-G99)/ABS(G99))*100)))</f>
        <v>---</v>
      </c>
      <c r="L99" s="13" t="str">
        <f>+IF($B$3="esp","Efectos extraordinarios en Gastos","One-offs in Operating Expenses")</f>
        <v>One-offs in Operating Expenses</v>
      </c>
      <c r="N99" s="14">
        <f>+N101</f>
        <v>0</v>
      </c>
      <c r="O99" s="15">
        <f>+O101</f>
        <v>-3.4075497737134159</v>
      </c>
      <c r="P99" s="16">
        <f>IF(O99=0,"---",IF(OR(ABS((N99-O99)/ABS(O99))&gt;2,(N99*O99)&lt;0),"---",IF(O99="0","---",((N99-O99)/ABS(O99))*100)))</f>
        <v>100</v>
      </c>
      <c r="T99" s="13" t="str">
        <f>+IF($B$3="esp","Efectos extraordinarios en Gastos","One-offs in Operating Expenses")</f>
        <v>One-offs in Operating Expenses</v>
      </c>
      <c r="V99" s="14">
        <f>+V101</f>
        <v>0</v>
      </c>
      <c r="W99" s="15">
        <f>+W102</f>
        <v>2.3887499999999999</v>
      </c>
      <c r="X99" s="16">
        <f>IF(W99=0,"---",IF(OR(ABS((V99-W99)/ABS(W99))&gt;2,(V99*W99)&lt;0),"---",IF(W99="0","---",((V99-W99)/ABS(W99))*100)))</f>
        <v>-100</v>
      </c>
      <c r="AB99" s="13" t="str">
        <f>+IF($B$3="esp","Efectos extraordinarios en Gastos","One-offs in Operating Expenses")</f>
        <v>One-offs in Operating Expenses</v>
      </c>
      <c r="AD99" s="14">
        <f>+AD101</f>
        <v>0</v>
      </c>
      <c r="AE99" s="15">
        <f>+AE101</f>
        <v>-1.3638880273136003</v>
      </c>
      <c r="AF99" s="16">
        <f>IF(AE99=0,"---",IF(OR(ABS((AD99-AE99)/ABS(AE99))&gt;2,(AD99*AE99)&lt;0),"---",IF(AE99="0","---",((AD99-AE99)/ABS(AE99))*100)))</f>
        <v>100</v>
      </c>
      <c r="AJ99" s="13" t="str">
        <f>+IF($B$3="esp","Efectos extraordinarios en Gastos","One-offs in Operating Expenses")</f>
        <v>One-offs in Operating Expenses</v>
      </c>
      <c r="AL99" s="14">
        <f>+AL101</f>
        <v>0</v>
      </c>
      <c r="AM99" s="15">
        <f>+AM101</f>
        <v>-0.58957212125000014</v>
      </c>
      <c r="AN99" s="16">
        <f>IF(AM99=0,"---",IF(OR(ABS((AL99-AM99)/ABS(AM99))&gt;2,(AL99*AM99)&lt;0),"---",IF(AM99="0","---",((AL99-AM99)/ABS(AM99))*100)))</f>
        <v>100</v>
      </c>
    </row>
    <row r="100" spans="1:42" ht="15" customHeight="1">
      <c r="D100" s="21" t="str">
        <f>+IF($A$1="esp","Sentencia Mediapro","Mediapro Rulling")</f>
        <v>Mediapro Rulling</v>
      </c>
      <c r="F100" s="22">
        <f>+[1]GRUPO!F102</f>
        <v>51.035825500000001</v>
      </c>
      <c r="G100" s="23">
        <f>+[1]GRUPO!G102</f>
        <v>0</v>
      </c>
      <c r="H100" s="24" t="str">
        <f t="shared" ref="H100:H103" si="17">IF(G100=0,"---",IF(OR(ABS((F100-G100)/ABS(G100))&gt;2,(F100*G100)&lt;0),"---",IF(G100="0","---",((F100-G100)/ABS(G100))*100)))</f>
        <v>---</v>
      </c>
      <c r="L100" s="21"/>
      <c r="N100" s="22"/>
      <c r="O100" s="23"/>
      <c r="P100" s="24"/>
      <c r="Q100" s="13"/>
      <c r="T100" s="21"/>
      <c r="V100" s="22"/>
      <c r="W100" s="23"/>
      <c r="X100" s="24"/>
      <c r="AB100" s="21"/>
      <c r="AD100" s="22"/>
      <c r="AE100" s="23"/>
      <c r="AF100" s="24"/>
      <c r="AJ100" s="21"/>
      <c r="AL100" s="22"/>
      <c r="AM100" s="23"/>
      <c r="AN100" s="24" t="str">
        <f t="shared" si="15"/>
        <v>---</v>
      </c>
    </row>
    <row r="101" spans="1:42" ht="15" customHeight="1">
      <c r="D101" s="21" t="str">
        <f>+IF($A$1="esp","NIIF16","IFRS16")</f>
        <v>IFRS16</v>
      </c>
      <c r="F101" s="22">
        <f>+[1]GRUPO!F103</f>
        <v>0</v>
      </c>
      <c r="G101" s="23">
        <f>+[1]GRUPO!G103</f>
        <v>-8.8621577920786656</v>
      </c>
      <c r="H101" s="24">
        <f t="shared" si="17"/>
        <v>100</v>
      </c>
      <c r="L101" s="21" t="str">
        <f>+IF($A$1="esp","NIIF16","IFRS16")</f>
        <v>IFRS16</v>
      </c>
      <c r="N101" s="22">
        <f>+[1]SANTILLANA!F87</f>
        <v>0</v>
      </c>
      <c r="O101" s="23">
        <f>+[1]SANTILLANA!G87</f>
        <v>-3.4075497737134159</v>
      </c>
      <c r="P101" s="24">
        <f>IF(O101=0,"---",IF(OR(ABS((N101-O101)/ABS(O101))&gt;2,(N101*O101)&lt;0),"---",IF(O101="0","---",((N101-O101)/ABS(O101))*100)))</f>
        <v>100</v>
      </c>
      <c r="Q101" s="13"/>
      <c r="T101" s="21" t="str">
        <f>+IF($A$1="esp","NIIF16","IFRS16")</f>
        <v>IFRS16</v>
      </c>
      <c r="V101" s="22">
        <f>+[1]RADIO!F95</f>
        <v>0</v>
      </c>
      <c r="W101" s="23">
        <f>+[1]RADIO!G95</f>
        <v>-3.1902535000000003</v>
      </c>
      <c r="X101" s="24"/>
      <c r="AB101" s="21" t="str">
        <f>+IF($A$1="esp","NIIF16","IFRS16")</f>
        <v>IFRS16</v>
      </c>
      <c r="AD101" s="22">
        <f>+[1]NOTICIAS!F60+[1]NOTICIAS!F61</f>
        <v>0</v>
      </c>
      <c r="AE101" s="23">
        <f>+[1]NOTICIAS!G60+[1]NOTICIAS!G61</f>
        <v>-1.3638880273136003</v>
      </c>
      <c r="AF101" s="24"/>
      <c r="AJ101" s="21" t="str">
        <f>+IF($A$1="esp","NIIF16","IFRS16")</f>
        <v>IFRS16</v>
      </c>
      <c r="AL101" s="22"/>
      <c r="AM101" s="23">
        <f>+'[1]MEDIA CAPITAL'!G45</f>
        <v>-0.58957212125000014</v>
      </c>
      <c r="AN101" s="24">
        <f t="shared" si="15"/>
        <v>100</v>
      </c>
    </row>
    <row r="102" spans="1:42" ht="15" customHeight="1">
      <c r="D102" s="13" t="str">
        <f>+IF($B$3="esp","Efecto en Amortización","Effect in Amortizations")</f>
        <v>Effect in Amortizations</v>
      </c>
      <c r="E102" s="13"/>
      <c r="F102" s="14">
        <f>+[1]GRUPO!F104</f>
        <v>0</v>
      </c>
      <c r="G102" s="15">
        <f>+[1]GRUPO!G104</f>
        <v>7.0179770451935974</v>
      </c>
      <c r="H102" s="16">
        <f t="shared" si="17"/>
        <v>-100</v>
      </c>
      <c r="L102" s="13" t="str">
        <f>+IF($B$3="esp","Efecto en Amortización","Effect in Amortizations")</f>
        <v>Effect in Amortizations</v>
      </c>
      <c r="N102" s="14">
        <f>+N103</f>
        <v>0</v>
      </c>
      <c r="O102" s="15">
        <f>+O103</f>
        <v>2.7605098947288433</v>
      </c>
      <c r="P102" s="16">
        <f>IF(O102=0,"---",IF(OR(ABS((N102-O102)/ABS(O102))&gt;2,(N102*O102)&lt;0),"---",IF(O102="0","---",((N102-O102)/ABS(O102))*100)))</f>
        <v>-100</v>
      </c>
      <c r="Q102" s="13"/>
      <c r="T102" s="13" t="str">
        <f>+IF($B$3="esp","Efecto en Amortización","Effect in Amortizations")</f>
        <v>Effect in Amortizations</v>
      </c>
      <c r="V102" s="14">
        <f>+V103</f>
        <v>0</v>
      </c>
      <c r="W102" s="15">
        <f>+W103</f>
        <v>2.3887499999999999</v>
      </c>
      <c r="X102" s="16">
        <f>IF(W102=0,"---",IF(OR(ABS((V102-W102)/ABS(W102))&gt;2,(V102*W102)&lt;0),"---",IF(W102="0","---",((V102-W102)/ABS(W102))*100)))</f>
        <v>-100</v>
      </c>
      <c r="AB102" s="13" t="str">
        <f>+IF($B$3="esp","Efecto en Amortización","Effect in Amortizations")</f>
        <v>Effect in Amortizations</v>
      </c>
      <c r="AD102" s="14">
        <f>+AD103</f>
        <v>0</v>
      </c>
      <c r="AE102" s="15">
        <f>+AE103</f>
        <v>0.99280611382977757</v>
      </c>
      <c r="AF102" s="16">
        <f>IF(AE102=0,"---",IF(OR(ABS((AD102-AE102)/ABS(AE102))&gt;2,(AD102*AE102)&lt;0),"---",IF(AE102="0","---",((AD102-AE102)/ABS(AE102))*100)))</f>
        <v>-100</v>
      </c>
      <c r="AJ102" s="13" t="str">
        <f>+IF($B$3="esp","Efecto en Amortización","Effect in Amortizations")</f>
        <v>Effect in Amortizations</v>
      </c>
      <c r="AL102" s="14">
        <f>+AL103</f>
        <v>0</v>
      </c>
      <c r="AM102" s="15">
        <f>+AM103</f>
        <v>0.59519195633175193</v>
      </c>
      <c r="AN102" s="16">
        <f>IF(AM102=0,"---",IF(OR(ABS((AL102-AM102)/ABS(AM102))&gt;2,(AL102*AM102)&lt;0),"---",IF(AM102="0","---",((AL102-AM102)/ABS(AM102))*100)))</f>
        <v>-100</v>
      </c>
    </row>
    <row r="103" spans="1:42" ht="15" customHeight="1">
      <c r="D103" s="21" t="str">
        <f>+IF($A$1="esp","NIIF16","IFRS16")</f>
        <v>IFRS16</v>
      </c>
      <c r="F103" s="22">
        <f>+[1]GRUPO!F109</f>
        <v>0</v>
      </c>
      <c r="G103" s="23">
        <f>+[1]GRUPO!G109</f>
        <v>7.0179770451935974</v>
      </c>
      <c r="H103" s="24">
        <f t="shared" si="17"/>
        <v>-100</v>
      </c>
      <c r="L103" s="21" t="str">
        <f>+IF($A$1="esp","NIIF16","IFRS16")</f>
        <v>IFRS16</v>
      </c>
      <c r="N103" s="22">
        <f>+[1]SANTILLANA!F92</f>
        <v>0</v>
      </c>
      <c r="O103" s="23">
        <f>+[1]SANTILLANA!G92</f>
        <v>2.7605098947288433</v>
      </c>
      <c r="P103" s="24">
        <f t="shared" ref="P103" si="18">IF(O103=0,"---",IF(OR(ABS((N103-O103)/ABS(O103))&gt;2,(N103*O103)&lt;0),"---",IF(O103="0","---",((N103-O103)/ABS(O103))*100)))</f>
        <v>-100</v>
      </c>
      <c r="T103" s="21" t="str">
        <f>+IF($A$1="esp","NIIF16","IFRS16")</f>
        <v>IFRS16</v>
      </c>
      <c r="V103" s="22">
        <f>+[1]RADIO!F101</f>
        <v>0</v>
      </c>
      <c r="W103" s="23">
        <f>+[1]RADIO!G101</f>
        <v>2.3887499999999999</v>
      </c>
      <c r="X103" s="24">
        <f t="shared" ref="X103" si="19">IF(W103=0,"---",IF(OR(ABS((V103-W103)/ABS(W103))&gt;2,(V103*W103)&lt;0),"---",IF(W103="0","---",((V103-W103)/ABS(W103))*100)))</f>
        <v>-100</v>
      </c>
      <c r="AB103" s="21" t="str">
        <f>+IF($A$1="esp","NIIF16","IFRS16")</f>
        <v>IFRS16</v>
      </c>
      <c r="AD103" s="22">
        <f>+[1]NOTICIAS!F67+[1]NOTICIAS!F68</f>
        <v>0</v>
      </c>
      <c r="AE103" s="23">
        <f>+[1]NOTICIAS!G67+[1]NOTICIAS!G68</f>
        <v>0.99280611382977757</v>
      </c>
      <c r="AF103" s="24">
        <f t="shared" ref="AF103" si="20">IF(AE103=0,"---",IF(OR(ABS((AD103-AE103)/ABS(AE103))&gt;2,(AD103*AE103)&lt;0),"---",IF(AE103="0","---",((AD103-AE103)/ABS(AE103))*100)))</f>
        <v>-100</v>
      </c>
      <c r="AJ103" s="21" t="str">
        <f>+IF($A$1="esp","NIIF16","IFRS16")</f>
        <v>IFRS16</v>
      </c>
      <c r="AL103" s="22"/>
      <c r="AM103" s="23">
        <f>+'[1]MEDIA CAPITAL'!G51</f>
        <v>0.59519195633175193</v>
      </c>
      <c r="AN103" s="24">
        <f t="shared" si="15"/>
        <v>-100</v>
      </c>
    </row>
    <row r="104" spans="1:42" ht="15" customHeight="1">
      <c r="A104" s="68"/>
      <c r="D104" s="21"/>
      <c r="F104" s="23"/>
      <c r="G104" s="23"/>
      <c r="H104" s="24"/>
      <c r="L104" s="21"/>
      <c r="N104" s="22"/>
      <c r="O104" s="23"/>
      <c r="P104" s="24"/>
      <c r="T104" s="21"/>
      <c r="V104" s="22"/>
      <c r="W104" s="23"/>
      <c r="X104" s="24"/>
      <c r="AB104" s="21"/>
      <c r="AE104" s="23"/>
      <c r="AF104" s="24"/>
    </row>
    <row r="105" spans="1:42" ht="15" customHeight="1">
      <c r="L105" s="21"/>
      <c r="N105" s="22"/>
      <c r="O105" s="23"/>
      <c r="P105" s="24"/>
      <c r="T105" s="21"/>
      <c r="V105" s="22"/>
      <c r="W105" s="23"/>
      <c r="X105" s="24"/>
      <c r="AB105" s="21"/>
      <c r="AE105" s="23"/>
      <c r="AF105" s="24"/>
    </row>
    <row r="106" spans="1:42" ht="15" customHeight="1">
      <c r="D106" s="21"/>
      <c r="F106" s="23"/>
      <c r="G106" s="23"/>
      <c r="H106" s="24"/>
    </row>
    <row r="107" spans="1:42" ht="15" customHeight="1"/>
    <row r="108" spans="1:42" ht="15" customHeight="1">
      <c r="D108" s="21"/>
      <c r="F108" s="23"/>
      <c r="G108" s="23"/>
      <c r="H108" s="24"/>
    </row>
    <row r="111" spans="1:42"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</row>
    <row r="114" spans="4:40">
      <c r="D114" s="9" t="str">
        <f>+IF($B$3="esp","Millones de €","€ Millions")</f>
        <v>€ Millions</v>
      </c>
      <c r="F114" s="7" t="str">
        <f>+F91</f>
        <v>JANUARY - MARCH</v>
      </c>
      <c r="G114" s="8"/>
      <c r="H114" s="8"/>
      <c r="L114" s="9" t="str">
        <f>+IF($B$3="esp","Millones de €","€ Millions")</f>
        <v>€ Millions</v>
      </c>
      <c r="N114" s="7" t="str">
        <f>+N6</f>
        <v>JANUARY - MARCH</v>
      </c>
      <c r="O114" s="8"/>
      <c r="P114" s="8"/>
      <c r="T114" s="9" t="str">
        <f>+IF($B$3="esp","Millones de €","€ Millions")</f>
        <v>€ Millions</v>
      </c>
      <c r="V114" s="7" t="str">
        <f>+V6</f>
        <v>JANUARY - MARCH</v>
      </c>
      <c r="W114" s="8"/>
      <c r="X114" s="8"/>
      <c r="AB114" s="9" t="str">
        <f>+IF($B$3="esp","Millones de €","€ Millions")</f>
        <v>€ Millions</v>
      </c>
      <c r="AD114" s="7" t="str">
        <f>+AD6</f>
        <v>JANUARY - MARCH</v>
      </c>
      <c r="AE114" s="8"/>
      <c r="AF114" s="8"/>
      <c r="AL114" s="7" t="str">
        <f>+AL6</f>
        <v>JANUARY - MARCH</v>
      </c>
      <c r="AM114" s="8"/>
      <c r="AN114" s="8"/>
    </row>
    <row r="115" spans="4:40" ht="6.75" customHeight="1">
      <c r="D115" s="9"/>
    </row>
    <row r="116" spans="4:40" ht="15">
      <c r="D116" s="69" t="str">
        <f>+IF($B$3="esp","GRUPO","GROUP")</f>
        <v>GROUP</v>
      </c>
      <c r="F116" s="10">
        <v>2019</v>
      </c>
      <c r="G116" s="10">
        <v>2018</v>
      </c>
      <c r="H116" s="10" t="s">
        <v>5</v>
      </c>
      <c r="L116" s="69" t="str">
        <f>+IF($B$3="esp","EDUCACIÓN","EDUCATION")</f>
        <v>EDUCATION</v>
      </c>
      <c r="N116" s="10">
        <v>2019</v>
      </c>
      <c r="O116" s="10">
        <v>2018</v>
      </c>
      <c r="P116" s="10" t="s">
        <v>5</v>
      </c>
      <c r="T116" s="69" t="str">
        <f>+IF($B$3="esp","RADIO","RADIO")</f>
        <v>RADIO</v>
      </c>
      <c r="V116" s="10">
        <v>2019</v>
      </c>
      <c r="W116" s="10">
        <v>2018</v>
      </c>
      <c r="X116" s="10" t="s">
        <v>5</v>
      </c>
      <c r="AB116" s="69" t="str">
        <f>+IF($B$3="esp","PRENSA - incluye PBS y Tecnología","PRESS - includes PBS &amp; IT")</f>
        <v>PRESS - includes PBS &amp; IT</v>
      </c>
      <c r="AD116" s="10">
        <v>2019</v>
      </c>
      <c r="AE116" s="10">
        <v>2018</v>
      </c>
      <c r="AF116" s="10" t="str">
        <f>+IF($B$3="esp","Var.%","% Chg.")</f>
        <v>% Chg.</v>
      </c>
      <c r="AJ116" s="69" t="str">
        <f>+IF($B$3="esp","MEDIA CAPITAL","MEDIA CAPITAL")</f>
        <v>MEDIA CAPITAL</v>
      </c>
      <c r="AL116" s="10">
        <v>2019</v>
      </c>
      <c r="AM116" s="10">
        <v>2018</v>
      </c>
      <c r="AN116" s="10" t="str">
        <f>+IF($B$3="esp","Var.%","% Chg.")</f>
        <v>% Chg.</v>
      </c>
    </row>
    <row r="117" spans="4:40" ht="15.75" customHeight="1">
      <c r="D117" s="11"/>
      <c r="F117" s="12"/>
      <c r="G117" s="12"/>
      <c r="H117" s="12"/>
      <c r="L117" s="11"/>
      <c r="N117" s="12"/>
      <c r="O117" s="12"/>
      <c r="P117" s="12"/>
      <c r="T117" s="11"/>
      <c r="V117" s="12"/>
      <c r="W117" s="12"/>
      <c r="X117" s="12"/>
      <c r="AB117" s="11"/>
      <c r="AD117" s="12"/>
      <c r="AE117" s="12"/>
      <c r="AF117" s="12"/>
      <c r="AJ117" s="11"/>
      <c r="AL117" s="12"/>
      <c r="AM117" s="12"/>
      <c r="AN117" s="12"/>
    </row>
    <row r="118" spans="4:40" s="13" customFormat="1" ht="15" customHeight="1">
      <c r="D118" s="13" t="str">
        <f>+IF($B$3="esp","EBITDA criterio anterior contable","Previous criteria reported EBITDA")</f>
        <v>Previous criteria reported EBITDA</v>
      </c>
      <c r="F118" s="14"/>
      <c r="G118" s="15">
        <f>+[1]GRUPO!G159</f>
        <v>60.478291503321749</v>
      </c>
      <c r="H118" s="16"/>
      <c r="L118" s="13" t="str">
        <f>+IF($B$3="esp","EBITDA criterio anterior contable","Previous criteria reported EBITDA")</f>
        <v>Previous criteria reported EBITDA</v>
      </c>
      <c r="N118" s="14"/>
      <c r="O118" s="15">
        <f>+[1]SANTILLANA!G167</f>
        <v>61.80493624734892</v>
      </c>
      <c r="P118" s="16">
        <f>IF(O118=0,"---",IF(OR(ABS((N118-O118)/ABS(O118))&gt;2,(N118*O118)&lt;0),"---",IF(O118="0","---",((N118-O118)/ABS(O118))*100)))</f>
        <v>-100</v>
      </c>
      <c r="T118" s="13" t="str">
        <f>+IF($B$3="esp","EBITDA criterio anterior contable","Previous criteria reported EBITDA")</f>
        <v>Previous criteria reported EBITDA</v>
      </c>
      <c r="V118" s="14"/>
      <c r="W118" s="15">
        <f>+[1]RADIO!G113</f>
        <v>2.754209395559609</v>
      </c>
      <c r="X118" s="16"/>
      <c r="AB118" s="13" t="str">
        <f>+IF($B$3="esp","EBITDA criterio anterior contable","Previous criteria reported EBITDA")</f>
        <v>Previous criteria reported EBITDA</v>
      </c>
      <c r="AD118" s="14"/>
      <c r="AE118" s="15">
        <f>+[1]NOTICIAS!G81</f>
        <v>-3.932536986496824</v>
      </c>
      <c r="AF118" s="16">
        <f>IF(AE118=0,"---",IF(OR(ABS((AD118-AE118)/ABS(AE118))&gt;2,(AD118*AE118)&lt;0),"---",IF(AE118="0","---",((AD118-AE118)/ABS(AE118))*100)))</f>
        <v>100</v>
      </c>
      <c r="AJ118" s="13" t="str">
        <f>+IF($B$3="esp","EBITDA criterio anterior contable","Previous criteria reported EBITDA")</f>
        <v>Previous criteria reported EBITDA</v>
      </c>
      <c r="AL118" s="14">
        <f>+'[1]MEDIA CAPITAL'!F64</f>
        <v>0</v>
      </c>
      <c r="AM118" s="15">
        <f>+'[1]MEDIA CAPITAL'!G64</f>
        <v>5.2513591214687203</v>
      </c>
      <c r="AN118" s="16">
        <f>IF(AM118=0,"---",IF(OR(ABS((AL118-AM118)/ABS(AM118))&gt;2,(AL118*AM118)&lt;0),"---",IF(AM118="0","---",((AL118-AM118)/ABS(AM118))*100)))</f>
        <v>-100</v>
      </c>
    </row>
    <row r="119" spans="4:40" ht="15" customHeight="1">
      <c r="D119" s="21" t="str">
        <f>+IF($B$3="esp","Provisiones","Provisions")</f>
        <v>Provisions</v>
      </c>
      <c r="F119" s="22"/>
      <c r="G119" s="23">
        <f>+[1]GRUPO!G160</f>
        <v>2.2486261180465501</v>
      </c>
      <c r="H119" s="24"/>
      <c r="L119" s="21" t="str">
        <f>+IF($B$3="esp","Provisiones","Provisions")</f>
        <v>Provisions</v>
      </c>
      <c r="N119" s="22"/>
      <c r="O119" s="23">
        <f>+[1]SANTILLANA!G168</f>
        <v>3.0354331642179799</v>
      </c>
      <c r="P119" s="24"/>
      <c r="T119" s="21" t="str">
        <f>+IF($B$3="esp","Provisiones","Provisions")</f>
        <v>Provisions</v>
      </c>
      <c r="V119" s="22"/>
      <c r="W119" s="23">
        <f>+[1]RADIO!G114</f>
        <v>-0.220888452646439</v>
      </c>
      <c r="X119" s="24"/>
      <c r="AB119" s="21" t="str">
        <f>+IF($B$3="esp","Provisiones","Provisions")</f>
        <v>Provisions</v>
      </c>
      <c r="AD119" s="22"/>
      <c r="AE119" s="23">
        <f>+[1]NOTICIAS!G82</f>
        <v>-0.50779008043807605</v>
      </c>
      <c r="AF119" s="24"/>
      <c r="AJ119" s="21" t="str">
        <f>+IF($B$3="esp","Provisiones","Provisions")</f>
        <v>Provisions</v>
      </c>
      <c r="AL119" s="22">
        <f>+'[1]MEDIA CAPITAL'!F65</f>
        <v>0</v>
      </c>
      <c r="AM119" s="23">
        <f>+'[1]MEDIA CAPITAL'!G65</f>
        <v>-5.1940739999999999E-2</v>
      </c>
      <c r="AN119" s="24"/>
    </row>
    <row r="120" spans="4:40" ht="15" customHeight="1">
      <c r="D120" s="13" t="str">
        <f>+IF($B$3="esp","EBITDA Contable","Reported EBITDA")</f>
        <v>Reported EBITDA</v>
      </c>
      <c r="E120" s="13"/>
      <c r="F120" s="14">
        <f>+[1]GRUPO!F161</f>
        <v>18.974049138956701</v>
      </c>
      <c r="G120" s="15">
        <f>+[1]GRUPO!G161</f>
        <v>62.726917621368301</v>
      </c>
      <c r="H120" s="16">
        <f>IF(G120=0,"---",IF(OR(ABS((F120-G120)/ABS(G120))&gt;2,(F120*G120)&lt;0),"---",IF(G120="0","---",((F120-G120)/ABS(G120))*100)))</f>
        <v>-69.75134462450761</v>
      </c>
      <c r="L120" s="13" t="str">
        <f>+IF($B$3="esp","EBITDA Contable","Reported EBITDA")</f>
        <v>Reported EBITDA</v>
      </c>
      <c r="M120" s="13"/>
      <c r="N120" s="14">
        <f>+[1]SANTILLANA!F169</f>
        <v>66.246471194497801</v>
      </c>
      <c r="O120" s="15">
        <f>+[1]SANTILLANA!G169</f>
        <v>64.840369411566897</v>
      </c>
      <c r="P120" s="16">
        <f>IF(O120=0,"---",IF(OR(ABS((N120-O120)/ABS(O120))&gt;2,(N120*O120)&lt;0),"---",IF(O120="0","---",((N120-O120)/ABS(O120))*100)))</f>
        <v>2.168559179553454</v>
      </c>
      <c r="T120" s="13" t="str">
        <f>+IF($B$3="esp","EBITDA Contable","Reported EBITDA")</f>
        <v>Reported EBITDA</v>
      </c>
      <c r="U120" s="13"/>
      <c r="V120" s="14">
        <f>+[1]RADIO!F115</f>
        <v>8.0448780192073901</v>
      </c>
      <c r="W120" s="15">
        <f>+[1]RADIO!G115</f>
        <v>2.53332094291317</v>
      </c>
      <c r="X120" s="16" t="str">
        <f>IF(W120=0,"---",IF(OR(ABS((V120-W120)/ABS(W120))&gt;2,(V120*W120)&lt;0),"---",IF(W120="0","---",((V120-W120)/ABS(W120))*100)))</f>
        <v>---</v>
      </c>
      <c r="AB120" s="13" t="str">
        <f>+IF($B$3="esp","EBITDA Contable","Reported EBITDA")</f>
        <v>Reported EBITDA</v>
      </c>
      <c r="AC120" s="13"/>
      <c r="AD120" s="14">
        <f>+[1]NOTICIAS!F83</f>
        <v>-3.0717104354629701</v>
      </c>
      <c r="AE120" s="15">
        <f>+[1]NOTICIAS!G83</f>
        <v>-4.4403270669349002</v>
      </c>
      <c r="AF120" s="16">
        <f>IF(AE120=0,"---",IF(OR(ABS((AD120-AE120)/ABS(AE120))&gt;2,(AD120*AE120)&lt;0),"---",IF(AE120="0","---",((AD120-AE120)/ABS(AE120))*100)))</f>
        <v>30.822428412163529</v>
      </c>
      <c r="AJ120" s="13" t="str">
        <f>+IF($B$3="esp","EBITDA Contable","Reported EBITDA")</f>
        <v>Reported EBITDA</v>
      </c>
      <c r="AL120" s="14">
        <f>+'[1]MEDIA CAPITAL'!F66</f>
        <v>1.0032815278213201</v>
      </c>
      <c r="AM120" s="15">
        <f>+'[1]MEDIA CAPITAL'!G66</f>
        <v>5.1994183814687203</v>
      </c>
      <c r="AN120" s="16">
        <f>IF(AM120=0,"---",IF(OR(ABS((AL120-AM120)/ABS(AM120))&gt;2,(AL120*AM120)&lt;0),"---",IF(AM120="0","---",((AL120-AM120)/ABS(AM120))*100)))</f>
        <v>-80.703966209045191</v>
      </c>
    </row>
    <row r="121" spans="4:40" ht="15" customHeight="1">
      <c r="D121" s="21" t="str">
        <f>+IF($A$1="esp","Sentencia Mediapro","Mediapro Rulling")</f>
        <v>Mediapro Rulling</v>
      </c>
      <c r="F121" s="22">
        <f>+[1]GRUPO!F162</f>
        <v>51.035825500000001</v>
      </c>
      <c r="G121" s="23">
        <f>+[1]GRUPO!G162</f>
        <v>0</v>
      </c>
      <c r="H121" s="24"/>
      <c r="L121" s="21"/>
      <c r="N121" s="22"/>
      <c r="O121" s="23"/>
      <c r="P121" s="24"/>
      <c r="T121" s="21"/>
      <c r="V121" s="22"/>
      <c r="W121" s="23"/>
      <c r="X121" s="24"/>
      <c r="AB121" s="21"/>
      <c r="AD121" s="22"/>
      <c r="AE121" s="23"/>
      <c r="AF121" s="24"/>
      <c r="AJ121" s="21"/>
      <c r="AL121" s="22"/>
      <c r="AM121" s="23"/>
      <c r="AN121" s="24"/>
    </row>
    <row r="122" spans="4:40" ht="15" customHeight="1">
      <c r="D122" s="21" t="str">
        <f>+IF($B$3="esp","Efecto NIIF16","IFRS16 Effect")</f>
        <v>IFRS16 Effect</v>
      </c>
      <c r="F122" s="22">
        <f>+[1]GRUPO!F163</f>
        <v>0</v>
      </c>
      <c r="G122" s="23">
        <f>+[1]GRUPO!G163</f>
        <v>8.8621577920786621</v>
      </c>
      <c r="H122" s="24"/>
      <c r="L122" s="21" t="str">
        <f>+IF($B$3="esp","Efecto NIIF16","IFRS16 Effect")</f>
        <v>IFRS16 Effect</v>
      </c>
      <c r="N122" s="22"/>
      <c r="O122" s="23">
        <f>+[1]SANTILLANA!G170</f>
        <v>3.407549773713427</v>
      </c>
      <c r="P122" s="24"/>
      <c r="T122" s="21" t="str">
        <f>+IF($B$3="esp","Efecto NIIF16","IFRS16 Effect")</f>
        <v>IFRS16 Effect</v>
      </c>
      <c r="V122" s="22"/>
      <c r="W122" s="23">
        <f>+[1]RADIO!G116</f>
        <v>3.1902535000000003</v>
      </c>
      <c r="X122" s="24"/>
      <c r="AB122" s="21" t="str">
        <f>+IF($B$3="esp","Efecto NIIF16","IFRS16 Effect")</f>
        <v>IFRS16 Effect</v>
      </c>
      <c r="AD122" s="22"/>
      <c r="AE122" s="23">
        <f>+[1]NOTICIAS!G84</f>
        <v>1.3638880273136</v>
      </c>
      <c r="AF122" s="24"/>
      <c r="AJ122" s="21" t="str">
        <f>+IF($B$3="esp","Efecto NIIF16","IFRS16 Effect")</f>
        <v>IFRS16 Effect</v>
      </c>
      <c r="AL122" s="22"/>
      <c r="AM122" s="23">
        <f>+'[1]MEDIA CAPITAL'!G67</f>
        <v>0.58957212125000069</v>
      </c>
      <c r="AN122" s="24"/>
    </row>
    <row r="123" spans="4:40" ht="15" customHeight="1">
      <c r="D123" s="13" t="str">
        <f>+IF($B$3="esp","EBITDA Comparable","Comparable EBITDA")</f>
        <v>Comparable EBITDA</v>
      </c>
      <c r="E123" s="13"/>
      <c r="F123" s="14">
        <f>+[1]GRUPO!F164</f>
        <v>70.009874638956688</v>
      </c>
      <c r="G123" s="15">
        <f>+[1]GRUPO!G164</f>
        <v>71.589075413446963</v>
      </c>
      <c r="H123" s="16">
        <f t="shared" ref="H123:H126" si="21">IF(G123=0,"---",IF(OR(ABS((F123-G123)/ABS(G123))&gt;2,(F123*G123)&lt;0),"---",IF(G123="0","---",((F123-G123)/ABS(G123))*100)))</f>
        <v>-2.2059242494332381</v>
      </c>
      <c r="L123" s="13" t="str">
        <f>+IF($B$3="esp","EBITDA Comparable","Comparable EBITDA")</f>
        <v>Comparable EBITDA</v>
      </c>
      <c r="N123" s="14">
        <f>+[1]SANTILLANA!F171</f>
        <v>66.246471194497801</v>
      </c>
      <c r="O123" s="15">
        <f>+[1]SANTILLANA!G171</f>
        <v>68.247919185280324</v>
      </c>
      <c r="P123" s="16">
        <f t="shared" ref="P123:P126" si="22">IF(O123=0,"---",IF(OR(ABS((N123-O123)/ABS(O123))&gt;2,(N123*O123)&lt;0),"---",IF(O123="0","---",((N123-O123)/ABS(O123))*100)))</f>
        <v>-2.932613938527513</v>
      </c>
      <c r="T123" s="13" t="str">
        <f>+IF($B$3="esp","EBITDA Comparable","Comparable EBITDA")</f>
        <v>Comparable EBITDA</v>
      </c>
      <c r="V123" s="14">
        <f>+[1]RADIO!F117</f>
        <v>8.0448780192073901</v>
      </c>
      <c r="W123" s="15">
        <f>+[1]RADIO!G117</f>
        <v>5.7235744429131703</v>
      </c>
      <c r="X123" s="16">
        <f t="shared" ref="X123:X128" si="23">IF(W123=0,"---",IF(OR(ABS((V123-W123)/ABS(W123))&gt;2,(V123*W123)&lt;0),"---",IF(W123="0","---",((V123-W123)/ABS(W123))*100)))</f>
        <v>40.556886250836087</v>
      </c>
      <c r="AB123" s="13" t="str">
        <f>+IF($B$3="esp","EBITDA Comparable","Comparable EBITDA")</f>
        <v>Comparable EBITDA</v>
      </c>
      <c r="AD123" s="14">
        <f>+[1]NOTICIAS!F85</f>
        <v>-3.0717104354629701</v>
      </c>
      <c r="AE123" s="15">
        <f>+[1]NOTICIAS!G85</f>
        <v>-3.0764390396213002</v>
      </c>
      <c r="AF123" s="16">
        <f t="shared" ref="AF123:AF126" si="24">IF(AE123=0,"---",IF(OR(ABS((AD123-AE123)/ABS(AE123))&gt;2,(AD123*AE123)&lt;0),"---",IF(AE123="0","---",((AD123-AE123)/ABS(AE123))*100)))</f>
        <v>0.15370381461913096</v>
      </c>
      <c r="AJ123" s="13" t="str">
        <f>+IF($B$3="esp","EBITDA Comparable","Comparable EBITDA")</f>
        <v>Comparable EBITDA</v>
      </c>
      <c r="AL123" s="14">
        <f>+'[1]MEDIA CAPITAL'!F68</f>
        <v>1.0032815278213201</v>
      </c>
      <c r="AM123" s="15">
        <f>+'[1]MEDIA CAPITAL'!G68</f>
        <v>5.788990502718721</v>
      </c>
      <c r="AN123" s="16">
        <f t="shared" ref="AN123:AN126" si="25">IF(AM123=0,"---",IF(OR(ABS((AL123-AM123)/ABS(AM123))&gt;2,(AL123*AM123)&lt;0),"---",IF(AM123="0","---",((AL123-AM123)/ABS(AM123))*100)))</f>
        <v>-82.669145382944691</v>
      </c>
    </row>
    <row r="124" spans="4:40" ht="15" customHeight="1">
      <c r="D124" s="21" t="str">
        <f>+IF($B$3="esp","Amortizaciones","Amortizations")</f>
        <v>Amortizations</v>
      </c>
      <c r="F124" s="22">
        <f>+[1]GRUPO!F165</f>
        <v>23.995520029241803</v>
      </c>
      <c r="G124" s="23">
        <f>+[1]GRUPO!G165</f>
        <v>24.419440680374699</v>
      </c>
      <c r="H124" s="24">
        <f t="shared" si="21"/>
        <v>-1.7359965638917785</v>
      </c>
      <c r="L124" s="21" t="str">
        <f>+IF($B$3="esp","Amortizaciones","Amortizations")</f>
        <v>Amortizations</v>
      </c>
      <c r="N124" s="22">
        <f>+[1]SANTILLANA!F172</f>
        <v>14.7378128430655</v>
      </c>
      <c r="O124" s="23">
        <f>+[1]SANTILLANA!G172</f>
        <v>15.424383276178345</v>
      </c>
      <c r="P124" s="24">
        <f t="shared" si="22"/>
        <v>-4.4512018459317906</v>
      </c>
      <c r="T124" s="21" t="str">
        <f>+IF($B$3="esp","Amortizaciones","Amortizations")</f>
        <v>Amortizations</v>
      </c>
      <c r="V124" s="22">
        <f>+[1]RADIO!F118</f>
        <v>4.4159842402741596</v>
      </c>
      <c r="W124" s="23">
        <f>+[1]RADIO!G118</f>
        <v>4.3913220410213301</v>
      </c>
      <c r="X124" s="24">
        <f t="shared" si="23"/>
        <v>0.56161217561474075</v>
      </c>
      <c r="AB124" s="21" t="str">
        <f>+IF($B$3="esp","Amortizaciones","Amortizations")</f>
        <v>Amortizations</v>
      </c>
      <c r="AD124" s="22">
        <f>+[1]NOTICIAS!F86</f>
        <v>2.3471149859020501</v>
      </c>
      <c r="AE124" s="23">
        <f>+[1]NOTICIAS!G86</f>
        <v>2.1211714951849978</v>
      </c>
      <c r="AF124" s="24">
        <f t="shared" si="24"/>
        <v>10.651825711873744</v>
      </c>
      <c r="AJ124" s="21" t="str">
        <f>+IF($B$3="esp","Amortizaciones","Amortizations")</f>
        <v>Amortizations</v>
      </c>
      <c r="AL124" s="22">
        <f>+'[1]MEDIA CAPITAL'!F69</f>
        <v>2.1599000299999997</v>
      </c>
      <c r="AM124" s="23">
        <f>+'[1]MEDIA CAPITAL'!G69</f>
        <v>2.1224427163317516</v>
      </c>
      <c r="AN124" s="24">
        <f t="shared" si="25"/>
        <v>1.7648209480530117</v>
      </c>
    </row>
    <row r="125" spans="4:40" ht="15" customHeight="1">
      <c r="D125" s="21" t="str">
        <f>+IF($B$3="esp","Pérdidas de inmovilizado","Impairment from fixed assets")</f>
        <v>Impairment from fixed assets</v>
      </c>
      <c r="F125" s="22">
        <f>+[1]GRUPO!F166</f>
        <v>4.2100371098833023E-2</v>
      </c>
      <c r="G125" s="23">
        <f>+[1]GRUPO!G166</f>
        <v>-8.0197947184501572E-2</v>
      </c>
      <c r="H125" s="24" t="str">
        <f t="shared" si="21"/>
        <v>---</v>
      </c>
      <c r="L125" s="21" t="str">
        <f>+IF($B$3="esp","Pérdidas de inmovilizado","Impairment from fixed assets")</f>
        <v>Impairment from fixed assets</v>
      </c>
      <c r="N125" s="22">
        <f>+[1]SANTILLANA!F173</f>
        <v>1.5513681098999754E-2</v>
      </c>
      <c r="O125" s="23">
        <f>+[1]SANTILLANA!G173</f>
        <v>-9.5989007184597241E-2</v>
      </c>
      <c r="P125" s="24" t="str">
        <f t="shared" si="22"/>
        <v>---</v>
      </c>
      <c r="T125" s="21" t="str">
        <f>+IF($B$3="esp","Pérdidas de inmovilizado","Impairment from fixed assets")</f>
        <v>Impairment from fixed assets</v>
      </c>
      <c r="V125" s="22">
        <f>+[1]RADIO!F119</f>
        <v>2.6586690000041102E-2</v>
      </c>
      <c r="W125" s="23">
        <f>+[1]RADIO!G119</f>
        <v>1.5791059999991752E-2</v>
      </c>
      <c r="X125" s="24">
        <f t="shared" si="23"/>
        <v>68.365454884314218</v>
      </c>
      <c r="AB125" s="21" t="str">
        <f>+IF($B$3="esp","Pérdidas de inmovilizado","Impairment from fixed assets")</f>
        <v>Impairment from fixed assets</v>
      </c>
      <c r="AD125" s="22">
        <f>+[1]NOTICIAS!F87</f>
        <v>-1.0658141036401503E-14</v>
      </c>
      <c r="AE125" s="23">
        <f>+[1]NOTICIAS!G87</f>
        <v>9.7699626167013776E-15</v>
      </c>
      <c r="AF125" s="24" t="str">
        <f t="shared" si="24"/>
        <v>---</v>
      </c>
      <c r="AJ125" s="21" t="str">
        <f>+IF($B$3="esp","Pérdidas de inmovilizado","Impairment from fixed assets")</f>
        <v>Impairment from fixed assets</v>
      </c>
      <c r="AL125" s="22">
        <f>+'[1]MEDIA CAPITAL'!F70</f>
        <v>-9.3258734068513149E-15</v>
      </c>
      <c r="AM125" s="23">
        <f>+'[1]MEDIA CAPITAL'!G70</f>
        <v>0</v>
      </c>
      <c r="AN125" s="24" t="str">
        <f t="shared" si="25"/>
        <v>---</v>
      </c>
    </row>
    <row r="126" spans="4:40" ht="15" customHeight="1">
      <c r="D126" s="13" t="str">
        <f>+IF($B$3="esp","Resultado de Explotación Comparable","Comparable Operating Result")</f>
        <v>Comparable Operating Result</v>
      </c>
      <c r="E126" s="13"/>
      <c r="F126" s="14">
        <f>+[1]GRUPO!F167</f>
        <v>45.972254238616053</v>
      </c>
      <c r="G126" s="15">
        <f>+[1]GRUPO!G167</f>
        <v>47.249832680256766</v>
      </c>
      <c r="H126" s="16">
        <f t="shared" si="21"/>
        <v>-2.7038792926234989</v>
      </c>
      <c r="L126" s="13" t="str">
        <f>+IF($B$3="esp","Resultado de Explotación Comparable","Comparable Operating Result")</f>
        <v>Comparable Operating Result</v>
      </c>
      <c r="N126" s="14">
        <f>+[1]SANTILLANA!F174</f>
        <v>51.493144670333301</v>
      </c>
      <c r="O126" s="15">
        <f>+[1]SANTILLANA!G174</f>
        <v>52.919524916286576</v>
      </c>
      <c r="P126" s="16">
        <f t="shared" si="22"/>
        <v>-2.6953761361419382</v>
      </c>
      <c r="T126" s="13" t="str">
        <f>+IF($B$3="esp","Resultado de Explotación Comparable","Comparable Operating Result")</f>
        <v>Comparable Operating Result</v>
      </c>
      <c r="V126" s="14">
        <f>+[1]RADIO!F120</f>
        <v>3.6023070889331898</v>
      </c>
      <c r="W126" s="15">
        <f>+[1]RADIO!G120</f>
        <v>1.3164613418918485</v>
      </c>
      <c r="X126" s="16">
        <f t="shared" si="23"/>
        <v>173.63561498558087</v>
      </c>
      <c r="AB126" s="13" t="str">
        <f>+IF($B$3="esp","Resultado de Explotación Comparable","Comparable Operating Result")</f>
        <v>Comparable Operating Result</v>
      </c>
      <c r="AD126" s="14">
        <f>+[1]NOTICIAS!F88</f>
        <v>-5.4188254213650096</v>
      </c>
      <c r="AE126" s="15">
        <f>+[1]NOTICIAS!G88</f>
        <v>-5.1976105348063077</v>
      </c>
      <c r="AF126" s="16">
        <f t="shared" si="24"/>
        <v>-4.2560881596902007</v>
      </c>
      <c r="AJ126" s="13" t="str">
        <f>+IF($B$3="esp","Resultado de Explotación Comparable","Comparable Operating Result")</f>
        <v>Comparable Operating Result</v>
      </c>
      <c r="AL126" s="14">
        <f>+'[1]MEDIA CAPITAL'!F71</f>
        <v>-1.1566185021786701</v>
      </c>
      <c r="AM126" s="15">
        <f>+'[1]MEDIA CAPITAL'!G71</f>
        <v>3.6665477863869684</v>
      </c>
      <c r="AN126" s="16" t="str">
        <f t="shared" si="25"/>
        <v>---</v>
      </c>
    </row>
    <row r="127" spans="4:40" ht="15" customHeight="1">
      <c r="D127" s="21" t="str">
        <f>+IF($A$1="esp","Sentencia Mediapro","Mediapro Rulling")</f>
        <v>Mediapro Rulling</v>
      </c>
      <c r="F127" s="22">
        <f>+[1]GRUPO!F168</f>
        <v>-51.035825500000001</v>
      </c>
      <c r="G127" s="23">
        <f>+[1]GRUPO!G168</f>
        <v>0</v>
      </c>
      <c r="H127" s="24"/>
      <c r="L127" s="21"/>
      <c r="N127" s="22"/>
      <c r="O127" s="23"/>
      <c r="P127" s="24"/>
      <c r="T127" s="21"/>
      <c r="V127" s="22"/>
      <c r="W127" s="23"/>
      <c r="X127" s="24"/>
      <c r="AB127" s="21"/>
      <c r="AD127" s="22"/>
      <c r="AE127" s="23"/>
      <c r="AF127" s="24"/>
      <c r="AJ127" s="21"/>
      <c r="AL127" s="22"/>
      <c r="AM127" s="23"/>
      <c r="AN127" s="24"/>
    </row>
    <row r="128" spans="4:40" ht="15" customHeight="1">
      <c r="D128" s="21" t="str">
        <f>+IF($B$3="esp","Efecto NIIF16","IFRS16 Effect")</f>
        <v>IFRS16 Effect</v>
      </c>
      <c r="F128" s="22">
        <f>+[1]GRUPO!F169</f>
        <v>0</v>
      </c>
      <c r="G128" s="23">
        <f>+[1]GRUPO!G169</f>
        <v>-1.8441807468850655</v>
      </c>
      <c r="H128" s="24"/>
      <c r="L128" s="21" t="str">
        <f>+IF($B$3="esp","Efecto NIIF16","IFRS16 Effect")</f>
        <v>IFRS16 Effect</v>
      </c>
      <c r="N128" s="22"/>
      <c r="O128" s="23">
        <f>+[1]SANTILLANA!G175</f>
        <v>-0.64703987898457171</v>
      </c>
      <c r="P128" s="24"/>
      <c r="T128" s="21" t="str">
        <f>+IF($B$3="esp","Efecto NIIF16","IFRS16 Effect")</f>
        <v>IFRS16 Effect</v>
      </c>
      <c r="V128" s="22"/>
      <c r="W128" s="23">
        <f>+[1]RADIO!G121</f>
        <v>-0.80150350000000048</v>
      </c>
      <c r="X128" s="24">
        <f t="shared" si="23"/>
        <v>100</v>
      </c>
      <c r="AB128" s="21" t="str">
        <f>+IF($B$3="esp","Efecto NIIF16","IFRS16 Effect")</f>
        <v>IFRS16 Effect</v>
      </c>
      <c r="AD128" s="22"/>
      <c r="AE128" s="23">
        <f>+[1]NOTICIAS!G89</f>
        <v>-0.37108191348382302</v>
      </c>
      <c r="AF128" s="24"/>
      <c r="AJ128" s="21" t="str">
        <f>+IF($B$3="esp","Efecto NIIF16","IFRS16 Effect")</f>
        <v>IFRS16 Effect</v>
      </c>
      <c r="AL128" s="22"/>
      <c r="AM128" s="23">
        <f>+'[1]MEDIA CAPITAL'!G72</f>
        <v>5.6198350817515674E-3</v>
      </c>
      <c r="AN128" s="24"/>
    </row>
    <row r="129" spans="4:40" ht="15" customHeight="1">
      <c r="D129" s="13" t="str">
        <f>+IF($B$3="esp","EBIT Contable","Reported Operating Result")</f>
        <v>Reported Operating Result</v>
      </c>
      <c r="E129" s="13"/>
      <c r="F129" s="14">
        <f>+[1]GRUPO!F170</f>
        <v>-5.0635712613839523</v>
      </c>
      <c r="G129" s="15">
        <f>+[1]GRUPO!G170</f>
        <v>45.405651933371701</v>
      </c>
      <c r="H129" s="16" t="str">
        <f>IF(G129=0,"---",IF(OR(ABS((F129-G129)/ABS(G129))&gt;2,(F129*G129)&lt;0),"---",IF(G129="0","---",((F129-G129)/ABS(G129))*100)))</f>
        <v>---</v>
      </c>
      <c r="L129" s="13" t="str">
        <f>+IF($B$3="esp","EBIT Contable","Reported Operating Result")</f>
        <v>Reported Operating Result</v>
      </c>
      <c r="M129" s="13"/>
      <c r="N129" s="14">
        <f>+[1]SANTILLANA!F176</f>
        <v>51.493144670333301</v>
      </c>
      <c r="O129" s="15">
        <f>+[1]SANTILLANA!G176</f>
        <v>52.272485037302005</v>
      </c>
      <c r="P129" s="16">
        <f>IF(O129=0,"---",IF(OR(ABS((N129-O129)/ABS(O129))&gt;2,(N129*O129)&lt;0),"---",IF(O129="0","---",((N129-O129)/ABS(O129))*100)))</f>
        <v>-1.4909189153960465</v>
      </c>
      <c r="T129" s="13" t="str">
        <f>+IF($B$3="esp","EBIT Contable","Reported Operating Result")</f>
        <v>Reported Operating Result</v>
      </c>
      <c r="U129" s="13"/>
      <c r="V129" s="14">
        <f>+[1]RADIO!F122</f>
        <v>3.6023070889331898</v>
      </c>
      <c r="W129" s="15">
        <f>+[1]RADIO!G122</f>
        <v>0.51495784189184801</v>
      </c>
      <c r="X129" s="16" t="str">
        <f>IF(W129=0,"---",IF(OR(ABS((V129-W129)/ABS(W129))&gt;2,(V129*W129)&lt;0),"---",IF(W129="0","---",((V129-W129)/ABS(W129))*100)))</f>
        <v>---</v>
      </c>
      <c r="AB129" s="13" t="str">
        <f>+IF($B$3="esp","EBIT Contable","Reported Operating Result")</f>
        <v>Reported Operating Result</v>
      </c>
      <c r="AC129" s="13"/>
      <c r="AD129" s="14">
        <f>+[1]NOTICIAS!F90</f>
        <v>-5.4188254213650096</v>
      </c>
      <c r="AE129" s="15">
        <f>+[1]NOTICIAS!G90</f>
        <v>-5.5686924482901308</v>
      </c>
      <c r="AF129" s="16">
        <f>IF(AE129=0,"---",IF(OR(ABS((AD129-AE129)/ABS(AE129))&gt;2,(AD129*AE129)&lt;0),"---",IF(AE129="0","---",((AD129-AE129)/ABS(AE129))*100)))</f>
        <v>2.6912426627392207</v>
      </c>
      <c r="AJ129" s="13" t="str">
        <f>+IF($B$3="esp","EBIT Contable","Reported Operating Result")</f>
        <v>Reported Operating Result</v>
      </c>
      <c r="AL129" s="14">
        <f>+'[1]MEDIA CAPITAL'!F73</f>
        <v>-1.1566185021786701</v>
      </c>
      <c r="AM129" s="15">
        <f>+'[1]MEDIA CAPITAL'!G73</f>
        <v>3.67216762146872</v>
      </c>
      <c r="AN129" s="16" t="str">
        <f>IF(AM129=0,"---",IF(OR(ABS((AL129-AM129)/ABS(AM129))&gt;2,(AL129*AM129)&lt;0),"---",IF(AM129="0","---",((AL129-AM129)/ABS(AM129))*100)))</f>
        <v>---</v>
      </c>
    </row>
    <row r="130" spans="4:40" ht="15" customHeight="1"/>
    <row r="132" spans="4:40">
      <c r="D132" s="9"/>
      <c r="F132" s="7" t="str">
        <f>+F114</f>
        <v>JANUARY - MARCH</v>
      </c>
      <c r="G132" s="8"/>
      <c r="H132" s="8"/>
      <c r="AB132" s="9" t="str">
        <f>+IF($B$3="esp","Millones de €","€ Millions")</f>
        <v>€ Millions</v>
      </c>
      <c r="AD132" s="7" t="str">
        <f>+AD114</f>
        <v>JANUARY - MARCH</v>
      </c>
      <c r="AE132" s="8"/>
      <c r="AF132" s="8"/>
    </row>
    <row r="133" spans="4:40" ht="14.25" customHeight="1"/>
    <row r="134" spans="4:40" ht="15">
      <c r="D134" s="69" t="str">
        <f>+IF($B$3="esp","OTROS","OTHERS")</f>
        <v>OTHERS</v>
      </c>
      <c r="F134" s="10">
        <v>2019</v>
      </c>
      <c r="G134" s="10">
        <v>2018</v>
      </c>
      <c r="H134" s="10" t="s">
        <v>5</v>
      </c>
      <c r="AB134" s="69" t="str">
        <f>+IF($B$3="esp","PRENSA","PRESS")</f>
        <v>PRESS</v>
      </c>
      <c r="AD134" s="10">
        <v>2019</v>
      </c>
      <c r="AE134" s="10">
        <v>2018</v>
      </c>
      <c r="AF134" s="10" t="str">
        <f>+IF($B$3="esp","Var.%","% Chg.")</f>
        <v>% Chg.</v>
      </c>
    </row>
    <row r="135" spans="4:40" ht="15.75" customHeight="1">
      <c r="D135" s="11"/>
      <c r="F135" s="12"/>
      <c r="G135" s="12"/>
      <c r="H135" s="12"/>
      <c r="AB135" s="11"/>
      <c r="AD135" s="12"/>
      <c r="AE135" s="12"/>
      <c r="AF135" s="12"/>
    </row>
    <row r="136" spans="4:40" s="13" customFormat="1" ht="15" customHeight="1">
      <c r="D136" s="13" t="str">
        <f>+IF($B$3="esp","EBITDA criterio anterior contable","Previous criteria reported EBITDA")</f>
        <v>Previous criteria reported EBITDA</v>
      </c>
      <c r="F136" s="14"/>
      <c r="G136" s="15">
        <f>+[1]GRUPO!G177</f>
        <v>-5.3996762745586757</v>
      </c>
      <c r="H136" s="16"/>
      <c r="AB136" s="13" t="str">
        <f>+IF($B$3="esp","EBITDA criterio anterior contable","Previous criteria reported EBITDA")</f>
        <v>Previous criteria reported EBITDA</v>
      </c>
      <c r="AD136" s="14"/>
      <c r="AE136" s="15">
        <f>+[1]NOTICIAS!G94</f>
        <v>-1.9561743029965408</v>
      </c>
      <c r="AF136" s="16">
        <f>IF(AE136=0,"---",IF(OR(ABS((AD136-AE136)/ABS(AE136))&gt;2,(AD136*AE136)&lt;0),"---",IF(AE136="0","---",((AD136-AE136)/ABS(AE136))*100)))</f>
        <v>100</v>
      </c>
    </row>
    <row r="137" spans="4:40" ht="15" customHeight="1">
      <c r="D137" s="21" t="str">
        <f>+IF($B$3="esp","Provisiones","Provisions")</f>
        <v>Provisions</v>
      </c>
      <c r="F137" s="22"/>
      <c r="G137" s="23">
        <f>+[1]GRUPO!G178</f>
        <v>-6.1877730869148023E-3</v>
      </c>
      <c r="H137" s="24"/>
      <c r="AB137" s="21" t="str">
        <f>+IF($B$3="esp","Provisiones","Provisions")</f>
        <v>Provisions</v>
      </c>
      <c r="AD137" s="22"/>
      <c r="AE137" s="23">
        <f>+[1]NOTICIAS!G95</f>
        <v>-0.49566442511652903</v>
      </c>
      <c r="AF137" s="24"/>
    </row>
    <row r="138" spans="4:40" ht="15" customHeight="1">
      <c r="D138" s="13" t="str">
        <f>+IF($B$3="esp","EBITDA Contable","Reported EBITDA")</f>
        <v>Reported EBITDA</v>
      </c>
      <c r="E138" s="13"/>
      <c r="F138" s="14">
        <f>+[1]GRUPO!F179</f>
        <v>-53.248871167106842</v>
      </c>
      <c r="G138" s="15">
        <f>+[1]GRUPO!G179</f>
        <v>-5.4058640476455855</v>
      </c>
      <c r="H138" s="16" t="str">
        <f>IF(G138=0,"---",IF(OR(ABS((F138-G138)/ABS(G138))&gt;2,(F138*G138)&lt;0),"---",IF(G138="0","---",((F138-G138)/ABS(G138))*100)))</f>
        <v>---</v>
      </c>
      <c r="AB138" s="13" t="str">
        <f>+IF($B$3="esp","EBITDA Contable","Reported EBITDA")</f>
        <v>Reported EBITDA</v>
      </c>
      <c r="AC138" s="13"/>
      <c r="AD138" s="14">
        <f>+[1]NOTICIAS!F96</f>
        <v>-2.0838585457790901</v>
      </c>
      <c r="AE138" s="15">
        <f>+[1]NOTICIAS!G96</f>
        <v>-2.4518387281130698</v>
      </c>
      <c r="AF138" s="16">
        <f>IF(AE138=0,"---",IF(OR(ABS((AD138-AE138)/ABS(AE138))&gt;2,(AD138*AE138)&lt;0),"---",IF(AE138="0","---",((AD138-AE138)/ABS(AE138))*100)))</f>
        <v>15.008335504071937</v>
      </c>
    </row>
    <row r="139" spans="4:40" ht="15" customHeight="1">
      <c r="D139" s="21" t="str">
        <f>+IF($A$1="esp","Sentencia Mediapro","Mediapro Rulling")</f>
        <v>Mediapro Rulling</v>
      </c>
      <c r="F139" s="22">
        <f>+[1]GRUPO!F180</f>
        <v>51.035825500000001</v>
      </c>
      <c r="G139" s="23">
        <f>+[1]GRUPO!G180</f>
        <v>0</v>
      </c>
      <c r="H139" s="24"/>
      <c r="AB139" s="21" t="str">
        <f>+IF($B$3="esp","Efecto NIIF16","IFRS16 Effect")</f>
        <v>IFRS16 Effect</v>
      </c>
      <c r="AD139" s="22"/>
      <c r="AE139" s="23">
        <f>+[1]NOTICIAS!G97</f>
        <v>1.1339981873136002</v>
      </c>
      <c r="AF139" s="24"/>
    </row>
    <row r="140" spans="4:40" ht="15" customHeight="1">
      <c r="D140" s="21" t="str">
        <f>+IF($B$3="esp","Efecto NIIF16","IFRS16 Effect")</f>
        <v>IFRS16 Effect</v>
      </c>
      <c r="F140" s="22">
        <f>+[1]GRUPO!F181</f>
        <v>0</v>
      </c>
      <c r="G140" s="23">
        <f>+[1]GRUPO!G181</f>
        <v>0.31089436980163399</v>
      </c>
      <c r="H140" s="24"/>
      <c r="AB140" s="13" t="str">
        <f>+IF($B$3="esp","EBITDA Comparable","Comparable EBITDA")</f>
        <v>Comparable EBITDA</v>
      </c>
      <c r="AC140" s="13"/>
      <c r="AD140" s="14">
        <f>+[1]NOTICIAS!F98</f>
        <v>-2.0838585457790901</v>
      </c>
      <c r="AE140" s="15">
        <f>+[1]NOTICIAS!G98</f>
        <v>-1.3178405407994696</v>
      </c>
      <c r="AF140" s="16">
        <f t="shared" ref="AF140:AF145" si="26">IF(AE140=0,"---",IF(OR(ABS((AD140-AE140)/ABS(AE140))&gt;2,(AD140*AE140)&lt;0),"---",IF(AE140="0","---",((AD140-AE140)/ABS(AE140))*100)))</f>
        <v>-58.126759745523906</v>
      </c>
    </row>
    <row r="141" spans="4:40" ht="15" customHeight="1">
      <c r="D141" s="13" t="str">
        <f>+IF($B$3="esp","EBITDA Comparable","Comparable EBITDA")</f>
        <v>Comparable EBITDA</v>
      </c>
      <c r="E141" s="13"/>
      <c r="F141" s="14">
        <f>+[1]GRUPO!F182</f>
        <v>-2.2130456671068526</v>
      </c>
      <c r="G141" s="15">
        <f>+[1]GRUPO!G182</f>
        <v>-5.0949696778439524</v>
      </c>
      <c r="H141" s="16">
        <f t="shared" ref="H141:H144" si="27">IF(G141=0,"---",IF(OR(ABS((F141-G141)/ABS(G141))&gt;2,(F141*G141)&lt;0),"---",IF(G141="0","---",((F141-G141)/ABS(G141))*100)))</f>
        <v>56.564105244226873</v>
      </c>
      <c r="AB141" s="21" t="str">
        <f>+IF($B$3="esp","Amortizaciones","Amortizations")</f>
        <v>Amortizations</v>
      </c>
      <c r="AD141" s="22">
        <f>+[1]NOTICIAS!F99</f>
        <v>1.91578801510438</v>
      </c>
      <c r="AE141" s="23">
        <f>+[1]NOTICIAS!G99</f>
        <v>1.8165545614534364</v>
      </c>
      <c r="AF141" s="24">
        <f t="shared" si="26"/>
        <v>5.462729045228695</v>
      </c>
    </row>
    <row r="142" spans="4:40" ht="15" customHeight="1">
      <c r="D142" s="21" t="str">
        <f>+IF($B$3="esp","Amortizaciones","Amortizations")</f>
        <v>Amortizations</v>
      </c>
      <c r="F142" s="22">
        <f>+[1]GRUPO!F183</f>
        <v>0.33470793000009325</v>
      </c>
      <c r="G142" s="23">
        <f>+[1]GRUPO!G183</f>
        <v>0.3601211516582743</v>
      </c>
      <c r="H142" s="24">
        <f t="shared" si="27"/>
        <v>-7.0568533786918834</v>
      </c>
      <c r="AB142" s="21" t="str">
        <f>+IF($B$3="esp","Pérdidas de inmovilizado","Impairment from fixed assets")</f>
        <v>Impairment from fixed assets</v>
      </c>
      <c r="AD142" s="22">
        <f>+[1]NOTICIAS!F100</f>
        <v>-1.021405182655144E-14</v>
      </c>
      <c r="AE142" s="23">
        <f>+[1]NOTICIAS!G100</f>
        <v>2.886579864025407E-15</v>
      </c>
      <c r="AF142" s="24" t="str">
        <f t="shared" si="26"/>
        <v>---</v>
      </c>
    </row>
    <row r="143" spans="4:40" ht="15" customHeight="1">
      <c r="D143" s="21" t="str">
        <f>+IF($B$3="esp","Pérdidas de inmovilizado","Impairment from fixed assets")</f>
        <v>Impairment from fixed assets</v>
      </c>
      <c r="F143" s="22">
        <f>+[1]GRUPO!F184</f>
        <v>-1.8784973576657649E-13</v>
      </c>
      <c r="G143" s="23">
        <f>+[1]GRUPO!G184</f>
        <v>9.4146912488213275E-14</v>
      </c>
      <c r="H143" s="24" t="str">
        <f t="shared" si="27"/>
        <v>---</v>
      </c>
      <c r="AB143" s="13" t="str">
        <f>+IF($B$3="esp","Resultado de Explotación Comparable","Comparable Operating Result")</f>
        <v>Comparable Operating Result</v>
      </c>
      <c r="AC143" s="13"/>
      <c r="AD143" s="14">
        <f>+[1]NOTICIAS!F101</f>
        <v>-3.9996465608834599</v>
      </c>
      <c r="AE143" s="15">
        <f>+[1]NOTICIAS!G101</f>
        <v>-3.1343951022529088</v>
      </c>
      <c r="AF143" s="16">
        <f t="shared" si="26"/>
        <v>-27.605053938753105</v>
      </c>
    </row>
    <row r="144" spans="4:40" ht="15" customHeight="1">
      <c r="D144" s="13" t="str">
        <f>+IF($B$3="esp","Resultado de Explotación Comparable","Comparable Operating Result")</f>
        <v>Comparable Operating Result</v>
      </c>
      <c r="E144" s="13"/>
      <c r="F144" s="14">
        <f>+[1]GRUPO!F185</f>
        <v>-2.547753597106758</v>
      </c>
      <c r="G144" s="15">
        <f>+[1]GRUPO!G185</f>
        <v>-5.4550908295023195</v>
      </c>
      <c r="H144" s="16">
        <f t="shared" si="27"/>
        <v>53.29585378619268</v>
      </c>
      <c r="AB144" s="21" t="str">
        <f>+IF($B$3="esp","Efecto NIIF16","IFRS16 Effect")</f>
        <v>IFRS16 Effect</v>
      </c>
      <c r="AD144" s="22"/>
      <c r="AE144" s="23">
        <f>+[1]NOTICIAS!G102</f>
        <v>-0.31025884347720112</v>
      </c>
      <c r="AF144" s="24"/>
    </row>
    <row r="145" spans="4:42" ht="15" customHeight="1">
      <c r="D145" s="21" t="str">
        <f>+IF($A$1="esp","Sentencia Mediapro","Mediapro Rulling")</f>
        <v>Mediapro Rulling</v>
      </c>
      <c r="F145" s="22">
        <f>+[1]GRUPO!F186</f>
        <v>-51.035825500000001</v>
      </c>
      <c r="G145" s="23">
        <f>+[1]GRUPO!G186</f>
        <v>0</v>
      </c>
      <c r="H145" s="24"/>
      <c r="AB145" s="13" t="str">
        <f>+IF($B$3="esp","EBIT Contable","Reported Operating Result")</f>
        <v>Reported Operating Result</v>
      </c>
      <c r="AC145" s="13"/>
      <c r="AD145" s="14">
        <f>+[1]NOTICIAS!F103</f>
        <v>-3.9996465608834599</v>
      </c>
      <c r="AE145" s="15">
        <f>+[1]NOTICIAS!G103</f>
        <v>-3.44465394573011</v>
      </c>
      <c r="AF145" s="16">
        <f t="shared" si="26"/>
        <v>-16.111708865307129</v>
      </c>
    </row>
    <row r="146" spans="4:42" ht="15" customHeight="1">
      <c r="D146" s="21" t="str">
        <f>+IF($B$3="esp","Efecto NIIF16","IFRS16 Effect")</f>
        <v>IFRS16 Effect</v>
      </c>
      <c r="F146" s="22">
        <f>+[1]GRUPO!F187</f>
        <v>0</v>
      </c>
      <c r="G146" s="23">
        <f>+[1]GRUPO!G187</f>
        <v>-3.0175289498421853E-2</v>
      </c>
      <c r="H146" s="24"/>
    </row>
    <row r="147" spans="4:42" ht="15" customHeight="1">
      <c r="D147" s="13" t="str">
        <f>+IF($B$3="esp","EBIT Contable","Reported Operating Result")</f>
        <v>Reported Operating Result</v>
      </c>
      <c r="E147" s="13"/>
      <c r="F147" s="14">
        <f>+[1]GRUPO!F188</f>
        <v>-53.583579097106764</v>
      </c>
      <c r="G147" s="15">
        <f>+[1]GRUPO!G188</f>
        <v>-5.485266119000741</v>
      </c>
      <c r="H147" s="16" t="str">
        <f>IF(G147=0,"---",IF(OR(ABS((F147-G147)/ABS(G147))&gt;2,(F147*G147)&lt;0),"---",IF(G147="0","---",((F147-G147)/ABS(G147))*100)))</f>
        <v>---</v>
      </c>
    </row>
    <row r="148" spans="4:42" ht="15" customHeight="1"/>
    <row r="149" spans="4:42" ht="15" customHeight="1"/>
    <row r="150" spans="4:42" ht="15" customHeight="1"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</row>
    <row r="151" spans="4:42" ht="15" customHeight="1"/>
    <row r="152" spans="4:42" ht="15" customHeight="1">
      <c r="F152" s="7" t="str">
        <f>+F132</f>
        <v>JANUARY - MARCH</v>
      </c>
      <c r="G152" s="8"/>
      <c r="H152" s="8"/>
      <c r="N152" s="7" t="str">
        <f>+N6</f>
        <v>JANUARY - MARCH</v>
      </c>
      <c r="O152" s="8"/>
      <c r="P152" s="8"/>
    </row>
    <row r="153" spans="4:42" ht="4.5" customHeight="1"/>
    <row r="154" spans="4:42" ht="15" customHeight="1">
      <c r="D154" s="9" t="str">
        <f>+IF($B$3="esp","Millones de €","€ Millions")</f>
        <v>€ Millions</v>
      </c>
      <c r="F154" s="10">
        <v>2019</v>
      </c>
      <c r="G154" s="10">
        <v>2018</v>
      </c>
      <c r="H154" s="10" t="s">
        <v>5</v>
      </c>
      <c r="L154" s="9" t="str">
        <f>+IF($B$3="esp","Millones de €","€ Millions")</f>
        <v>€ Millions</v>
      </c>
      <c r="N154" s="10">
        <v>2019</v>
      </c>
      <c r="O154" s="10">
        <v>2018</v>
      </c>
      <c r="P154" s="10" t="s">
        <v>5</v>
      </c>
    </row>
    <row r="155" spans="4:42" ht="15" customHeight="1">
      <c r="D155" s="11" t="str">
        <f>+IF($B$3="esp","Ingresos de Explotación","Operating Revenues")</f>
        <v>Operating Revenues</v>
      </c>
      <c r="F155" s="12"/>
      <c r="G155" s="12"/>
      <c r="H155" s="12"/>
      <c r="L155" s="11" t="str">
        <f>+IF($B$3="esp","Ingresos de Explotación","Operating Revenues")</f>
        <v>Operating Revenues</v>
      </c>
      <c r="N155" s="12"/>
      <c r="O155" s="12"/>
      <c r="P155" s="12"/>
    </row>
    <row r="156" spans="4:42" ht="15" customHeight="1">
      <c r="D156" s="13" t="str">
        <f>+IF($B$3="esp","GRUPO","GROUP")</f>
        <v>GROUP</v>
      </c>
      <c r="E156" s="13"/>
      <c r="F156" s="14">
        <f>+[1]GRUPO!F119</f>
        <v>312.31821899949301</v>
      </c>
      <c r="G156" s="15">
        <f>+[1]GRUPO!G119</f>
        <v>321.00012511587602</v>
      </c>
      <c r="H156" s="16">
        <f>IF(G156=0,"---",IF(OR(ABS((F156-G156)/ABS(G156))&gt;2,(F156*G156)&lt;0),"---",IF(G156="0","---",((F156-G156)/ABS(G156))*100)))</f>
        <v>-2.7046425957774853</v>
      </c>
      <c r="L156" s="13" t="str">
        <f>+IF($B$3="esp","Total Santillana","Total Santillana")</f>
        <v>Total Santillana</v>
      </c>
      <c r="M156" s="13"/>
      <c r="N156" s="14">
        <f>+[1]SANTILLANA!F107</f>
        <v>168.91643426788198</v>
      </c>
      <c r="O156" s="15">
        <f>+[1]SANTILLANA!G107</f>
        <v>173.74791724312399</v>
      </c>
      <c r="P156" s="16">
        <f>IF(O156=0,"---",IF(OR(ABS((N156-O156)/ABS(O156))&gt;2,(N156*O156)&lt;0),"---",IF(O156="0","---",((N156-O156)/ABS(O156))*100)))</f>
        <v>-2.7807429590545008</v>
      </c>
    </row>
    <row r="157" spans="4:42" s="13" customFormat="1" ht="15" customHeight="1">
      <c r="D157" s="21" t="str">
        <f>+IF($B$3="esp","Educación","Education")</f>
        <v>Education</v>
      </c>
      <c r="E157" s="1"/>
      <c r="F157" s="22">
        <f>+[1]GRUPO!F120</f>
        <v>168.91643426788198</v>
      </c>
      <c r="G157" s="23">
        <f>+[1]GRUPO!G120</f>
        <v>173.74791724312399</v>
      </c>
      <c r="H157" s="24">
        <f>IF(G157=0,"---",IF(OR(ABS((F157-G157)/ABS(G157))&gt;2,(F157*G157)&lt;0),"---",IF(G157="0","---",((F157-G157)/ABS(G157))*100)))</f>
        <v>-2.7807429590545008</v>
      </c>
      <c r="L157" s="21" t="str">
        <f>+IF($B$3="esp","Campaña Sur","South Campaign")</f>
        <v>South Campaign</v>
      </c>
      <c r="M157" s="1"/>
      <c r="N157" s="22">
        <f>+[1]SANTILLANA!F108</f>
        <v>149.61460099819399</v>
      </c>
      <c r="O157" s="23">
        <f>+[1]SANTILLANA!G108</f>
        <v>155.14695863200353</v>
      </c>
      <c r="P157" s="24">
        <f>IF(O157=0,"---",IF(OR(ABS((N157-O157)/ABS(O157))&gt;2,(N157*O157)&lt;0),"---",IF(O157="0","---",((N157-O157)/ABS(O157))*100)))</f>
        <v>-3.5658821046771911</v>
      </c>
    </row>
    <row r="158" spans="4:42" ht="15" customHeight="1">
      <c r="D158" s="21" t="str">
        <f>+IF($B$3="esp","Radio","Radio")</f>
        <v>Radio</v>
      </c>
      <c r="F158" s="22">
        <f>+[1]GRUPO!F121</f>
        <v>60.060861548662501</v>
      </c>
      <c r="G158" s="23">
        <f>+[1]GRUPO!G121</f>
        <v>58.832278623779203</v>
      </c>
      <c r="H158" s="24">
        <f t="shared" ref="H158:H161" si="28">IF(G158=0,"---",IF(OR(ABS((F158-G158)/ABS(G158))&gt;2,(F158*G158)&lt;0),"---",IF(G158="0","---",((F158-G158)/ABS(G158))*100)))</f>
        <v>2.0882803685708713</v>
      </c>
      <c r="L158" s="21" t="str">
        <f>+IF($B$3="esp","Campaña Norte","North Campaign")</f>
        <v>North Campaign</v>
      </c>
      <c r="N158" s="22">
        <f>+[1]SANTILLANA!F111</f>
        <v>19.30183326968799</v>
      </c>
      <c r="O158" s="23">
        <f>+[1]SANTILLANA!G111</f>
        <v>18.600958611120461</v>
      </c>
      <c r="P158" s="24">
        <f>IF(O158=0,"---",IF(OR(ABS((N158-O158)/ABS(O158))&gt;2,(N158*O158)&lt;0),"---",IF(O158="0","---",((N158-O158)/ABS(O158))*100)))</f>
        <v>3.7679491321942677</v>
      </c>
    </row>
    <row r="159" spans="4:42" ht="15" customHeight="1">
      <c r="D159" s="21" t="str">
        <f>+IF($B$3="esp","Prensa Total - incluye PBS y Tecnología","Press Total - includes PBS&amp;IT")</f>
        <v>Press Total - includes PBS&amp;IT</v>
      </c>
      <c r="F159" s="22">
        <f>+[1]GRUPO!F122</f>
        <v>49.057539887605202</v>
      </c>
      <c r="G159" s="23">
        <f>+[1]GRUPO!G122</f>
        <v>51.121327048559699</v>
      </c>
      <c r="H159" s="24">
        <f t="shared" si="28"/>
        <v>-4.0370375342450009</v>
      </c>
      <c r="L159" s="31"/>
      <c r="N159" s="23"/>
      <c r="O159" s="23"/>
      <c r="P159" s="24"/>
    </row>
    <row r="160" spans="4:42" s="13" customFormat="1" ht="15" customHeight="1">
      <c r="D160" s="21" t="str">
        <f>+IF($B$3="esp","Media Capital","Media Capital")</f>
        <v>Media Capital</v>
      </c>
      <c r="E160" s="1"/>
      <c r="F160" s="22">
        <f>+[1]GRUPO!F124</f>
        <v>39.307203540000003</v>
      </c>
      <c r="G160" s="23">
        <f>+[1]GRUPO!G124</f>
        <v>38.726984980000005</v>
      </c>
      <c r="H160" s="24">
        <f t="shared" si="28"/>
        <v>1.4982280709423783</v>
      </c>
      <c r="I160" s="1"/>
    </row>
    <row r="161" spans="4:16" ht="15" customHeight="1">
      <c r="D161" s="21" t="str">
        <f>+IF($B$3="esp","Otros","Others")</f>
        <v>Others</v>
      </c>
      <c r="F161" s="22">
        <f>+[1]GRUPO!F125</f>
        <v>-5.023820244656676</v>
      </c>
      <c r="G161" s="23">
        <f>+[1]GRUPO!G125</f>
        <v>-1.4283827795868831</v>
      </c>
      <c r="H161" s="24" t="str">
        <f t="shared" si="28"/>
        <v>---</v>
      </c>
      <c r="N161" s="7" t="str">
        <f>+N152</f>
        <v>JANUARY - MARCH</v>
      </c>
      <c r="O161" s="8"/>
      <c r="P161" s="8"/>
    </row>
    <row r="162" spans="4:16" ht="15" customHeight="1">
      <c r="D162" s="21"/>
    </row>
    <row r="163" spans="4:16" ht="15" customHeight="1">
      <c r="D163" s="21"/>
      <c r="F163" s="23"/>
      <c r="G163" s="23"/>
      <c r="H163" s="24"/>
      <c r="I163" s="13"/>
      <c r="L163" s="9" t="str">
        <f>+IF($B$3="esp","Millones de €","€ Millions")</f>
        <v>€ Millions</v>
      </c>
      <c r="N163" s="10">
        <v>2019</v>
      </c>
      <c r="O163" s="10">
        <v>2018</v>
      </c>
      <c r="P163" s="10" t="s">
        <v>5</v>
      </c>
    </row>
    <row r="164" spans="4:16" s="13" customFormat="1" ht="4.5" customHeight="1">
      <c r="D164" s="21"/>
      <c r="E164" s="1"/>
      <c r="F164" s="23"/>
      <c r="G164" s="23"/>
      <c r="H164" s="24"/>
      <c r="I164" s="1"/>
    </row>
    <row r="165" spans="4:16" ht="15" customHeight="1"/>
    <row r="166" spans="4:16" ht="15" customHeight="1">
      <c r="F166" s="7" t="str">
        <f>+F152</f>
        <v>JANUARY - MARCH</v>
      </c>
      <c r="G166" s="8"/>
      <c r="H166" s="8"/>
      <c r="L166" s="11" t="str">
        <f>+IF($B$3="esp","Ingresos de Explotación ajustados a tipo constante","Operating Revenues at constant currency")</f>
        <v>Operating Revenues at constant currency</v>
      </c>
      <c r="N166" s="12"/>
      <c r="O166" s="12"/>
      <c r="P166" s="12"/>
    </row>
    <row r="167" spans="4:16" ht="15" customHeight="1">
      <c r="I167" s="13"/>
      <c r="L167" s="13" t="str">
        <f>+IF($B$3="esp","Total Santillana","Total Santillana")</f>
        <v>Total Santillana</v>
      </c>
      <c r="M167" s="13"/>
      <c r="N167" s="14">
        <f>+[1]SANTILLANA!F120</f>
        <v>175.38669266469134</v>
      </c>
      <c r="O167" s="15">
        <f>+[1]SANTILLANA!G120</f>
        <v>173.74791724312399</v>
      </c>
      <c r="P167" s="16">
        <f>IF(O167=0,"---",IF(OR(ABS((N167-O167)/ABS(O167))&gt;2,(N167*O167)&lt;0),"---",IF(O167="0","---",((N167-O167)/ABS(O167))*100)))</f>
        <v>0.94319140486399078</v>
      </c>
    </row>
    <row r="168" spans="4:16" ht="15" customHeight="1">
      <c r="D168" s="9" t="str">
        <f>+IF($B$3="esp","Millones de €","€ Millions")</f>
        <v>€ Millions</v>
      </c>
      <c r="F168" s="10">
        <v>2019</v>
      </c>
      <c r="G168" s="10">
        <v>2018</v>
      </c>
      <c r="H168" s="10" t="s">
        <v>5</v>
      </c>
      <c r="L168" s="21" t="str">
        <f>+IF($B$3="esp","Campaña Sur","South Campaign")</f>
        <v>South Campaign</v>
      </c>
      <c r="N168" s="22">
        <f>+[1]SANTILLANA!F121</f>
        <v>157.23330795722876</v>
      </c>
      <c r="O168" s="23">
        <f>+[1]SANTILLANA!G121</f>
        <v>155.14695863200353</v>
      </c>
      <c r="P168" s="24">
        <f>IF(O168=0,"---",IF(OR(ABS((N168-O168)/ABS(O168))&gt;2,(N168*O168)&lt;0),"---",IF(O168="0","---",((N168-O168)/ABS(O168))*100)))</f>
        <v>1.3447568316011183</v>
      </c>
    </row>
    <row r="169" spans="4:16" ht="15" customHeight="1">
      <c r="D169" s="11" t="str">
        <f>+IF($B$3="esp","EBITDA Comparable","Comparable EBITDA")</f>
        <v>Comparable EBITDA</v>
      </c>
      <c r="F169" s="12"/>
      <c r="G169" s="12"/>
      <c r="H169" s="12"/>
      <c r="L169" s="21" t="str">
        <f>+IF($B$3="esp","Campaña Norte","North Campaign")</f>
        <v>North Campaign</v>
      </c>
      <c r="N169" s="22">
        <f>+[1]SANTILLANA!F124</f>
        <v>18.153384707462578</v>
      </c>
      <c r="O169" s="23">
        <f>+[1]SANTILLANA!G124</f>
        <v>18.600958611120461</v>
      </c>
      <c r="P169" s="24">
        <f>IF(O169=0,"---",IF(OR(ABS((N169-O169)/ABS(O169))&gt;2,(N169*O169)&lt;0),"---",IF(O169="0","---",((N169-O169)/ABS(O169))*100)))</f>
        <v>-2.4061872993486682</v>
      </c>
    </row>
    <row r="170" spans="4:16" ht="15" customHeight="1">
      <c r="D170" s="13" t="str">
        <f>+IF($B$3="esp","GRUPO","GROUP")</f>
        <v>GROUP</v>
      </c>
      <c r="E170" s="13"/>
      <c r="F170" s="14">
        <f>+[1]GRUPO!F131</f>
        <v>70.009874638956688</v>
      </c>
      <c r="G170" s="15">
        <f>+[1]GRUPO!G131</f>
        <v>71.589075413446963</v>
      </c>
      <c r="H170" s="16">
        <f>IF(G170=0,"---",IF(OR(ABS((F170-G170)/ABS(G170))&gt;2,(F170*G170)&lt;0),"---",IF(G170="0","---",((F170-G170)/ABS(G170))*100)))</f>
        <v>-2.2059242494332381</v>
      </c>
      <c r="L170" s="31"/>
      <c r="N170" s="23"/>
      <c r="O170" s="23"/>
      <c r="P170" s="24"/>
    </row>
    <row r="171" spans="4:16" s="13" customFormat="1" ht="15" customHeight="1">
      <c r="D171" s="21" t="str">
        <f>+IF($B$3="esp","Educación","Education")</f>
        <v>Education</v>
      </c>
      <c r="E171" s="1"/>
      <c r="F171" s="22">
        <f>+[1]GRUPO!F132</f>
        <v>66.246471194497801</v>
      </c>
      <c r="G171" s="23">
        <f>+[1]GRUPO!G132</f>
        <v>68.247919185280324</v>
      </c>
      <c r="H171" s="24">
        <f t="shared" ref="H171:H175" si="29">IF(G171=0,"---",IF(OR(ABS((F171-G171)/ABS(G171))&gt;2,(F171*G171)&lt;0),"---",IF(G171="0","---",((F171-G171)/ABS(G171))*100)))</f>
        <v>-2.932613938527513</v>
      </c>
      <c r="I171" s="1"/>
      <c r="L171" s="21"/>
      <c r="M171" s="1"/>
      <c r="N171" s="23"/>
      <c r="O171" s="23"/>
      <c r="P171" s="24"/>
    </row>
    <row r="172" spans="4:16" ht="15" customHeight="1">
      <c r="D172" s="21" t="str">
        <f>+IF($B$3="esp","Radio","Radio")</f>
        <v>Radio</v>
      </c>
      <c r="F172" s="22">
        <f>+[1]GRUPO!F133</f>
        <v>8.0448780192073901</v>
      </c>
      <c r="G172" s="23">
        <f>+[1]GRUPO!G133</f>
        <v>5.7235744429131703</v>
      </c>
      <c r="H172" s="24">
        <f t="shared" si="29"/>
        <v>40.556886250836087</v>
      </c>
      <c r="N172" s="7" t="str">
        <f>+N161</f>
        <v>JANUARY - MARCH</v>
      </c>
      <c r="O172" s="8"/>
      <c r="P172" s="8"/>
    </row>
    <row r="173" spans="4:16" s="13" customFormat="1" ht="15" customHeight="1">
      <c r="D173" s="21" t="str">
        <f>+IF($B$3="esp","Prensa Total - incluye PBS y Tecnología","Press Total - includes PBS&amp;IT")</f>
        <v>Press Total - includes PBS&amp;IT</v>
      </c>
      <c r="E173" s="1"/>
      <c r="F173" s="22">
        <f>+[1]GRUPO!F134</f>
        <v>-3.0717104354629701</v>
      </c>
      <c r="G173" s="23">
        <f>+[1]GRUPO!G134</f>
        <v>-3.0764390396213002</v>
      </c>
      <c r="H173" s="24">
        <f t="shared" si="29"/>
        <v>0.15370381461913096</v>
      </c>
      <c r="I173" s="1"/>
      <c r="L173" s="1"/>
      <c r="M173" s="1"/>
      <c r="N173" s="1"/>
      <c r="O173" s="1"/>
      <c r="P173" s="1"/>
    </row>
    <row r="174" spans="4:16" ht="15" customHeight="1">
      <c r="D174" s="21" t="str">
        <f>+IF($B$3="esp","Media Capital","Media Capital")</f>
        <v>Media Capital</v>
      </c>
      <c r="F174" s="22">
        <f>+[1]GRUPO!F136</f>
        <v>1.0032815278213201</v>
      </c>
      <c r="G174" s="23">
        <f>+[1]GRUPO!G136</f>
        <v>5.788990502718721</v>
      </c>
      <c r="H174" s="24">
        <f t="shared" si="29"/>
        <v>-82.669145382944691</v>
      </c>
      <c r="L174" s="9" t="str">
        <f>+IF($B$3="esp","Millones de €","€ Millions")</f>
        <v>€ Millions</v>
      </c>
      <c r="N174" s="10">
        <v>2019</v>
      </c>
      <c r="O174" s="10">
        <v>2018</v>
      </c>
      <c r="P174" s="10" t="s">
        <v>5</v>
      </c>
    </row>
    <row r="175" spans="4:16" ht="15" customHeight="1">
      <c r="D175" s="21" t="str">
        <f>+IF($B$3="esp","Otros","Others")</f>
        <v>Others</v>
      </c>
      <c r="F175" s="22">
        <f>+[1]GRUPO!F137</f>
        <v>-2.2130456671068526</v>
      </c>
      <c r="G175" s="23">
        <f>+[1]GRUPO!G137</f>
        <v>-5.0949696778439524</v>
      </c>
      <c r="H175" s="24">
        <f t="shared" si="29"/>
        <v>56.564105244226873</v>
      </c>
      <c r="L175" s="11" t="str">
        <f>+IF($B$3="esp","EBITDA Comparable","Comparable EBITDA")</f>
        <v>Comparable EBITDA</v>
      </c>
      <c r="N175" s="12"/>
      <c r="O175" s="12"/>
      <c r="P175" s="12"/>
    </row>
    <row r="176" spans="4:16" ht="15" customHeight="1">
      <c r="D176" s="21"/>
      <c r="F176" s="23"/>
      <c r="G176" s="23"/>
      <c r="H176" s="24"/>
      <c r="L176" s="13" t="str">
        <f>+IF($B$3="esp","Total Santillana","Total Santillana")</f>
        <v>Total Santillana</v>
      </c>
      <c r="M176" s="13"/>
      <c r="N176" s="14">
        <f>+[1]SANTILLANA!F136</f>
        <v>66.246471194497801</v>
      </c>
      <c r="O176" s="15">
        <f>+[1]SANTILLANA!G136</f>
        <v>68.247919185280324</v>
      </c>
      <c r="P176" s="16">
        <f>IF(O176=0,"---",IF(OR(ABS((N176-O176)/ABS(O176))&gt;2,(N176*O176)&lt;0),"---",IF(O176="0","---",((N176-O176)/ABS(O176))*100)))</f>
        <v>-2.932613938527513</v>
      </c>
    </row>
    <row r="177" spans="4:16" s="13" customFormat="1" ht="15" customHeight="1">
      <c r="D177" s="21"/>
      <c r="E177" s="1"/>
      <c r="F177" s="23"/>
      <c r="G177" s="23"/>
      <c r="H177" s="24"/>
      <c r="L177" s="21" t="str">
        <f>+IF($B$3="esp","Campaña Sur","South Campaign")</f>
        <v>South Campaign</v>
      </c>
      <c r="M177" s="1"/>
      <c r="N177" s="22">
        <f>+[1]SANTILLANA!F137</f>
        <v>83.467677751735806</v>
      </c>
      <c r="O177" s="23">
        <f>+[1]SANTILLANA!G137</f>
        <v>86.441532947735041</v>
      </c>
      <c r="P177" s="24">
        <f>IF(O177=0,"---",IF(OR(ABS((N177-O177)/ABS(O177))&gt;2,(N177*O177)&lt;0),"---",IF(O177="0","---",((N177-O177)/ABS(O177))*100)))</f>
        <v>-3.4403082576026396</v>
      </c>
    </row>
    <row r="178" spans="4:16" ht="15" customHeight="1">
      <c r="D178" s="21"/>
      <c r="F178" s="23"/>
      <c r="G178" s="23"/>
      <c r="H178" s="24"/>
      <c r="L178" s="21" t="str">
        <f>+IF($B$3="esp","Campaña Norte","North Campaign")</f>
        <v>North Campaign</v>
      </c>
      <c r="N178" s="22">
        <f>+[1]SANTILLANA!F140</f>
        <v>-17.221206557238006</v>
      </c>
      <c r="O178" s="23">
        <f>+[1]SANTILLANA!G140</f>
        <v>-18.193613762454717</v>
      </c>
      <c r="P178" s="24">
        <f>IF(O178=0,"---",IF(OR(ABS((N178-O178)/ABS(O178))&gt;2,(N178*O178)&lt;0),"---",IF(O178="0","---",((N178-O178)/ABS(O178))*100)))</f>
        <v>5.3447721706801401</v>
      </c>
    </row>
    <row r="179" spans="4:16" ht="15" customHeight="1">
      <c r="L179" s="31"/>
      <c r="N179" s="23"/>
      <c r="O179" s="23"/>
      <c r="P179" s="24"/>
    </row>
    <row r="180" spans="4:16" ht="15" customHeight="1">
      <c r="L180" s="21"/>
      <c r="N180" s="23"/>
      <c r="O180" s="23"/>
      <c r="P180" s="24"/>
    </row>
    <row r="181" spans="4:16" ht="15" customHeight="1"/>
    <row r="182" spans="4:16" ht="15" customHeight="1">
      <c r="N182" s="7" t="str">
        <f>+N172</f>
        <v>JANUARY - MARCH</v>
      </c>
      <c r="O182" s="8"/>
      <c r="P182" s="8"/>
    </row>
    <row r="183" spans="4:16" ht="15" customHeight="1"/>
    <row r="184" spans="4:16" ht="15" customHeight="1">
      <c r="L184" s="9" t="str">
        <f>+IF($B$3="esp","Millones de €","€ Millions")</f>
        <v>€ Millions</v>
      </c>
      <c r="N184" s="10">
        <v>2019</v>
      </c>
      <c r="O184" s="10">
        <v>2018</v>
      </c>
      <c r="P184" s="10" t="s">
        <v>5</v>
      </c>
    </row>
    <row r="185" spans="4:16" ht="15" customHeight="1">
      <c r="L185" s="11" t="str">
        <f>+IF($B$3="esp","EBITDA Comparable a tipo constante","Comparable EBITDA at constant currency")</f>
        <v>Comparable EBITDA at constant currency</v>
      </c>
      <c r="N185" s="12"/>
      <c r="O185" s="12"/>
      <c r="P185" s="12"/>
    </row>
    <row r="186" spans="4:16" ht="15" customHeight="1">
      <c r="L186" s="13" t="str">
        <f>+IF($B$3="esp","Total Santillana","Total Santillana")</f>
        <v>Total Santillana</v>
      </c>
      <c r="M186" s="13"/>
      <c r="N186" s="14">
        <f>+[1]SANTILLANA!F149</f>
        <v>70.266475969713511</v>
      </c>
      <c r="O186" s="15">
        <f>+[1]SANTILLANA!G149</f>
        <v>68.247919185280324</v>
      </c>
      <c r="P186" s="16">
        <f>IF(O186=0,"---",IF(OR(ABS((N186-O186)/ABS(O186))&gt;2,(N186*O186)&lt;0),"---",IF(O186="0","---",((N186-O186)/ABS(O186))*100)))</f>
        <v>2.9576825323467859</v>
      </c>
    </row>
    <row r="187" spans="4:16" ht="15" customHeight="1">
      <c r="L187" s="21" t="str">
        <f>+IF($B$3="esp","Campaña Sur","South Campaign")</f>
        <v>South Campaign</v>
      </c>
      <c r="N187" s="22">
        <f>+[1]SANTILLANA!F150</f>
        <v>87.514157566262028</v>
      </c>
      <c r="O187" s="23">
        <f>+[1]SANTILLANA!G150</f>
        <v>86.441532947735041</v>
      </c>
      <c r="P187" s="24">
        <f>IF(O187=0,"---",IF(OR(ABS((N187-O187)/ABS(O187))&gt;2,(N187*O187)&lt;0),"---",IF(O187="0","---",((N187-O187)/ABS(O187))*100)))</f>
        <v>1.2408671872761974</v>
      </c>
    </row>
    <row r="188" spans="4:16" ht="15" customHeight="1">
      <c r="L188" s="21" t="str">
        <f>+IF($B$3="esp","Campaña Norte","North Campaign")</f>
        <v>North Campaign</v>
      </c>
      <c r="N188" s="22">
        <f>+[1]SANTILLANA!F153</f>
        <v>-17.247681596548517</v>
      </c>
      <c r="O188" s="23">
        <f>+[1]SANTILLANA!G153</f>
        <v>-18.193613762454717</v>
      </c>
      <c r="P188" s="24">
        <f>IF(O188=0,"---",IF(OR(ABS((N188-O188)/ABS(O188))&gt;2,(N188*O188)&lt;0),"---",IF(O188="0","---",((N188-O188)/ABS(O188))*100)))</f>
        <v>5.1992538604852347</v>
      </c>
    </row>
    <row r="189" spans="4:16" ht="15" customHeight="1">
      <c r="L189" s="31"/>
      <c r="N189" s="23"/>
      <c r="O189" s="23"/>
      <c r="P189" s="24"/>
    </row>
    <row r="190" spans="4:16" ht="15" customHeight="1">
      <c r="L190" s="21"/>
      <c r="N190" s="23"/>
      <c r="O190" s="23"/>
      <c r="P190" s="24"/>
    </row>
    <row r="191" spans="4:16" ht="15" customHeight="1"/>
    <row r="192" spans="4:16" ht="15" customHeight="1"/>
    <row r="193" spans="12:16" ht="15" customHeight="1"/>
    <row r="194" spans="12:16" ht="15" customHeight="1"/>
    <row r="195" spans="12:16" ht="15" customHeight="1"/>
    <row r="196" spans="12:16" ht="15" customHeight="1">
      <c r="L196" s="21"/>
      <c r="N196" s="23"/>
      <c r="O196" s="23"/>
      <c r="P196" s="24"/>
    </row>
  </sheetData>
  <pageMargins left="0" right="0" top="0" bottom="0" header="0" footer="0"/>
  <pageSetup paperSize="9"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 Publish</vt:lpstr>
      <vt:lpstr>'To Publish'!Área_de_impresión</vt:lpstr>
    </vt:vector>
  </TitlesOfParts>
  <Company>Prisa Corporación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Tobal Favelukes, Matías</dc:creator>
  <cp:lastModifiedBy>Guelbenzu Robles, Belen</cp:lastModifiedBy>
  <dcterms:created xsi:type="dcterms:W3CDTF">2019-05-13T11:02:59Z</dcterms:created>
  <dcterms:modified xsi:type="dcterms:W3CDTF">2019-05-13T11:06:02Z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