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9\2T\def\"/>
    </mc:Choice>
  </mc:AlternateContent>
  <xr:revisionPtr revIDLastSave="0" documentId="13_ncr:1_{46AA9705-3B50-4CAF-8029-2AA3B0534B9C}" xr6:coauthVersionLast="43" xr6:coauthVersionMax="43" xr10:uidLastSave="{00000000-0000-0000-0000-000000000000}"/>
  <bookViews>
    <workbookView xWindow="-120" yWindow="-120" windowWidth="29040" windowHeight="15840" xr2:uid="{47A01D04-7550-42C4-88DF-C5654593A00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5" i="1" l="1"/>
  <c r="L175" i="1" s="1"/>
  <c r="J175" i="1"/>
  <c r="H175" i="1"/>
  <c r="G175" i="1"/>
  <c r="F175" i="1"/>
  <c r="D175" i="1"/>
  <c r="L174" i="1"/>
  <c r="K174" i="1"/>
  <c r="J174" i="1"/>
  <c r="G174" i="1"/>
  <c r="H174" i="1" s="1"/>
  <c r="F174" i="1"/>
  <c r="D174" i="1"/>
  <c r="K173" i="1"/>
  <c r="L173" i="1" s="1"/>
  <c r="J173" i="1"/>
  <c r="G173" i="1"/>
  <c r="H173" i="1" s="1"/>
  <c r="F173" i="1"/>
  <c r="D173" i="1"/>
  <c r="K172" i="1"/>
  <c r="J172" i="1"/>
  <c r="G172" i="1"/>
  <c r="H172" i="1" s="1"/>
  <c r="F172" i="1"/>
  <c r="D172" i="1"/>
  <c r="K171" i="1"/>
  <c r="J171" i="1"/>
  <c r="L171" i="1" s="1"/>
  <c r="H171" i="1"/>
  <c r="G171" i="1"/>
  <c r="F171" i="1"/>
  <c r="D171" i="1"/>
  <c r="L170" i="1"/>
  <c r="K170" i="1"/>
  <c r="J170" i="1"/>
  <c r="H170" i="1"/>
  <c r="G170" i="1"/>
  <c r="F170" i="1"/>
  <c r="D170" i="1"/>
  <c r="D169" i="1"/>
  <c r="D168" i="1"/>
  <c r="K161" i="1"/>
  <c r="L161" i="1" s="1"/>
  <c r="J161" i="1"/>
  <c r="G161" i="1"/>
  <c r="F161" i="1"/>
  <c r="D161" i="1"/>
  <c r="K160" i="1"/>
  <c r="J160" i="1"/>
  <c r="G160" i="1"/>
  <c r="H160" i="1" s="1"/>
  <c r="F160" i="1"/>
  <c r="D160" i="1"/>
  <c r="K159" i="1"/>
  <c r="J159" i="1"/>
  <c r="L159" i="1" s="1"/>
  <c r="H159" i="1"/>
  <c r="G159" i="1"/>
  <c r="F159" i="1"/>
  <c r="D159" i="1"/>
  <c r="L158" i="1"/>
  <c r="K158" i="1"/>
  <c r="J158" i="1"/>
  <c r="G158" i="1"/>
  <c r="H158" i="1" s="1"/>
  <c r="F158" i="1"/>
  <c r="D158" i="1"/>
  <c r="K157" i="1"/>
  <c r="L157" i="1" s="1"/>
  <c r="J157" i="1"/>
  <c r="G157" i="1"/>
  <c r="H157" i="1" s="1"/>
  <c r="F157" i="1"/>
  <c r="D157" i="1"/>
  <c r="K156" i="1"/>
  <c r="J156" i="1"/>
  <c r="G156" i="1"/>
  <c r="F156" i="1"/>
  <c r="H156" i="1" s="1"/>
  <c r="D156" i="1"/>
  <c r="D155" i="1"/>
  <c r="D154" i="1"/>
  <c r="K147" i="1"/>
  <c r="J147" i="1"/>
  <c r="L147" i="1" s="1"/>
  <c r="H147" i="1"/>
  <c r="G147" i="1"/>
  <c r="F147" i="1"/>
  <c r="D147" i="1"/>
  <c r="K146" i="1"/>
  <c r="J146" i="1"/>
  <c r="G146" i="1"/>
  <c r="F146" i="1"/>
  <c r="D146" i="1"/>
  <c r="AR145" i="1"/>
  <c r="AS145" i="1" s="1"/>
  <c r="AQ145" i="1"/>
  <c r="AO145" i="1"/>
  <c r="AN145" i="1"/>
  <c r="AM145" i="1"/>
  <c r="AK145" i="1"/>
  <c r="K145" i="1"/>
  <c r="J145" i="1"/>
  <c r="G145" i="1"/>
  <c r="F145" i="1"/>
  <c r="D145" i="1"/>
  <c r="AR144" i="1"/>
  <c r="AN144" i="1"/>
  <c r="AK144" i="1"/>
  <c r="L144" i="1"/>
  <c r="K144" i="1"/>
  <c r="J144" i="1"/>
  <c r="G144" i="1"/>
  <c r="H144" i="1" s="1"/>
  <c r="F144" i="1"/>
  <c r="D144" i="1"/>
  <c r="AR143" i="1"/>
  <c r="AS143" i="1" s="1"/>
  <c r="AQ143" i="1"/>
  <c r="AN143" i="1"/>
  <c r="AO143" i="1" s="1"/>
  <c r="AM143" i="1"/>
  <c r="AK143" i="1"/>
  <c r="K143" i="1"/>
  <c r="L143" i="1" s="1"/>
  <c r="J143" i="1"/>
  <c r="G143" i="1"/>
  <c r="H143" i="1" s="1"/>
  <c r="F143" i="1"/>
  <c r="D143" i="1"/>
  <c r="AR142" i="1"/>
  <c r="AQ142" i="1"/>
  <c r="AS142" i="1" s="1"/>
  <c r="AO142" i="1"/>
  <c r="AN142" i="1"/>
  <c r="AM142" i="1"/>
  <c r="AK142" i="1"/>
  <c r="L142" i="1"/>
  <c r="K142" i="1"/>
  <c r="J142" i="1"/>
  <c r="G142" i="1"/>
  <c r="H142" i="1" s="1"/>
  <c r="F142" i="1"/>
  <c r="D142" i="1"/>
  <c r="AR141" i="1"/>
  <c r="AS141" i="1" s="1"/>
  <c r="AQ141" i="1"/>
  <c r="AN141" i="1"/>
  <c r="AO141" i="1" s="1"/>
  <c r="AM141" i="1"/>
  <c r="AK141" i="1"/>
  <c r="K141" i="1"/>
  <c r="L141" i="1" s="1"/>
  <c r="J141" i="1"/>
  <c r="G141" i="1"/>
  <c r="F141" i="1"/>
  <c r="H141" i="1" s="1"/>
  <c r="D141" i="1"/>
  <c r="AR140" i="1"/>
  <c r="AS140" i="1" s="1"/>
  <c r="AQ140" i="1"/>
  <c r="AO140" i="1"/>
  <c r="AN140" i="1"/>
  <c r="AM140" i="1"/>
  <c r="AK140" i="1"/>
  <c r="K140" i="1"/>
  <c r="J140" i="1"/>
  <c r="G140" i="1"/>
  <c r="F140" i="1"/>
  <c r="D140" i="1"/>
  <c r="AR139" i="1"/>
  <c r="AN139" i="1"/>
  <c r="AK139" i="1"/>
  <c r="K139" i="1"/>
  <c r="J139" i="1"/>
  <c r="G139" i="1"/>
  <c r="F139" i="1"/>
  <c r="D139" i="1"/>
  <c r="AR138" i="1"/>
  <c r="AQ138" i="1"/>
  <c r="AS138" i="1" s="1"/>
  <c r="AO138" i="1"/>
  <c r="AN138" i="1"/>
  <c r="AM138" i="1"/>
  <c r="AK138" i="1"/>
  <c r="L138" i="1"/>
  <c r="K138" i="1"/>
  <c r="J138" i="1"/>
  <c r="H138" i="1"/>
  <c r="G138" i="1"/>
  <c r="F138" i="1"/>
  <c r="D138" i="1"/>
  <c r="AR137" i="1"/>
  <c r="AN137" i="1"/>
  <c r="AK137" i="1"/>
  <c r="K137" i="1"/>
  <c r="G137" i="1"/>
  <c r="D137" i="1"/>
  <c r="AR136" i="1"/>
  <c r="AS136" i="1" s="1"/>
  <c r="AN136" i="1"/>
  <c r="AO136" i="1" s="1"/>
  <c r="AK136" i="1"/>
  <c r="K136" i="1"/>
  <c r="G136" i="1"/>
  <c r="D136" i="1"/>
  <c r="AS134" i="1"/>
  <c r="AO134" i="1"/>
  <c r="AK134" i="1"/>
  <c r="D134" i="1"/>
  <c r="AK132" i="1"/>
  <c r="BC129" i="1"/>
  <c r="BB129" i="1"/>
  <c r="AY129" i="1"/>
  <c r="AX129" i="1"/>
  <c r="AZ129" i="1" s="1"/>
  <c r="AV129" i="1"/>
  <c r="AR129" i="1"/>
  <c r="AS129" i="1" s="1"/>
  <c r="AQ129" i="1"/>
  <c r="AO129" i="1"/>
  <c r="AN129" i="1"/>
  <c r="AM129" i="1"/>
  <c r="AK129" i="1"/>
  <c r="AH129" i="1"/>
  <c r="AG129" i="1"/>
  <c r="AF129" i="1"/>
  <c r="AC129" i="1"/>
  <c r="AD129" i="1" s="1"/>
  <c r="AB129" i="1"/>
  <c r="Z129" i="1"/>
  <c r="W129" i="1"/>
  <c r="V129" i="1"/>
  <c r="U129" i="1"/>
  <c r="R129" i="1"/>
  <c r="Q129" i="1"/>
  <c r="O129" i="1"/>
  <c r="K129" i="1"/>
  <c r="L129" i="1" s="1"/>
  <c r="J129" i="1"/>
  <c r="G129" i="1"/>
  <c r="H129" i="1" s="1"/>
  <c r="F129" i="1"/>
  <c r="D129" i="1"/>
  <c r="BC128" i="1"/>
  <c r="AY128" i="1"/>
  <c r="AV128" i="1"/>
  <c r="AR128" i="1"/>
  <c r="AN128" i="1"/>
  <c r="AK128" i="1"/>
  <c r="AG128" i="1"/>
  <c r="AH128" i="1" s="1"/>
  <c r="AD128" i="1"/>
  <c r="AC128" i="1"/>
  <c r="Z128" i="1"/>
  <c r="V128" i="1"/>
  <c r="R128" i="1"/>
  <c r="O128" i="1"/>
  <c r="K128" i="1"/>
  <c r="J128" i="1"/>
  <c r="G128" i="1"/>
  <c r="F128" i="1"/>
  <c r="D128" i="1"/>
  <c r="K127" i="1"/>
  <c r="J127" i="1"/>
  <c r="G127" i="1"/>
  <c r="F127" i="1"/>
  <c r="D127" i="1"/>
  <c r="BC126" i="1"/>
  <c r="BB126" i="1"/>
  <c r="BD126" i="1" s="1"/>
  <c r="AZ126" i="1"/>
  <c r="AY126" i="1"/>
  <c r="AX126" i="1"/>
  <c r="AV126" i="1"/>
  <c r="AS126" i="1"/>
  <c r="AR126" i="1"/>
  <c r="AQ126" i="1"/>
  <c r="AN126" i="1"/>
  <c r="AO126" i="1" s="1"/>
  <c r="AM126" i="1"/>
  <c r="AK126" i="1"/>
  <c r="AG126" i="1"/>
  <c r="AH126" i="1" s="1"/>
  <c r="AF126" i="1"/>
  <c r="AC126" i="1"/>
  <c r="AD126" i="1" s="1"/>
  <c r="AB126" i="1"/>
  <c r="Z126" i="1"/>
  <c r="V126" i="1"/>
  <c r="W126" i="1" s="1"/>
  <c r="U126" i="1"/>
  <c r="R126" i="1"/>
  <c r="Q126" i="1"/>
  <c r="S126" i="1" s="1"/>
  <c r="O126" i="1"/>
  <c r="K126" i="1"/>
  <c r="L126" i="1" s="1"/>
  <c r="J126" i="1"/>
  <c r="H126" i="1"/>
  <c r="G126" i="1"/>
  <c r="F126" i="1"/>
  <c r="D126" i="1"/>
  <c r="BD125" i="1"/>
  <c r="BC125" i="1"/>
  <c r="BB125" i="1"/>
  <c r="AY125" i="1"/>
  <c r="AZ125" i="1" s="1"/>
  <c r="AX125" i="1"/>
  <c r="AV125" i="1"/>
  <c r="AR125" i="1"/>
  <c r="AS125" i="1" s="1"/>
  <c r="AQ125" i="1"/>
  <c r="AN125" i="1"/>
  <c r="AO125" i="1" s="1"/>
  <c r="AM125" i="1"/>
  <c r="AK125" i="1"/>
  <c r="AG125" i="1"/>
  <c r="AF125" i="1"/>
  <c r="AC125" i="1"/>
  <c r="AD125" i="1" s="1"/>
  <c r="AB125" i="1"/>
  <c r="Z125" i="1"/>
  <c r="V125" i="1"/>
  <c r="U125" i="1"/>
  <c r="W125" i="1" s="1"/>
  <c r="S125" i="1"/>
  <c r="R125" i="1"/>
  <c r="Q125" i="1"/>
  <c r="O125" i="1"/>
  <c r="L125" i="1"/>
  <c r="K125" i="1"/>
  <c r="J125" i="1"/>
  <c r="H125" i="1"/>
  <c r="G125" i="1"/>
  <c r="F125" i="1"/>
  <c r="D125" i="1"/>
  <c r="BC124" i="1"/>
  <c r="BD124" i="1" s="1"/>
  <c r="BB124" i="1"/>
  <c r="AY124" i="1"/>
  <c r="AX124" i="1"/>
  <c r="AV124" i="1"/>
  <c r="AR124" i="1"/>
  <c r="AQ124" i="1"/>
  <c r="AN124" i="1"/>
  <c r="AM124" i="1"/>
  <c r="AO124" i="1" s="1"/>
  <c r="AK124" i="1"/>
  <c r="AG124" i="1"/>
  <c r="AH124" i="1" s="1"/>
  <c r="AF124" i="1"/>
  <c r="AD124" i="1"/>
  <c r="AC124" i="1"/>
  <c r="AB124" i="1"/>
  <c r="Z124" i="1"/>
  <c r="W124" i="1"/>
  <c r="V124" i="1"/>
  <c r="U124" i="1"/>
  <c r="R124" i="1"/>
  <c r="S124" i="1" s="1"/>
  <c r="Q124" i="1"/>
  <c r="O124" i="1"/>
  <c r="K124" i="1"/>
  <c r="L124" i="1" s="1"/>
  <c r="J124" i="1"/>
  <c r="G124" i="1"/>
  <c r="H124" i="1" s="1"/>
  <c r="F124" i="1"/>
  <c r="D124" i="1"/>
  <c r="BC123" i="1"/>
  <c r="BD123" i="1" s="1"/>
  <c r="BB123" i="1"/>
  <c r="AY123" i="1"/>
  <c r="AZ123" i="1" s="1"/>
  <c r="AX123" i="1"/>
  <c r="AV123" i="1"/>
  <c r="AR123" i="1"/>
  <c r="AQ123" i="1"/>
  <c r="AS123" i="1" s="1"/>
  <c r="AO123" i="1"/>
  <c r="AN123" i="1"/>
  <c r="AM123" i="1"/>
  <c r="AK123" i="1"/>
  <c r="AH123" i="1"/>
  <c r="AG123" i="1"/>
  <c r="AF123" i="1"/>
  <c r="AC123" i="1"/>
  <c r="AD123" i="1" s="1"/>
  <c r="AB123" i="1"/>
  <c r="Z123" i="1"/>
  <c r="V123" i="1"/>
  <c r="W123" i="1" s="1"/>
  <c r="U123" i="1"/>
  <c r="R123" i="1"/>
  <c r="Q123" i="1"/>
  <c r="O123" i="1"/>
  <c r="K123" i="1"/>
  <c r="L123" i="1" s="1"/>
  <c r="J123" i="1"/>
  <c r="G123" i="1"/>
  <c r="F123" i="1"/>
  <c r="H123" i="1" s="1"/>
  <c r="D123" i="1"/>
  <c r="BC122" i="1"/>
  <c r="AY122" i="1"/>
  <c r="AV122" i="1"/>
  <c r="AR122" i="1"/>
  <c r="AN122" i="1"/>
  <c r="AK122" i="1"/>
  <c r="AG122" i="1"/>
  <c r="AC122" i="1"/>
  <c r="Z122" i="1"/>
  <c r="V122" i="1"/>
  <c r="R122" i="1"/>
  <c r="O122" i="1"/>
  <c r="K122" i="1"/>
  <c r="J122" i="1"/>
  <c r="G122" i="1"/>
  <c r="F122" i="1"/>
  <c r="D122" i="1"/>
  <c r="K121" i="1"/>
  <c r="J121" i="1"/>
  <c r="G121" i="1"/>
  <c r="F121" i="1"/>
  <c r="D121" i="1"/>
  <c r="BC120" i="1"/>
  <c r="BD120" i="1" s="1"/>
  <c r="BB120" i="1"/>
  <c r="AY120" i="1"/>
  <c r="AZ120" i="1" s="1"/>
  <c r="AX120" i="1"/>
  <c r="AV120" i="1"/>
  <c r="AR120" i="1"/>
  <c r="AS120" i="1" s="1"/>
  <c r="AQ120" i="1"/>
  <c r="AN120" i="1"/>
  <c r="AM120" i="1"/>
  <c r="AK120" i="1"/>
  <c r="AG120" i="1"/>
  <c r="AF120" i="1"/>
  <c r="AH120" i="1" s="1"/>
  <c r="AD120" i="1"/>
  <c r="AC120" i="1"/>
  <c r="AB120" i="1"/>
  <c r="Z120" i="1"/>
  <c r="W120" i="1"/>
  <c r="V120" i="1"/>
  <c r="U120" i="1"/>
  <c r="R120" i="1"/>
  <c r="S120" i="1" s="1"/>
  <c r="Q120" i="1"/>
  <c r="O120" i="1"/>
  <c r="K120" i="1"/>
  <c r="L120" i="1" s="1"/>
  <c r="J120" i="1"/>
  <c r="G120" i="1"/>
  <c r="H120" i="1" s="1"/>
  <c r="F120" i="1"/>
  <c r="D120" i="1"/>
  <c r="BC119" i="1"/>
  <c r="BB119" i="1"/>
  <c r="AY119" i="1"/>
  <c r="AX119" i="1"/>
  <c r="AV119" i="1"/>
  <c r="AR119" i="1"/>
  <c r="AN119" i="1"/>
  <c r="AK119" i="1"/>
  <c r="AG119" i="1"/>
  <c r="AC119" i="1"/>
  <c r="Z119" i="1"/>
  <c r="V119" i="1"/>
  <c r="R119" i="1"/>
  <c r="O119" i="1"/>
  <c r="K119" i="1"/>
  <c r="G119" i="1"/>
  <c r="D119" i="1"/>
  <c r="BC118" i="1"/>
  <c r="BD118" i="1" s="1"/>
  <c r="BB118" i="1"/>
  <c r="AY118" i="1"/>
  <c r="AZ118" i="1" s="1"/>
  <c r="AX118" i="1"/>
  <c r="AV118" i="1"/>
  <c r="AR118" i="1"/>
  <c r="AS118" i="1" s="1"/>
  <c r="AO118" i="1"/>
  <c r="AN118" i="1"/>
  <c r="AK118" i="1"/>
  <c r="AG118" i="1"/>
  <c r="AC118" i="1"/>
  <c r="Z118" i="1"/>
  <c r="V118" i="1"/>
  <c r="W118" i="1" s="1"/>
  <c r="S118" i="1"/>
  <c r="R118" i="1"/>
  <c r="O118" i="1"/>
  <c r="K118" i="1"/>
  <c r="G118" i="1"/>
  <c r="D118" i="1"/>
  <c r="BD116" i="1"/>
  <c r="AZ116" i="1"/>
  <c r="AV116" i="1"/>
  <c r="AS116" i="1"/>
  <c r="AO116" i="1"/>
  <c r="AK116" i="1"/>
  <c r="Z116" i="1"/>
  <c r="O116" i="1"/>
  <c r="D116" i="1"/>
  <c r="AK114" i="1"/>
  <c r="Z114" i="1"/>
  <c r="Q114" i="1"/>
  <c r="O114" i="1"/>
  <c r="D114" i="1"/>
  <c r="BC103" i="1"/>
  <c r="BD103" i="1" s="1"/>
  <c r="AY103" i="1"/>
  <c r="AY102" i="1" s="1"/>
  <c r="AV103" i="1"/>
  <c r="AR103" i="1"/>
  <c r="AQ103" i="1"/>
  <c r="AQ102" i="1" s="1"/>
  <c r="AN103" i="1"/>
  <c r="AM103" i="1"/>
  <c r="AM102" i="1" s="1"/>
  <c r="AO102" i="1" s="1"/>
  <c r="AK103" i="1"/>
  <c r="AH103" i="1"/>
  <c r="AG103" i="1"/>
  <c r="AG102" i="1" s="1"/>
  <c r="AG99" i="1" s="1"/>
  <c r="AH99" i="1" s="1"/>
  <c r="AF103" i="1"/>
  <c r="AF102" i="1" s="1"/>
  <c r="AD103" i="1"/>
  <c r="AC103" i="1"/>
  <c r="AB103" i="1"/>
  <c r="Z103" i="1"/>
  <c r="W103" i="1"/>
  <c r="V103" i="1"/>
  <c r="U103" i="1"/>
  <c r="U102" i="1" s="1"/>
  <c r="R103" i="1"/>
  <c r="R102" i="1" s="1"/>
  <c r="S102" i="1" s="1"/>
  <c r="Q103" i="1"/>
  <c r="O103" i="1"/>
  <c r="L103" i="1"/>
  <c r="K103" i="1"/>
  <c r="J103" i="1"/>
  <c r="G103" i="1"/>
  <c r="F103" i="1"/>
  <c r="D103" i="1"/>
  <c r="BC102" i="1"/>
  <c r="BD102" i="1" s="1"/>
  <c r="BB102" i="1"/>
  <c r="AX102" i="1"/>
  <c r="AV102" i="1"/>
  <c r="AN102" i="1"/>
  <c r="AK102" i="1"/>
  <c r="AH102" i="1"/>
  <c r="AC102" i="1"/>
  <c r="AB102" i="1"/>
  <c r="Z102" i="1"/>
  <c r="V102" i="1"/>
  <c r="W102" i="1" s="1"/>
  <c r="Q102" i="1"/>
  <c r="O102" i="1"/>
  <c r="K102" i="1"/>
  <c r="L102" i="1" s="1"/>
  <c r="J102" i="1"/>
  <c r="G102" i="1"/>
  <c r="F102" i="1"/>
  <c r="D102" i="1"/>
  <c r="BD101" i="1"/>
  <c r="BC101" i="1"/>
  <c r="AY101" i="1"/>
  <c r="AZ101" i="1" s="1"/>
  <c r="AV101" i="1"/>
  <c r="AR101" i="1"/>
  <c r="AQ101" i="1"/>
  <c r="AQ99" i="1" s="1"/>
  <c r="AN101" i="1"/>
  <c r="AN99" i="1" s="1"/>
  <c r="AO99" i="1" s="1"/>
  <c r="AM101" i="1"/>
  <c r="AK101" i="1"/>
  <c r="AG101" i="1"/>
  <c r="AF101" i="1"/>
  <c r="AF99" i="1" s="1"/>
  <c r="AC101" i="1"/>
  <c r="AB101" i="1"/>
  <c r="AB99" i="1" s="1"/>
  <c r="Z101" i="1"/>
  <c r="W101" i="1"/>
  <c r="V101" i="1"/>
  <c r="V99" i="1" s="1"/>
  <c r="W99" i="1" s="1"/>
  <c r="U101" i="1"/>
  <c r="R101" i="1"/>
  <c r="Q101" i="1"/>
  <c r="O101" i="1"/>
  <c r="K101" i="1"/>
  <c r="L101" i="1" s="1"/>
  <c r="J101" i="1"/>
  <c r="G101" i="1"/>
  <c r="H101" i="1" s="1"/>
  <c r="F101" i="1"/>
  <c r="D101" i="1"/>
  <c r="BD100" i="1"/>
  <c r="AZ100" i="1"/>
  <c r="L100" i="1"/>
  <c r="K100" i="1"/>
  <c r="J100" i="1"/>
  <c r="H100" i="1"/>
  <c r="G100" i="1"/>
  <c r="F100" i="1"/>
  <c r="D100" i="1"/>
  <c r="BC99" i="1"/>
  <c r="BD99" i="1" s="1"/>
  <c r="BB99" i="1"/>
  <c r="AY99" i="1"/>
  <c r="AX99" i="1"/>
  <c r="AV99" i="1"/>
  <c r="AR99" i="1"/>
  <c r="AM99" i="1"/>
  <c r="AK99" i="1"/>
  <c r="Z99" i="1"/>
  <c r="U99" i="1"/>
  <c r="Q99" i="1"/>
  <c r="O99" i="1"/>
  <c r="L99" i="1"/>
  <c r="K99" i="1"/>
  <c r="J99" i="1"/>
  <c r="G99" i="1"/>
  <c r="H99" i="1" s="1"/>
  <c r="F99" i="1"/>
  <c r="D99" i="1"/>
  <c r="BD98" i="1"/>
  <c r="AZ98" i="1"/>
  <c r="L98" i="1"/>
  <c r="H98" i="1"/>
  <c r="BD97" i="1"/>
  <c r="AZ97" i="1"/>
  <c r="L97" i="1"/>
  <c r="H97" i="1"/>
  <c r="BD96" i="1"/>
  <c r="AZ96" i="1"/>
  <c r="W96" i="1"/>
  <c r="S96" i="1"/>
  <c r="L96" i="1"/>
  <c r="H96" i="1"/>
  <c r="BD95" i="1"/>
  <c r="BC95" i="1"/>
  <c r="BB95" i="1"/>
  <c r="AZ95" i="1"/>
  <c r="AY95" i="1"/>
  <c r="AX95" i="1"/>
  <c r="AV95" i="1"/>
  <c r="AS95" i="1"/>
  <c r="AR95" i="1"/>
  <c r="AQ95" i="1"/>
  <c r="AN95" i="1"/>
  <c r="AO95" i="1" s="1"/>
  <c r="AM95" i="1"/>
  <c r="AK95" i="1"/>
  <c r="AG95" i="1"/>
  <c r="AH95" i="1" s="1"/>
  <c r="AF95" i="1"/>
  <c r="AD95" i="1"/>
  <c r="AC95" i="1"/>
  <c r="AB95" i="1"/>
  <c r="Z95" i="1"/>
  <c r="V95" i="1"/>
  <c r="W95" i="1" s="1"/>
  <c r="U95" i="1"/>
  <c r="S95" i="1"/>
  <c r="R95" i="1"/>
  <c r="Q95" i="1"/>
  <c r="O95" i="1"/>
  <c r="L95" i="1"/>
  <c r="H95" i="1"/>
  <c r="D95" i="1"/>
  <c r="AV94" i="1"/>
  <c r="AK94" i="1"/>
  <c r="Z94" i="1"/>
  <c r="O94" i="1"/>
  <c r="D94" i="1"/>
  <c r="BD93" i="1"/>
  <c r="AZ93" i="1"/>
  <c r="AV93" i="1"/>
  <c r="AS93" i="1"/>
  <c r="AO93" i="1"/>
  <c r="AK93" i="1"/>
  <c r="Z93" i="1"/>
  <c r="O93" i="1"/>
  <c r="D93" i="1"/>
  <c r="K83" i="1"/>
  <c r="L83" i="1" s="1"/>
  <c r="J83" i="1"/>
  <c r="G83" i="1"/>
  <c r="H83" i="1" s="1"/>
  <c r="F83" i="1"/>
  <c r="D83" i="1"/>
  <c r="K82" i="1"/>
  <c r="L82" i="1" s="1"/>
  <c r="J82" i="1"/>
  <c r="G82" i="1"/>
  <c r="F82" i="1"/>
  <c r="H82" i="1" s="1"/>
  <c r="D82" i="1"/>
  <c r="K81" i="1"/>
  <c r="L81" i="1" s="1"/>
  <c r="J81" i="1"/>
  <c r="H81" i="1"/>
  <c r="G81" i="1"/>
  <c r="F81" i="1"/>
  <c r="D81" i="1"/>
  <c r="L80" i="1"/>
  <c r="K80" i="1"/>
  <c r="J80" i="1"/>
  <c r="G80" i="1"/>
  <c r="H80" i="1" s="1"/>
  <c r="F80" i="1"/>
  <c r="D80" i="1"/>
  <c r="K79" i="1"/>
  <c r="L79" i="1" s="1"/>
  <c r="J79" i="1"/>
  <c r="G79" i="1"/>
  <c r="H79" i="1" s="1"/>
  <c r="F79" i="1"/>
  <c r="D79" i="1"/>
  <c r="AG78" i="1"/>
  <c r="AF78" i="1"/>
  <c r="AC78" i="1"/>
  <c r="AB78" i="1"/>
  <c r="Z78" i="1"/>
  <c r="L78" i="1"/>
  <c r="K78" i="1"/>
  <c r="J78" i="1"/>
  <c r="G78" i="1"/>
  <c r="H78" i="1" s="1"/>
  <c r="F78" i="1"/>
  <c r="D78" i="1"/>
  <c r="AG77" i="1"/>
  <c r="AF77" i="1"/>
  <c r="AC77" i="1"/>
  <c r="AB77" i="1"/>
  <c r="AD77" i="1" s="1"/>
  <c r="Z77" i="1"/>
  <c r="K77" i="1"/>
  <c r="L77" i="1" s="1"/>
  <c r="J77" i="1"/>
  <c r="H77" i="1"/>
  <c r="G77" i="1"/>
  <c r="F77" i="1"/>
  <c r="D77" i="1"/>
  <c r="AH76" i="1"/>
  <c r="AG76" i="1"/>
  <c r="AF76" i="1"/>
  <c r="AC76" i="1"/>
  <c r="AD76" i="1" s="1"/>
  <c r="AB76" i="1"/>
  <c r="Z76" i="1"/>
  <c r="L76" i="1"/>
  <c r="K76" i="1"/>
  <c r="J76" i="1"/>
  <c r="G76" i="1"/>
  <c r="H76" i="1" s="1"/>
  <c r="F76" i="1"/>
  <c r="D76" i="1"/>
  <c r="AG75" i="1"/>
  <c r="AF75" i="1"/>
  <c r="AC75" i="1"/>
  <c r="AD75" i="1" s="1"/>
  <c r="AB75" i="1"/>
  <c r="Z75" i="1"/>
  <c r="K75" i="1"/>
  <c r="J75" i="1"/>
  <c r="L75" i="1" s="1"/>
  <c r="H75" i="1"/>
  <c r="G75" i="1"/>
  <c r="F75" i="1"/>
  <c r="D75" i="1"/>
  <c r="AH74" i="1"/>
  <c r="AG74" i="1"/>
  <c r="AF74" i="1"/>
  <c r="AC74" i="1"/>
  <c r="AD74" i="1" s="1"/>
  <c r="AB74" i="1"/>
  <c r="Z74" i="1"/>
  <c r="L74" i="1"/>
  <c r="K74" i="1"/>
  <c r="J74" i="1"/>
  <c r="G74" i="1"/>
  <c r="H74" i="1" s="1"/>
  <c r="F74" i="1"/>
  <c r="D74" i="1"/>
  <c r="AG73" i="1"/>
  <c r="AF73" i="1"/>
  <c r="AC73" i="1"/>
  <c r="AB73" i="1"/>
  <c r="AD73" i="1" s="1"/>
  <c r="Z73" i="1"/>
  <c r="K73" i="1"/>
  <c r="L73" i="1" s="1"/>
  <c r="J73" i="1"/>
  <c r="H73" i="1"/>
  <c r="G73" i="1"/>
  <c r="F73" i="1"/>
  <c r="D73" i="1"/>
  <c r="AS72" i="1"/>
  <c r="AR72" i="1"/>
  <c r="AQ72" i="1"/>
  <c r="AN72" i="1"/>
  <c r="AO72" i="1" s="1"/>
  <c r="AM72" i="1"/>
  <c r="AK72" i="1"/>
  <c r="AG72" i="1"/>
  <c r="AF72" i="1"/>
  <c r="AC72" i="1"/>
  <c r="AB72" i="1"/>
  <c r="Z72" i="1"/>
  <c r="L72" i="1"/>
  <c r="K72" i="1"/>
  <c r="J72" i="1"/>
  <c r="H72" i="1"/>
  <c r="G72" i="1"/>
  <c r="F72" i="1"/>
  <c r="D72" i="1"/>
  <c r="AR71" i="1"/>
  <c r="AQ71" i="1"/>
  <c r="AN71" i="1"/>
  <c r="AM71" i="1"/>
  <c r="AK71" i="1"/>
  <c r="AH71" i="1"/>
  <c r="AG71" i="1"/>
  <c r="AF71" i="1"/>
  <c r="AC71" i="1"/>
  <c r="AD71" i="1" s="1"/>
  <c r="AB71" i="1"/>
  <c r="Z71" i="1"/>
  <c r="V71" i="1"/>
  <c r="U71" i="1"/>
  <c r="R71" i="1"/>
  <c r="Q71" i="1"/>
  <c r="O71" i="1"/>
  <c r="K71" i="1"/>
  <c r="J71" i="1"/>
  <c r="G71" i="1"/>
  <c r="F71" i="1"/>
  <c r="D71" i="1"/>
  <c r="AR70" i="1"/>
  <c r="AS70" i="1" s="1"/>
  <c r="AQ70" i="1"/>
  <c r="AO70" i="1"/>
  <c r="AN70" i="1"/>
  <c r="AM70" i="1"/>
  <c r="AK70" i="1"/>
  <c r="AH70" i="1"/>
  <c r="AG70" i="1"/>
  <c r="AF70" i="1"/>
  <c r="AD70" i="1"/>
  <c r="AC70" i="1"/>
  <c r="AB70" i="1"/>
  <c r="Z70" i="1"/>
  <c r="V70" i="1"/>
  <c r="W70" i="1" s="1"/>
  <c r="U70" i="1"/>
  <c r="R70" i="1"/>
  <c r="S70" i="1" s="1"/>
  <c r="Q70" i="1"/>
  <c r="O70" i="1"/>
  <c r="K70" i="1"/>
  <c r="J70" i="1"/>
  <c r="G70" i="1"/>
  <c r="F70" i="1"/>
  <c r="D70" i="1"/>
  <c r="AR69" i="1"/>
  <c r="AQ69" i="1"/>
  <c r="AS69" i="1" s="1"/>
  <c r="AO69" i="1"/>
  <c r="AN69" i="1"/>
  <c r="AM69" i="1"/>
  <c r="AK69" i="1"/>
  <c r="AH69" i="1"/>
  <c r="AG69" i="1"/>
  <c r="AF69" i="1"/>
  <c r="AD69" i="1"/>
  <c r="AC69" i="1"/>
  <c r="AB69" i="1"/>
  <c r="Z69" i="1"/>
  <c r="V69" i="1"/>
  <c r="W69" i="1" s="1"/>
  <c r="U69" i="1"/>
  <c r="R69" i="1"/>
  <c r="S69" i="1" s="1"/>
  <c r="Q69" i="1"/>
  <c r="O69" i="1"/>
  <c r="K69" i="1"/>
  <c r="J69" i="1"/>
  <c r="G69" i="1"/>
  <c r="F69" i="1"/>
  <c r="H69" i="1" s="1"/>
  <c r="D69" i="1"/>
  <c r="AR68" i="1"/>
  <c r="AS68" i="1" s="1"/>
  <c r="AQ68" i="1"/>
  <c r="AO68" i="1"/>
  <c r="AN68" i="1"/>
  <c r="AM68" i="1"/>
  <c r="AK68" i="1"/>
  <c r="AH68" i="1"/>
  <c r="AG68" i="1"/>
  <c r="AF68" i="1"/>
  <c r="AD68" i="1"/>
  <c r="AC68" i="1"/>
  <c r="AB68" i="1"/>
  <c r="Z68" i="1"/>
  <c r="V68" i="1"/>
  <c r="W68" i="1" s="1"/>
  <c r="U68" i="1"/>
  <c r="R68" i="1"/>
  <c r="S68" i="1" s="1"/>
  <c r="Q68" i="1"/>
  <c r="O68" i="1"/>
  <c r="K68" i="1"/>
  <c r="J68" i="1"/>
  <c r="G68" i="1"/>
  <c r="F68" i="1"/>
  <c r="D68" i="1"/>
  <c r="AR67" i="1"/>
  <c r="AQ67" i="1"/>
  <c r="AN67" i="1"/>
  <c r="AM67" i="1"/>
  <c r="AK67" i="1"/>
  <c r="AG67" i="1"/>
  <c r="AF67" i="1"/>
  <c r="AC67" i="1"/>
  <c r="AB67" i="1"/>
  <c r="AD67" i="1" s="1"/>
  <c r="Z67" i="1"/>
  <c r="V67" i="1"/>
  <c r="U67" i="1"/>
  <c r="S67" i="1"/>
  <c r="R67" i="1"/>
  <c r="Q67" i="1"/>
  <c r="O67" i="1"/>
  <c r="L67" i="1"/>
  <c r="K67" i="1"/>
  <c r="J67" i="1"/>
  <c r="G67" i="1"/>
  <c r="H67" i="1" s="1"/>
  <c r="F67" i="1"/>
  <c r="D67" i="1"/>
  <c r="AR66" i="1"/>
  <c r="AS66" i="1" s="1"/>
  <c r="AQ66" i="1"/>
  <c r="AN66" i="1"/>
  <c r="AM66" i="1"/>
  <c r="AK66" i="1"/>
  <c r="AG66" i="1"/>
  <c r="AH66" i="1" s="1"/>
  <c r="AF66" i="1"/>
  <c r="AC66" i="1"/>
  <c r="AB66" i="1"/>
  <c r="Z66" i="1"/>
  <c r="V66" i="1"/>
  <c r="U66" i="1"/>
  <c r="W66" i="1" s="1"/>
  <c r="S66" i="1"/>
  <c r="R66" i="1"/>
  <c r="Q66" i="1"/>
  <c r="O66" i="1"/>
  <c r="L66" i="1"/>
  <c r="K66" i="1"/>
  <c r="J66" i="1"/>
  <c r="G66" i="1"/>
  <c r="H66" i="1" s="1"/>
  <c r="F66" i="1"/>
  <c r="D66" i="1"/>
  <c r="AR65" i="1"/>
  <c r="AS65" i="1" s="1"/>
  <c r="AQ65" i="1"/>
  <c r="AN65" i="1"/>
  <c r="AM65" i="1"/>
  <c r="AK65" i="1"/>
  <c r="AG65" i="1"/>
  <c r="AH65" i="1" s="1"/>
  <c r="AF65" i="1"/>
  <c r="AC65" i="1"/>
  <c r="AB65" i="1"/>
  <c r="AD65" i="1" s="1"/>
  <c r="Z65" i="1"/>
  <c r="V65" i="1"/>
  <c r="U65" i="1"/>
  <c r="R65" i="1"/>
  <c r="Q65" i="1"/>
  <c r="O65" i="1"/>
  <c r="K65" i="1"/>
  <c r="J65" i="1"/>
  <c r="G65" i="1"/>
  <c r="F65" i="1"/>
  <c r="D65" i="1"/>
  <c r="AR64" i="1"/>
  <c r="AS64" i="1" s="1"/>
  <c r="AQ64" i="1"/>
  <c r="AN64" i="1"/>
  <c r="AM64" i="1"/>
  <c r="AK64" i="1"/>
  <c r="AG64" i="1"/>
  <c r="AF64" i="1"/>
  <c r="AC64" i="1"/>
  <c r="AB64" i="1"/>
  <c r="AD64" i="1" s="1"/>
  <c r="Z64" i="1"/>
  <c r="V64" i="1"/>
  <c r="U64" i="1"/>
  <c r="S64" i="1"/>
  <c r="R64" i="1"/>
  <c r="Q64" i="1"/>
  <c r="O64" i="1"/>
  <c r="L64" i="1"/>
  <c r="K64" i="1"/>
  <c r="J64" i="1"/>
  <c r="H64" i="1"/>
  <c r="G64" i="1"/>
  <c r="F64" i="1"/>
  <c r="D64" i="1"/>
  <c r="BC63" i="1"/>
  <c r="BB63" i="1"/>
  <c r="AY63" i="1"/>
  <c r="AX63" i="1"/>
  <c r="AV63" i="1"/>
  <c r="AS63" i="1"/>
  <c r="AR63" i="1"/>
  <c r="AQ63" i="1"/>
  <c r="AN63" i="1"/>
  <c r="AO63" i="1" s="1"/>
  <c r="AM63" i="1"/>
  <c r="AK63" i="1"/>
  <c r="AH63" i="1"/>
  <c r="AG63" i="1"/>
  <c r="AF63" i="1"/>
  <c r="AC63" i="1"/>
  <c r="AB63" i="1"/>
  <c r="Z63" i="1"/>
  <c r="V63" i="1"/>
  <c r="W63" i="1" s="1"/>
  <c r="U63" i="1"/>
  <c r="R63" i="1"/>
  <c r="Q63" i="1"/>
  <c r="S63" i="1" s="1"/>
  <c r="O63" i="1"/>
  <c r="K63" i="1"/>
  <c r="J63" i="1"/>
  <c r="H63" i="1"/>
  <c r="G63" i="1"/>
  <c r="F63" i="1"/>
  <c r="D63" i="1"/>
  <c r="BD62" i="1"/>
  <c r="BC62" i="1"/>
  <c r="BB62" i="1"/>
  <c r="AY62" i="1"/>
  <c r="AZ62" i="1" s="1"/>
  <c r="AX62" i="1"/>
  <c r="AV62" i="1"/>
  <c r="AS62" i="1"/>
  <c r="AR62" i="1"/>
  <c r="AQ62" i="1"/>
  <c r="AN62" i="1"/>
  <c r="AM62" i="1"/>
  <c r="AK62" i="1"/>
  <c r="AG62" i="1"/>
  <c r="AH62" i="1" s="1"/>
  <c r="AF62" i="1"/>
  <c r="AC62" i="1"/>
  <c r="AD62" i="1" s="1"/>
  <c r="AB62" i="1"/>
  <c r="Z62" i="1"/>
  <c r="V62" i="1"/>
  <c r="U62" i="1"/>
  <c r="W62" i="1" s="1"/>
  <c r="S62" i="1"/>
  <c r="R62" i="1"/>
  <c r="Q62" i="1"/>
  <c r="O62" i="1"/>
  <c r="L62" i="1"/>
  <c r="K62" i="1"/>
  <c r="J62" i="1"/>
  <c r="G62" i="1"/>
  <c r="H62" i="1" s="1"/>
  <c r="F62" i="1"/>
  <c r="D62" i="1"/>
  <c r="BC61" i="1"/>
  <c r="BB61" i="1"/>
  <c r="AY61" i="1"/>
  <c r="AX61" i="1"/>
  <c r="AV61" i="1"/>
  <c r="AS61" i="1"/>
  <c r="AR61" i="1"/>
  <c r="AQ61" i="1"/>
  <c r="AO61" i="1"/>
  <c r="AN61" i="1"/>
  <c r="AM61" i="1"/>
  <c r="AK61" i="1"/>
  <c r="AG61" i="1"/>
  <c r="AH61" i="1" s="1"/>
  <c r="AF61" i="1"/>
  <c r="AC61" i="1"/>
  <c r="AB61" i="1"/>
  <c r="Z61" i="1"/>
  <c r="V61" i="1"/>
  <c r="U61" i="1"/>
  <c r="R61" i="1"/>
  <c r="Q61" i="1"/>
  <c r="O61" i="1"/>
  <c r="K61" i="1"/>
  <c r="J61" i="1"/>
  <c r="L61" i="1" s="1"/>
  <c r="H61" i="1"/>
  <c r="G61" i="1"/>
  <c r="F61" i="1"/>
  <c r="D61" i="1"/>
  <c r="BD60" i="1"/>
  <c r="BC60" i="1"/>
  <c r="BB60" i="1"/>
  <c r="AZ60" i="1"/>
  <c r="AY60" i="1"/>
  <c r="AX60" i="1"/>
  <c r="AV60" i="1"/>
  <c r="AR60" i="1"/>
  <c r="AS60" i="1" s="1"/>
  <c r="AQ60" i="1"/>
  <c r="AN60" i="1"/>
  <c r="AM60" i="1"/>
  <c r="AK60" i="1"/>
  <c r="AG60" i="1"/>
  <c r="AF60" i="1"/>
  <c r="AC60" i="1"/>
  <c r="AB60" i="1"/>
  <c r="AD60" i="1" s="1"/>
  <c r="Z60" i="1"/>
  <c r="V60" i="1"/>
  <c r="U60" i="1"/>
  <c r="S60" i="1"/>
  <c r="R60" i="1"/>
  <c r="Q60" i="1"/>
  <c r="O60" i="1"/>
  <c r="L60" i="1"/>
  <c r="K60" i="1"/>
  <c r="J60" i="1"/>
  <c r="H60" i="1"/>
  <c r="G60" i="1"/>
  <c r="F60" i="1"/>
  <c r="D60" i="1"/>
  <c r="BC59" i="1"/>
  <c r="BD59" i="1" s="1"/>
  <c r="BB59" i="1"/>
  <c r="AY59" i="1"/>
  <c r="AX59" i="1"/>
  <c r="AV59" i="1"/>
  <c r="AR59" i="1"/>
  <c r="AQ59" i="1"/>
  <c r="AN59" i="1"/>
  <c r="AM59" i="1"/>
  <c r="AK59" i="1"/>
  <c r="AG59" i="1"/>
  <c r="AF59" i="1"/>
  <c r="AH59" i="1" s="1"/>
  <c r="AD59" i="1"/>
  <c r="AC59" i="1"/>
  <c r="AB59" i="1"/>
  <c r="Z59" i="1"/>
  <c r="W59" i="1"/>
  <c r="V59" i="1"/>
  <c r="U59" i="1"/>
  <c r="S59" i="1"/>
  <c r="R59" i="1"/>
  <c r="Q59" i="1"/>
  <c r="O59" i="1"/>
  <c r="K59" i="1"/>
  <c r="L59" i="1" s="1"/>
  <c r="J59" i="1"/>
  <c r="G59" i="1"/>
  <c r="F59" i="1"/>
  <c r="D59" i="1"/>
  <c r="BC58" i="1"/>
  <c r="BB58" i="1"/>
  <c r="AY58" i="1"/>
  <c r="AX58" i="1"/>
  <c r="AZ58" i="1" s="1"/>
  <c r="AV58" i="1"/>
  <c r="AR58" i="1"/>
  <c r="AQ58" i="1"/>
  <c r="AO58" i="1"/>
  <c r="AN58" i="1"/>
  <c r="AM58" i="1"/>
  <c r="AK58" i="1"/>
  <c r="AH58" i="1"/>
  <c r="AG58" i="1"/>
  <c r="AF58" i="1"/>
  <c r="AD58" i="1"/>
  <c r="AC58" i="1"/>
  <c r="AB58" i="1"/>
  <c r="Z58" i="1"/>
  <c r="V58" i="1"/>
  <c r="W58" i="1" s="1"/>
  <c r="U58" i="1"/>
  <c r="R58" i="1"/>
  <c r="Q58" i="1"/>
  <c r="O58" i="1"/>
  <c r="K58" i="1"/>
  <c r="J58" i="1"/>
  <c r="G58" i="1"/>
  <c r="F58" i="1"/>
  <c r="D58" i="1"/>
  <c r="BC57" i="1"/>
  <c r="BB57" i="1"/>
  <c r="BD57" i="1" s="1"/>
  <c r="AZ57" i="1"/>
  <c r="AY57" i="1"/>
  <c r="AX57" i="1"/>
  <c r="AV57" i="1"/>
  <c r="AS57" i="1"/>
  <c r="AR57" i="1"/>
  <c r="AQ57" i="1"/>
  <c r="AO57" i="1"/>
  <c r="AN57" i="1"/>
  <c r="AM57" i="1"/>
  <c r="AK57" i="1"/>
  <c r="AG57" i="1"/>
  <c r="AH57" i="1" s="1"/>
  <c r="AF57" i="1"/>
  <c r="AC57" i="1"/>
  <c r="AB57" i="1"/>
  <c r="Z57" i="1"/>
  <c r="V57" i="1"/>
  <c r="U57" i="1"/>
  <c r="R57" i="1"/>
  <c r="Q57" i="1"/>
  <c r="S57" i="1" s="1"/>
  <c r="O57" i="1"/>
  <c r="K57" i="1"/>
  <c r="J57" i="1"/>
  <c r="H57" i="1"/>
  <c r="G57" i="1"/>
  <c r="F57" i="1"/>
  <c r="D57" i="1"/>
  <c r="BD56" i="1"/>
  <c r="BC56" i="1"/>
  <c r="BB56" i="1"/>
  <c r="AZ56" i="1"/>
  <c r="AY56" i="1"/>
  <c r="AX56" i="1"/>
  <c r="AV56" i="1"/>
  <c r="AR56" i="1"/>
  <c r="AS56" i="1" s="1"/>
  <c r="AQ56" i="1"/>
  <c r="AN56" i="1"/>
  <c r="AM56" i="1"/>
  <c r="AK56" i="1"/>
  <c r="AG56" i="1"/>
  <c r="AF56" i="1"/>
  <c r="AC56" i="1"/>
  <c r="AB56" i="1"/>
  <c r="Z56" i="1"/>
  <c r="V56" i="1"/>
  <c r="U56" i="1"/>
  <c r="W56" i="1" s="1"/>
  <c r="S56" i="1"/>
  <c r="R56" i="1"/>
  <c r="Q56" i="1"/>
  <c r="O56" i="1"/>
  <c r="L56" i="1"/>
  <c r="K56" i="1"/>
  <c r="J56" i="1"/>
  <c r="H56" i="1"/>
  <c r="G56" i="1"/>
  <c r="F56" i="1"/>
  <c r="D56" i="1"/>
  <c r="AV55" i="1"/>
  <c r="AK55" i="1"/>
  <c r="Z55" i="1"/>
  <c r="V55" i="1"/>
  <c r="U55" i="1"/>
  <c r="R55" i="1"/>
  <c r="S55" i="1" s="1"/>
  <c r="Q55" i="1"/>
  <c r="O55" i="1"/>
  <c r="K55" i="1"/>
  <c r="J55" i="1"/>
  <c r="L55" i="1" s="1"/>
  <c r="H55" i="1"/>
  <c r="G55" i="1"/>
  <c r="F55" i="1"/>
  <c r="D55" i="1"/>
  <c r="BD54" i="1"/>
  <c r="AZ54" i="1"/>
  <c r="AS54" i="1"/>
  <c r="AO54" i="1"/>
  <c r="W54" i="1"/>
  <c r="V54" i="1"/>
  <c r="U54" i="1"/>
  <c r="S54" i="1"/>
  <c r="R54" i="1"/>
  <c r="Q54" i="1"/>
  <c r="O54" i="1"/>
  <c r="L54" i="1"/>
  <c r="K54" i="1"/>
  <c r="J54" i="1"/>
  <c r="G54" i="1"/>
  <c r="H54" i="1" s="1"/>
  <c r="F54" i="1"/>
  <c r="D54" i="1"/>
  <c r="V53" i="1"/>
  <c r="U53" i="1"/>
  <c r="R53" i="1"/>
  <c r="S53" i="1" s="1"/>
  <c r="Q53" i="1"/>
  <c r="O53" i="1"/>
  <c r="K53" i="1"/>
  <c r="J53" i="1"/>
  <c r="L53" i="1" s="1"/>
  <c r="H53" i="1"/>
  <c r="G53" i="1"/>
  <c r="F53" i="1"/>
  <c r="D53" i="1"/>
  <c r="AH52" i="1"/>
  <c r="AG52" i="1"/>
  <c r="AF52" i="1"/>
  <c r="AD52" i="1"/>
  <c r="AC52" i="1"/>
  <c r="AB52" i="1"/>
  <c r="Z52" i="1"/>
  <c r="W52" i="1"/>
  <c r="V52" i="1"/>
  <c r="U52" i="1"/>
  <c r="R52" i="1"/>
  <c r="S52" i="1" s="1"/>
  <c r="Q52" i="1"/>
  <c r="O52" i="1"/>
  <c r="K52" i="1"/>
  <c r="J52" i="1"/>
  <c r="G52" i="1"/>
  <c r="F52" i="1"/>
  <c r="H52" i="1" s="1"/>
  <c r="D52" i="1"/>
  <c r="AG51" i="1"/>
  <c r="AF51" i="1"/>
  <c r="AC51" i="1"/>
  <c r="AB51" i="1"/>
  <c r="Z51" i="1"/>
  <c r="V51" i="1"/>
  <c r="W51" i="1" s="1"/>
  <c r="U51" i="1"/>
  <c r="R51" i="1"/>
  <c r="Q51" i="1"/>
  <c r="O51" i="1"/>
  <c r="K51" i="1"/>
  <c r="J51" i="1"/>
  <c r="L51" i="1" s="1"/>
  <c r="H51" i="1"/>
  <c r="G51" i="1"/>
  <c r="F51" i="1"/>
  <c r="D51" i="1"/>
  <c r="AH50" i="1"/>
  <c r="AG50" i="1"/>
  <c r="AF50" i="1"/>
  <c r="AC50" i="1"/>
  <c r="AD50" i="1" s="1"/>
  <c r="AB50" i="1"/>
  <c r="Z50" i="1"/>
  <c r="V50" i="1"/>
  <c r="W50" i="1" s="1"/>
  <c r="U50" i="1"/>
  <c r="R50" i="1"/>
  <c r="Q50" i="1"/>
  <c r="O50" i="1"/>
  <c r="K50" i="1"/>
  <c r="J50" i="1"/>
  <c r="G50" i="1"/>
  <c r="F50" i="1"/>
  <c r="H50" i="1" s="1"/>
  <c r="D50" i="1"/>
  <c r="AG49" i="1"/>
  <c r="AF49" i="1"/>
  <c r="AD49" i="1"/>
  <c r="AC49" i="1"/>
  <c r="AB49" i="1"/>
  <c r="Z49" i="1"/>
  <c r="O49" i="1"/>
  <c r="D49" i="1"/>
  <c r="AG48" i="1"/>
  <c r="AF48" i="1"/>
  <c r="AC48" i="1"/>
  <c r="AB48" i="1"/>
  <c r="AD48" i="1" s="1"/>
  <c r="Z48" i="1"/>
  <c r="AG47" i="1"/>
  <c r="AF47" i="1"/>
  <c r="AD47" i="1"/>
  <c r="AC47" i="1"/>
  <c r="AB47" i="1"/>
  <c r="Z47" i="1"/>
  <c r="AH46" i="1"/>
  <c r="AG46" i="1"/>
  <c r="AF46" i="1"/>
  <c r="AD46" i="1"/>
  <c r="AC46" i="1"/>
  <c r="AB46" i="1"/>
  <c r="Z46" i="1"/>
  <c r="V46" i="1"/>
  <c r="U46" i="1"/>
  <c r="R46" i="1"/>
  <c r="Q46" i="1"/>
  <c r="O46" i="1"/>
  <c r="K46" i="1"/>
  <c r="J46" i="1"/>
  <c r="G46" i="1"/>
  <c r="F46" i="1"/>
  <c r="D46" i="1"/>
  <c r="AG45" i="1"/>
  <c r="AH45" i="1" s="1"/>
  <c r="AF45" i="1"/>
  <c r="AD45" i="1"/>
  <c r="AC45" i="1"/>
  <c r="AB45" i="1"/>
  <c r="Z45" i="1"/>
  <c r="W45" i="1"/>
  <c r="V45" i="1"/>
  <c r="U45" i="1"/>
  <c r="R45" i="1"/>
  <c r="S45" i="1" s="1"/>
  <c r="Q45" i="1"/>
  <c r="O45" i="1"/>
  <c r="K45" i="1"/>
  <c r="L45" i="1" s="1"/>
  <c r="J45" i="1"/>
  <c r="G45" i="1"/>
  <c r="H45" i="1" s="1"/>
  <c r="F45" i="1"/>
  <c r="D45" i="1"/>
  <c r="AG44" i="1"/>
  <c r="AF44" i="1"/>
  <c r="AC44" i="1"/>
  <c r="AB44" i="1"/>
  <c r="Z44" i="1"/>
  <c r="W44" i="1"/>
  <c r="V44" i="1"/>
  <c r="U44" i="1"/>
  <c r="R44" i="1"/>
  <c r="S44" i="1" s="1"/>
  <c r="Q44" i="1"/>
  <c r="O44" i="1"/>
  <c r="K44" i="1"/>
  <c r="L44" i="1" s="1"/>
  <c r="J44" i="1"/>
  <c r="G44" i="1"/>
  <c r="F44" i="1"/>
  <c r="H44" i="1" s="1"/>
  <c r="D44" i="1"/>
  <c r="AG43" i="1"/>
  <c r="AH43" i="1" s="1"/>
  <c r="AF43" i="1"/>
  <c r="AD43" i="1"/>
  <c r="AC43" i="1"/>
  <c r="AB43" i="1"/>
  <c r="Z43" i="1"/>
  <c r="W43" i="1"/>
  <c r="V43" i="1"/>
  <c r="U43" i="1"/>
  <c r="R43" i="1"/>
  <c r="S43" i="1" s="1"/>
  <c r="Q43" i="1"/>
  <c r="O43" i="1"/>
  <c r="L43" i="1"/>
  <c r="K43" i="1"/>
  <c r="J43" i="1"/>
  <c r="G43" i="1"/>
  <c r="H43" i="1" s="1"/>
  <c r="F43" i="1"/>
  <c r="D43" i="1"/>
  <c r="AG42" i="1"/>
  <c r="AH42" i="1" s="1"/>
  <c r="AF42" i="1"/>
  <c r="AC42" i="1"/>
  <c r="AD42" i="1" s="1"/>
  <c r="AB42" i="1"/>
  <c r="Z42" i="1"/>
  <c r="V42" i="1"/>
  <c r="U42" i="1"/>
  <c r="W42" i="1" s="1"/>
  <c r="S42" i="1"/>
  <c r="R42" i="1"/>
  <c r="Q42" i="1"/>
  <c r="O42" i="1"/>
  <c r="L42" i="1"/>
  <c r="K42" i="1"/>
  <c r="J42" i="1"/>
  <c r="G42" i="1"/>
  <c r="H42" i="1" s="1"/>
  <c r="F42" i="1"/>
  <c r="D42" i="1"/>
  <c r="AG41" i="1"/>
  <c r="AH41" i="1" s="1"/>
  <c r="AF41" i="1"/>
  <c r="AC41" i="1"/>
  <c r="AB41" i="1"/>
  <c r="Z41" i="1"/>
  <c r="V41" i="1"/>
  <c r="W41" i="1" s="1"/>
  <c r="U41" i="1"/>
  <c r="S41" i="1"/>
  <c r="R41" i="1"/>
  <c r="Q41" i="1"/>
  <c r="O41" i="1"/>
  <c r="K41" i="1"/>
  <c r="J41" i="1"/>
  <c r="H41" i="1"/>
  <c r="G41" i="1"/>
  <c r="F41" i="1"/>
  <c r="D41" i="1"/>
  <c r="AH40" i="1"/>
  <c r="AG40" i="1"/>
  <c r="AF40" i="1"/>
  <c r="AC40" i="1"/>
  <c r="AD40" i="1" s="1"/>
  <c r="AB40" i="1"/>
  <c r="Z40" i="1"/>
  <c r="V40" i="1"/>
  <c r="U40" i="1"/>
  <c r="R40" i="1"/>
  <c r="Q40" i="1"/>
  <c r="O40" i="1"/>
  <c r="K40" i="1"/>
  <c r="J40" i="1"/>
  <c r="G40" i="1"/>
  <c r="F40" i="1"/>
  <c r="D40" i="1"/>
  <c r="AG39" i="1"/>
  <c r="AF39" i="1"/>
  <c r="AC39" i="1"/>
  <c r="AD39" i="1" s="1"/>
  <c r="AB39" i="1"/>
  <c r="Z39" i="1"/>
  <c r="W39" i="1"/>
  <c r="V39" i="1"/>
  <c r="U39" i="1"/>
  <c r="R39" i="1"/>
  <c r="Q39" i="1"/>
  <c r="O39" i="1"/>
  <c r="K39" i="1"/>
  <c r="L39" i="1" s="1"/>
  <c r="J39" i="1"/>
  <c r="G39" i="1"/>
  <c r="F39" i="1"/>
  <c r="D39" i="1"/>
  <c r="AG38" i="1"/>
  <c r="AF38" i="1"/>
  <c r="AC38" i="1"/>
  <c r="AB38" i="1"/>
  <c r="Z38" i="1"/>
  <c r="V38" i="1"/>
  <c r="U38" i="1"/>
  <c r="W38" i="1" s="1"/>
  <c r="S38" i="1"/>
  <c r="R38" i="1"/>
  <c r="Q38" i="1"/>
  <c r="O38" i="1"/>
  <c r="L38" i="1"/>
  <c r="K38" i="1"/>
  <c r="J38" i="1"/>
  <c r="G38" i="1"/>
  <c r="H38" i="1" s="1"/>
  <c r="F38" i="1"/>
  <c r="D38" i="1"/>
  <c r="AH37" i="1"/>
  <c r="AG37" i="1"/>
  <c r="AF37" i="1"/>
  <c r="AC37" i="1"/>
  <c r="AB37" i="1"/>
  <c r="Z37" i="1"/>
  <c r="V37" i="1"/>
  <c r="W37" i="1" s="1"/>
  <c r="U37" i="1"/>
  <c r="S37" i="1"/>
  <c r="R37" i="1"/>
  <c r="Q37" i="1"/>
  <c r="O37" i="1"/>
  <c r="K37" i="1"/>
  <c r="J37" i="1"/>
  <c r="H37" i="1"/>
  <c r="G37" i="1"/>
  <c r="F37" i="1"/>
  <c r="D37" i="1"/>
  <c r="AH36" i="1"/>
  <c r="AG36" i="1"/>
  <c r="AF36" i="1"/>
  <c r="AC36" i="1"/>
  <c r="AD36" i="1" s="1"/>
  <c r="AB36" i="1"/>
  <c r="Z36" i="1"/>
  <c r="W36" i="1"/>
  <c r="V36" i="1"/>
  <c r="U36" i="1"/>
  <c r="R36" i="1"/>
  <c r="Q36" i="1"/>
  <c r="O36" i="1"/>
  <c r="K36" i="1"/>
  <c r="J36" i="1"/>
  <c r="G36" i="1"/>
  <c r="H36" i="1" s="1"/>
  <c r="F36" i="1"/>
  <c r="D36" i="1"/>
  <c r="AG35" i="1"/>
  <c r="AF35" i="1"/>
  <c r="AH35" i="1" s="1"/>
  <c r="AD35" i="1"/>
  <c r="AC35" i="1"/>
  <c r="AB35" i="1"/>
  <c r="Z35" i="1"/>
  <c r="V35" i="1"/>
  <c r="W35" i="1" s="1"/>
  <c r="U35" i="1"/>
  <c r="S35" i="1"/>
  <c r="R35" i="1"/>
  <c r="Q35" i="1"/>
  <c r="O35" i="1"/>
  <c r="K35" i="1"/>
  <c r="J35" i="1"/>
  <c r="G35" i="1"/>
  <c r="H35" i="1" s="1"/>
  <c r="F35" i="1"/>
  <c r="D35" i="1"/>
  <c r="AG34" i="1"/>
  <c r="AH34" i="1" s="1"/>
  <c r="AF34" i="1"/>
  <c r="AC34" i="1"/>
  <c r="AB34" i="1"/>
  <c r="AD34" i="1" s="1"/>
  <c r="Z34" i="1"/>
  <c r="V34" i="1"/>
  <c r="W34" i="1" s="1"/>
  <c r="U34" i="1"/>
  <c r="S34" i="1"/>
  <c r="R34" i="1"/>
  <c r="Q34" i="1"/>
  <c r="O34" i="1"/>
  <c r="L34" i="1"/>
  <c r="K34" i="1"/>
  <c r="J34" i="1"/>
  <c r="G34" i="1"/>
  <c r="H34" i="1" s="1"/>
  <c r="F34" i="1"/>
  <c r="D34" i="1"/>
  <c r="AG33" i="1"/>
  <c r="AH33" i="1" s="1"/>
  <c r="AF33" i="1"/>
  <c r="AC33" i="1"/>
  <c r="AD33" i="1" s="1"/>
  <c r="AB33" i="1"/>
  <c r="Z33" i="1"/>
  <c r="V33" i="1"/>
  <c r="W33" i="1" s="1"/>
  <c r="U33" i="1"/>
  <c r="R33" i="1"/>
  <c r="Q33" i="1"/>
  <c r="O33" i="1"/>
  <c r="K33" i="1"/>
  <c r="J33" i="1"/>
  <c r="L33" i="1" s="1"/>
  <c r="H33" i="1"/>
  <c r="G33" i="1"/>
  <c r="F33" i="1"/>
  <c r="D33" i="1"/>
  <c r="Z32" i="1"/>
  <c r="V32" i="1"/>
  <c r="U32" i="1"/>
  <c r="W32" i="1" s="1"/>
  <c r="S32" i="1"/>
  <c r="R32" i="1"/>
  <c r="Q32" i="1"/>
  <c r="O32" i="1"/>
  <c r="L32" i="1"/>
  <c r="K32" i="1"/>
  <c r="J32" i="1"/>
  <c r="H32" i="1"/>
  <c r="G32" i="1"/>
  <c r="F32" i="1"/>
  <c r="D32" i="1"/>
  <c r="V31" i="1"/>
  <c r="W31" i="1" s="1"/>
  <c r="U31" i="1"/>
  <c r="R31" i="1"/>
  <c r="Q31" i="1"/>
  <c r="O31" i="1"/>
  <c r="K31" i="1"/>
  <c r="J31" i="1"/>
  <c r="H31" i="1"/>
  <c r="G31" i="1"/>
  <c r="F31" i="1"/>
  <c r="D31" i="1"/>
  <c r="V30" i="1"/>
  <c r="W30" i="1" s="1"/>
  <c r="U30" i="1"/>
  <c r="R30" i="1"/>
  <c r="S30" i="1" s="1"/>
  <c r="Q30" i="1"/>
  <c r="O30" i="1"/>
  <c r="L30" i="1"/>
  <c r="K30" i="1"/>
  <c r="J30" i="1"/>
  <c r="G30" i="1"/>
  <c r="F30" i="1"/>
  <c r="H30" i="1" s="1"/>
  <c r="D30" i="1"/>
  <c r="AG29" i="1"/>
  <c r="AH29" i="1" s="1"/>
  <c r="AF29" i="1"/>
  <c r="AC29" i="1"/>
  <c r="AD29" i="1" s="1"/>
  <c r="AB29" i="1"/>
  <c r="Z29" i="1"/>
  <c r="O29" i="1"/>
  <c r="D29" i="1"/>
  <c r="AG28" i="1"/>
  <c r="AF28" i="1"/>
  <c r="AC28" i="1"/>
  <c r="AB28" i="1"/>
  <c r="Z28" i="1"/>
  <c r="AG27" i="1"/>
  <c r="AF27" i="1"/>
  <c r="AH27" i="1" s="1"/>
  <c r="AD27" i="1"/>
  <c r="AC27" i="1"/>
  <c r="AB27" i="1"/>
  <c r="Z27" i="1"/>
  <c r="AH26" i="1"/>
  <c r="AG26" i="1"/>
  <c r="AF26" i="1"/>
  <c r="AC26" i="1"/>
  <c r="AD26" i="1" s="1"/>
  <c r="AB26" i="1"/>
  <c r="Z26" i="1"/>
  <c r="V26" i="1"/>
  <c r="U26" i="1"/>
  <c r="R26" i="1"/>
  <c r="Q26" i="1"/>
  <c r="O26" i="1"/>
  <c r="K26" i="1"/>
  <c r="J26" i="1"/>
  <c r="G26" i="1"/>
  <c r="F26" i="1"/>
  <c r="D26" i="1"/>
  <c r="AG25" i="1"/>
  <c r="AF25" i="1"/>
  <c r="AH25" i="1" s="1"/>
  <c r="AD25" i="1"/>
  <c r="AC25" i="1"/>
  <c r="AB25" i="1"/>
  <c r="Z25" i="1"/>
  <c r="W25" i="1"/>
  <c r="V25" i="1"/>
  <c r="U25" i="1"/>
  <c r="S25" i="1"/>
  <c r="R25" i="1"/>
  <c r="Q25" i="1"/>
  <c r="O25" i="1"/>
  <c r="L25" i="1"/>
  <c r="K25" i="1"/>
  <c r="J25" i="1"/>
  <c r="G25" i="1"/>
  <c r="F25" i="1"/>
  <c r="D25" i="1"/>
  <c r="AG24" i="1"/>
  <c r="AH24" i="1" s="1"/>
  <c r="AF24" i="1"/>
  <c r="AD24" i="1"/>
  <c r="AC24" i="1"/>
  <c r="AB24" i="1"/>
  <c r="Z24" i="1"/>
  <c r="V24" i="1"/>
  <c r="W24" i="1" s="1"/>
  <c r="U24" i="1"/>
  <c r="S24" i="1"/>
  <c r="R24" i="1"/>
  <c r="Q24" i="1"/>
  <c r="O24" i="1"/>
  <c r="L24" i="1"/>
  <c r="K24" i="1"/>
  <c r="J24" i="1"/>
  <c r="G24" i="1"/>
  <c r="H24" i="1" s="1"/>
  <c r="F24" i="1"/>
  <c r="D24" i="1"/>
  <c r="AS23" i="1"/>
  <c r="AR23" i="1"/>
  <c r="AQ23" i="1"/>
  <c r="AN23" i="1"/>
  <c r="AO23" i="1" s="1"/>
  <c r="AM23" i="1"/>
  <c r="AK23" i="1"/>
  <c r="AG23" i="1"/>
  <c r="AF23" i="1"/>
  <c r="AC23" i="1"/>
  <c r="AD23" i="1" s="1"/>
  <c r="AB23" i="1"/>
  <c r="Z23" i="1"/>
  <c r="W23" i="1"/>
  <c r="V23" i="1"/>
  <c r="U23" i="1"/>
  <c r="S23" i="1"/>
  <c r="R23" i="1"/>
  <c r="Q23" i="1"/>
  <c r="O23" i="1"/>
  <c r="K23" i="1"/>
  <c r="L23" i="1" s="1"/>
  <c r="J23" i="1"/>
  <c r="H23" i="1"/>
  <c r="G23" i="1"/>
  <c r="F23" i="1"/>
  <c r="D23" i="1"/>
  <c r="AR22" i="1"/>
  <c r="AQ22" i="1"/>
  <c r="AN22" i="1"/>
  <c r="AM22" i="1"/>
  <c r="AK22" i="1"/>
  <c r="AH22" i="1"/>
  <c r="AG22" i="1"/>
  <c r="AF22" i="1"/>
  <c r="AC22" i="1"/>
  <c r="AB22" i="1"/>
  <c r="Z22" i="1"/>
  <c r="W22" i="1"/>
  <c r="V22" i="1"/>
  <c r="U22" i="1"/>
  <c r="R22" i="1"/>
  <c r="S22" i="1" s="1"/>
  <c r="Q22" i="1"/>
  <c r="O22" i="1"/>
  <c r="K22" i="1"/>
  <c r="J22" i="1"/>
  <c r="G22" i="1"/>
  <c r="H22" i="1" s="1"/>
  <c r="F22" i="1"/>
  <c r="D22" i="1"/>
  <c r="AR21" i="1"/>
  <c r="AQ21" i="1"/>
  <c r="AS21" i="1" s="1"/>
  <c r="AO21" i="1"/>
  <c r="AN21" i="1"/>
  <c r="AM21" i="1"/>
  <c r="AK21" i="1"/>
  <c r="AG21" i="1"/>
  <c r="AF21" i="1"/>
  <c r="AC21" i="1"/>
  <c r="AB21" i="1"/>
  <c r="Z21" i="1"/>
  <c r="V21" i="1"/>
  <c r="U21" i="1"/>
  <c r="R21" i="1"/>
  <c r="S21" i="1" s="1"/>
  <c r="Q21" i="1"/>
  <c r="O21" i="1"/>
  <c r="L21" i="1"/>
  <c r="K21" i="1"/>
  <c r="J21" i="1"/>
  <c r="H21" i="1"/>
  <c r="G21" i="1"/>
  <c r="F21" i="1"/>
  <c r="D21" i="1"/>
  <c r="AR20" i="1"/>
  <c r="AS20" i="1" s="1"/>
  <c r="AQ20" i="1"/>
  <c r="AN20" i="1"/>
  <c r="AO20" i="1" s="1"/>
  <c r="AM20" i="1"/>
  <c r="AK20" i="1"/>
  <c r="AG20" i="1"/>
  <c r="AH20" i="1" s="1"/>
  <c r="AF20" i="1"/>
  <c r="AC20" i="1"/>
  <c r="AB20" i="1"/>
  <c r="Z20" i="1"/>
  <c r="V20" i="1"/>
  <c r="U20" i="1"/>
  <c r="R20" i="1"/>
  <c r="Q20" i="1"/>
  <c r="O20" i="1"/>
  <c r="K20" i="1"/>
  <c r="J20" i="1"/>
  <c r="G20" i="1"/>
  <c r="F20" i="1"/>
  <c r="D20" i="1"/>
  <c r="AR19" i="1"/>
  <c r="AS19" i="1" s="1"/>
  <c r="AQ19" i="1"/>
  <c r="AN19" i="1"/>
  <c r="AM19" i="1"/>
  <c r="AK19" i="1"/>
  <c r="AG19" i="1"/>
  <c r="AF19" i="1"/>
  <c r="AC19" i="1"/>
  <c r="AB19" i="1"/>
  <c r="Z19" i="1"/>
  <c r="V19" i="1"/>
  <c r="U19" i="1"/>
  <c r="W19" i="1" s="1"/>
  <c r="S19" i="1"/>
  <c r="R19" i="1"/>
  <c r="Q19" i="1"/>
  <c r="O19" i="1"/>
  <c r="L19" i="1"/>
  <c r="K19" i="1"/>
  <c r="J19" i="1"/>
  <c r="G19" i="1"/>
  <c r="H19" i="1" s="1"/>
  <c r="F19" i="1"/>
  <c r="D19" i="1"/>
  <c r="AR18" i="1"/>
  <c r="AQ18" i="1"/>
  <c r="AN18" i="1"/>
  <c r="AM18" i="1"/>
  <c r="AK18" i="1"/>
  <c r="AH18" i="1"/>
  <c r="AG18" i="1"/>
  <c r="AF18" i="1"/>
  <c r="AD18" i="1"/>
  <c r="AC18" i="1"/>
  <c r="AB18" i="1"/>
  <c r="Z18" i="1"/>
  <c r="V18" i="1"/>
  <c r="W18" i="1" s="1"/>
  <c r="U18" i="1"/>
  <c r="R18" i="1"/>
  <c r="Q18" i="1"/>
  <c r="O18" i="1"/>
  <c r="K18" i="1"/>
  <c r="J18" i="1"/>
  <c r="G18" i="1"/>
  <c r="F18" i="1"/>
  <c r="D18" i="1"/>
  <c r="AS17" i="1"/>
  <c r="AR17" i="1"/>
  <c r="AQ17" i="1"/>
  <c r="AO17" i="1"/>
  <c r="AN17" i="1"/>
  <c r="AM17" i="1"/>
  <c r="AK17" i="1"/>
  <c r="AH17" i="1"/>
  <c r="AG17" i="1"/>
  <c r="AF17" i="1"/>
  <c r="AD17" i="1"/>
  <c r="AC17" i="1"/>
  <c r="AB17" i="1"/>
  <c r="Z17" i="1"/>
  <c r="V17" i="1"/>
  <c r="W17" i="1" s="1"/>
  <c r="U17" i="1"/>
  <c r="R17" i="1"/>
  <c r="S17" i="1" s="1"/>
  <c r="Q17" i="1"/>
  <c r="O17" i="1"/>
  <c r="K17" i="1"/>
  <c r="J17" i="1"/>
  <c r="H17" i="1"/>
  <c r="G17" i="1"/>
  <c r="F17" i="1"/>
  <c r="D17" i="1"/>
  <c r="BC16" i="1"/>
  <c r="BB16" i="1"/>
  <c r="AY16" i="1"/>
  <c r="AX16" i="1"/>
  <c r="AV16" i="1"/>
  <c r="AR16" i="1"/>
  <c r="AS16" i="1" s="1"/>
  <c r="AQ16" i="1"/>
  <c r="AN16" i="1"/>
  <c r="AO16" i="1" s="1"/>
  <c r="AM16" i="1"/>
  <c r="AK16" i="1"/>
  <c r="AG16" i="1"/>
  <c r="AF16" i="1"/>
  <c r="AH16" i="1" s="1"/>
  <c r="AD16" i="1"/>
  <c r="AC16" i="1"/>
  <c r="AB16" i="1"/>
  <c r="Z16" i="1"/>
  <c r="V16" i="1"/>
  <c r="W16" i="1" s="1"/>
  <c r="U16" i="1"/>
  <c r="R16" i="1"/>
  <c r="S16" i="1" s="1"/>
  <c r="Q16" i="1"/>
  <c r="O16" i="1"/>
  <c r="K16" i="1"/>
  <c r="J16" i="1"/>
  <c r="L16" i="1" s="1"/>
  <c r="G16" i="1"/>
  <c r="H16" i="1" s="1"/>
  <c r="F16" i="1"/>
  <c r="D16" i="1"/>
  <c r="BC15" i="1"/>
  <c r="BB15" i="1"/>
  <c r="AY15" i="1"/>
  <c r="AX15" i="1"/>
  <c r="AZ15" i="1" s="1"/>
  <c r="AV15" i="1"/>
  <c r="AR15" i="1"/>
  <c r="AS15" i="1" s="1"/>
  <c r="AQ15" i="1"/>
  <c r="AN15" i="1"/>
  <c r="AO15" i="1" s="1"/>
  <c r="AM15" i="1"/>
  <c r="AK15" i="1"/>
  <c r="AH15" i="1"/>
  <c r="AG15" i="1"/>
  <c r="AF15" i="1"/>
  <c r="AD15" i="1"/>
  <c r="AC15" i="1"/>
  <c r="AB15" i="1"/>
  <c r="Z15" i="1"/>
  <c r="V15" i="1"/>
  <c r="W15" i="1" s="1"/>
  <c r="U15" i="1"/>
  <c r="R15" i="1"/>
  <c r="Q15" i="1"/>
  <c r="O15" i="1"/>
  <c r="K15" i="1"/>
  <c r="L15" i="1" s="1"/>
  <c r="J15" i="1"/>
  <c r="G15" i="1"/>
  <c r="F15" i="1"/>
  <c r="D15" i="1"/>
  <c r="BC14" i="1"/>
  <c r="BB14" i="1"/>
  <c r="AY14" i="1"/>
  <c r="AX14" i="1"/>
  <c r="AV14" i="1"/>
  <c r="AR14" i="1"/>
  <c r="AQ14" i="1"/>
  <c r="AO14" i="1"/>
  <c r="AN14" i="1"/>
  <c r="AM14" i="1"/>
  <c r="AK14" i="1"/>
  <c r="AG14" i="1"/>
  <c r="AH14" i="1" s="1"/>
  <c r="AF14" i="1"/>
  <c r="AC14" i="1"/>
  <c r="AD14" i="1" s="1"/>
  <c r="AB14" i="1"/>
  <c r="Z14" i="1"/>
  <c r="W14" i="1"/>
  <c r="V14" i="1"/>
  <c r="U14" i="1"/>
  <c r="R14" i="1"/>
  <c r="Q14" i="1"/>
  <c r="S14" i="1" s="1"/>
  <c r="O14" i="1"/>
  <c r="K14" i="1"/>
  <c r="L14" i="1" s="1"/>
  <c r="J14" i="1"/>
  <c r="G14" i="1"/>
  <c r="H14" i="1" s="1"/>
  <c r="F14" i="1"/>
  <c r="D14" i="1"/>
  <c r="BC13" i="1"/>
  <c r="BB13" i="1"/>
  <c r="AY13" i="1"/>
  <c r="AX13" i="1"/>
  <c r="AV13" i="1"/>
  <c r="AS13" i="1"/>
  <c r="AR13" i="1"/>
  <c r="AQ13" i="1"/>
  <c r="AO13" i="1"/>
  <c r="AN13" i="1"/>
  <c r="AM13" i="1"/>
  <c r="AK13" i="1"/>
  <c r="AG13" i="1"/>
  <c r="AH13" i="1" s="1"/>
  <c r="AF13" i="1"/>
  <c r="AC13" i="1"/>
  <c r="AD13" i="1" s="1"/>
  <c r="AB13" i="1"/>
  <c r="Z13" i="1"/>
  <c r="V13" i="1"/>
  <c r="U13" i="1"/>
  <c r="W13" i="1" s="1"/>
  <c r="R13" i="1"/>
  <c r="S13" i="1" s="1"/>
  <c r="Q13" i="1"/>
  <c r="O13" i="1"/>
  <c r="K13" i="1"/>
  <c r="J13" i="1"/>
  <c r="G13" i="1"/>
  <c r="F13" i="1"/>
  <c r="H13" i="1" s="1"/>
  <c r="D13" i="1"/>
  <c r="BC12" i="1"/>
  <c r="BB12" i="1"/>
  <c r="BD12" i="1" s="1"/>
  <c r="AY12" i="1"/>
  <c r="AZ12" i="1" s="1"/>
  <c r="AX12" i="1"/>
  <c r="AV12" i="1"/>
  <c r="AS12" i="1"/>
  <c r="AR12" i="1"/>
  <c r="AQ12" i="1"/>
  <c r="AO12" i="1"/>
  <c r="AN12" i="1"/>
  <c r="AM12" i="1"/>
  <c r="AK12" i="1"/>
  <c r="AG12" i="1"/>
  <c r="AH12" i="1" s="1"/>
  <c r="AF12" i="1"/>
  <c r="AC12" i="1"/>
  <c r="AB12" i="1"/>
  <c r="Z12" i="1"/>
  <c r="V12" i="1"/>
  <c r="U12" i="1"/>
  <c r="R12" i="1"/>
  <c r="Q12" i="1"/>
  <c r="S12" i="1" s="1"/>
  <c r="O12" i="1"/>
  <c r="K12" i="1"/>
  <c r="J12" i="1"/>
  <c r="L12" i="1" s="1"/>
  <c r="H12" i="1"/>
  <c r="G12" i="1"/>
  <c r="F12" i="1"/>
  <c r="D12" i="1"/>
  <c r="BD11" i="1"/>
  <c r="BC11" i="1"/>
  <c r="BB11" i="1"/>
  <c r="AY11" i="1"/>
  <c r="AZ11" i="1" s="1"/>
  <c r="AX11" i="1"/>
  <c r="AV11" i="1"/>
  <c r="AS11" i="1"/>
  <c r="AR11" i="1"/>
  <c r="AQ11" i="1"/>
  <c r="AN11" i="1"/>
  <c r="AM11" i="1"/>
  <c r="AK11" i="1"/>
  <c r="AG11" i="1"/>
  <c r="AH11" i="1" s="1"/>
  <c r="AF11" i="1"/>
  <c r="AD11" i="1"/>
  <c r="AC11" i="1"/>
  <c r="AB11" i="1"/>
  <c r="Z11" i="1"/>
  <c r="V11" i="1"/>
  <c r="U11" i="1"/>
  <c r="W11" i="1" s="1"/>
  <c r="S11" i="1"/>
  <c r="R11" i="1"/>
  <c r="Q11" i="1"/>
  <c r="O11" i="1"/>
  <c r="L11" i="1"/>
  <c r="K11" i="1"/>
  <c r="J11" i="1"/>
  <c r="H11" i="1"/>
  <c r="G11" i="1"/>
  <c r="F11" i="1"/>
  <c r="D11" i="1"/>
  <c r="BD10" i="1"/>
  <c r="BC10" i="1"/>
  <c r="BB10" i="1"/>
  <c r="AY10" i="1"/>
  <c r="AX10" i="1"/>
  <c r="AV10" i="1"/>
  <c r="AR10" i="1"/>
  <c r="AQ10" i="1"/>
  <c r="AN10" i="1"/>
  <c r="AM10" i="1"/>
  <c r="AO10" i="1" s="1"/>
  <c r="AK10" i="1"/>
  <c r="AH10" i="1"/>
  <c r="AG10" i="1"/>
  <c r="AF10" i="1"/>
  <c r="AD10" i="1"/>
  <c r="AC10" i="1"/>
  <c r="AB10" i="1"/>
  <c r="Z10" i="1"/>
  <c r="V10" i="1"/>
  <c r="W10" i="1" s="1"/>
  <c r="U10" i="1"/>
  <c r="S10" i="1"/>
  <c r="R10" i="1"/>
  <c r="Q10" i="1"/>
  <c r="O10" i="1"/>
  <c r="K10" i="1"/>
  <c r="L10" i="1" s="1"/>
  <c r="J10" i="1"/>
  <c r="G10" i="1"/>
  <c r="F10" i="1"/>
  <c r="D10" i="1"/>
  <c r="AV9" i="1"/>
  <c r="AK9" i="1"/>
  <c r="Z9" i="1"/>
  <c r="O9" i="1"/>
  <c r="D9" i="1"/>
  <c r="AV8" i="1"/>
  <c r="AK8" i="1"/>
  <c r="Z8" i="1"/>
  <c r="O8" i="1"/>
  <c r="D8" i="1"/>
  <c r="AX6" i="1"/>
  <c r="AX114" i="1" s="1"/>
  <c r="AQ6" i="1"/>
  <c r="AQ114" i="1" s="1"/>
  <c r="AQ132" i="1" s="1"/>
  <c r="AM6" i="1"/>
  <c r="AM114" i="1" s="1"/>
  <c r="AM132" i="1" s="1"/>
  <c r="AF6" i="1"/>
  <c r="AF114" i="1" s="1"/>
  <c r="Q6" i="1"/>
  <c r="J6" i="1"/>
  <c r="F6" i="1"/>
  <c r="AV3" i="1"/>
  <c r="AK3" i="1"/>
  <c r="Z3" i="1"/>
  <c r="O3" i="1"/>
  <c r="D3" i="1"/>
  <c r="AZ13" i="1" l="1"/>
  <c r="S61" i="1"/>
  <c r="H10" i="1"/>
  <c r="AZ10" i="1"/>
  <c r="W21" i="1"/>
  <c r="L22" i="1"/>
  <c r="AS99" i="1"/>
  <c r="AO11" i="1"/>
  <c r="S15" i="1"/>
  <c r="AD22" i="1"/>
  <c r="L35" i="1"/>
  <c r="AH19" i="1"/>
  <c r="AZ99" i="1"/>
  <c r="AH38" i="1"/>
  <c r="L50" i="1"/>
  <c r="BD13" i="1"/>
  <c r="AH73" i="1"/>
  <c r="AH77" i="1"/>
  <c r="AC99" i="1"/>
  <c r="AD99" i="1" s="1"/>
  <c r="AD102" i="1"/>
  <c r="AR102" i="1"/>
  <c r="AS102" i="1" s="1"/>
  <c r="AS103" i="1"/>
  <c r="S123" i="1"/>
  <c r="S39" i="1"/>
  <c r="AH75" i="1"/>
  <c r="S103" i="1"/>
  <c r="L160" i="1"/>
  <c r="H18" i="1"/>
  <c r="J91" i="1"/>
  <c r="J114" i="1" s="1"/>
  <c r="J132" i="1" s="1"/>
  <c r="J152" i="1" s="1"/>
  <c r="J166" i="1" s="1"/>
  <c r="U6" i="1"/>
  <c r="U114" i="1" s="1"/>
  <c r="BB6" i="1"/>
  <c r="BB114" i="1" s="1"/>
  <c r="W12" i="1"/>
  <c r="L13" i="1"/>
  <c r="L17" i="1"/>
  <c r="S36" i="1"/>
  <c r="L37" i="1"/>
  <c r="AH67" i="1"/>
  <c r="H68" i="1"/>
  <c r="H70" i="1"/>
  <c r="R99" i="1"/>
  <c r="S99" i="1" s="1"/>
  <c r="S101" i="1"/>
  <c r="L156" i="1"/>
  <c r="AD56" i="1"/>
  <c r="H58" i="1"/>
  <c r="AO59" i="1"/>
  <c r="AS10" i="1"/>
  <c r="BD15" i="1"/>
  <c r="S18" i="1"/>
  <c r="AD19" i="1"/>
  <c r="AH23" i="1"/>
  <c r="S31" i="1"/>
  <c r="L36" i="1"/>
  <c r="AD38" i="1"/>
  <c r="AH47" i="1"/>
  <c r="S51" i="1"/>
  <c r="W55" i="1"/>
  <c r="AO56" i="1"/>
  <c r="L57" i="1"/>
  <c r="AD57" i="1"/>
  <c r="S58" i="1"/>
  <c r="AS58" i="1"/>
  <c r="H59" i="1"/>
  <c r="AZ59" i="1"/>
  <c r="W60" i="1"/>
  <c r="AO60" i="1"/>
  <c r="AD61" i="1"/>
  <c r="W64" i="1"/>
  <c r="AO64" i="1"/>
  <c r="AD66" i="1"/>
  <c r="AO103" i="1"/>
  <c r="AZ124" i="1"/>
  <c r="BD129" i="1"/>
  <c r="H25" i="1"/>
  <c r="S33" i="1"/>
  <c r="W53" i="1"/>
  <c r="AO62" i="1"/>
  <c r="L63" i="1"/>
  <c r="AD63" i="1"/>
  <c r="L68" i="1"/>
  <c r="L69" i="1"/>
  <c r="L70" i="1"/>
  <c r="H103" i="1"/>
  <c r="AZ102" i="1"/>
  <c r="AO120" i="1"/>
  <c r="AH125" i="1"/>
  <c r="S129" i="1"/>
  <c r="L172" i="1"/>
  <c r="AD12" i="1"/>
  <c r="AS14" i="1"/>
  <c r="H15" i="1"/>
  <c r="L18" i="1"/>
  <c r="AO19" i="1"/>
  <c r="AD20" i="1"/>
  <c r="L31" i="1"/>
  <c r="H39" i="1"/>
  <c r="AH39" i="1"/>
  <c r="AD41" i="1"/>
  <c r="AH48" i="1"/>
  <c r="AH49" i="1"/>
  <c r="S50" i="1"/>
  <c r="AH56" i="1"/>
  <c r="W57" i="1"/>
  <c r="L58" i="1"/>
  <c r="BD58" i="1"/>
  <c r="AS59" i="1"/>
  <c r="AH60" i="1"/>
  <c r="W61" i="1"/>
  <c r="AH64" i="1"/>
  <c r="AO65" i="1"/>
  <c r="AO66" i="1"/>
  <c r="W67" i="1"/>
  <c r="H102" i="1"/>
  <c r="AZ103" i="1"/>
  <c r="AS124" i="1"/>
  <c r="H161" i="1"/>
  <c r="AD37" i="1"/>
  <c r="L41" i="1"/>
  <c r="L52" i="1"/>
  <c r="AB6" i="1"/>
  <c r="AB114" i="1" s="1"/>
  <c r="F91" i="1"/>
  <c r="F114" i="1" s="1"/>
  <c r="F132" i="1" s="1"/>
  <c r="F152" i="1" s="1"/>
  <c r="F166" i="1" s="1"/>
</calcChain>
</file>

<file path=xl/sharedStrings.xml><?xml version="1.0" encoding="utf-8"?>
<sst xmlns="http://schemas.openxmlformats.org/spreadsheetml/2006/main" count="47" uniqueCount="7">
  <si>
    <t>idioma</t>
  </si>
  <si>
    <t>English</t>
  </si>
  <si>
    <t>ESP</t>
  </si>
  <si>
    <t>Español</t>
  </si>
  <si>
    <t>ENG</t>
  </si>
  <si>
    <t>Var.%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</si>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</sst>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5" fontId="7" fillId="4" borderId="5" xfId="0" applyNumberFormat="1" applyFont="1" applyFill="1" applyBorder="1" applyAlignment="1">
      <alignment horizontal="right" indent="1"/>
    </xf>
    <xf numFmtId="165" fontId="7" fillId="2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6" xfId="0" applyFont="1" applyFill="1" applyBorder="1"/>
    <xf numFmtId="0" fontId="7" fillId="2" borderId="7" xfId="0" applyFont="1" applyFill="1" applyBorder="1"/>
    <xf numFmtId="165" fontId="9" fillId="4" borderId="4" xfId="0" applyNumberFormat="1" applyFont="1" applyFill="1" applyBorder="1" applyAlignment="1">
      <alignment horizontal="right" indent="1"/>
    </xf>
    <xf numFmtId="165" fontId="7" fillId="2" borderId="6" xfId="0" applyNumberFormat="1" applyFont="1" applyFill="1" applyBorder="1" applyAlignment="1">
      <alignment horizontal="right" indent="1"/>
    </xf>
    <xf numFmtId="166" fontId="7" fillId="2" borderId="6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4" fillId="2" borderId="0" xfId="0" applyFont="1" applyFill="1" applyAlignment="1">
      <alignment horizontal="right" indent="1"/>
    </xf>
    <xf numFmtId="0" fontId="6" fillId="2" borderId="0" xfId="0" applyFont="1" applyFill="1"/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7" fillId="2" borderId="3" xfId="0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4"/>
    </xf>
    <xf numFmtId="165" fontId="7" fillId="4" borderId="4" xfId="0" applyNumberFormat="1" applyFont="1" applyFill="1" applyBorder="1" applyAlignment="1">
      <alignment horizontal="right" indent="1"/>
    </xf>
    <xf numFmtId="0" fontId="2" fillId="2" borderId="4" xfId="0" applyFont="1" applyFill="1" applyBorder="1"/>
    <xf numFmtId="0" fontId="2" fillId="5" borderId="0" xfId="0" applyFont="1" applyFill="1"/>
    <xf numFmtId="0" fontId="10" fillId="2" borderId="0" xfId="0" applyFont="1" applyFill="1"/>
    <xf numFmtId="0" fontId="11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%20Info%20DEF/TABLAS%20NOTA%20IR%20DEF25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MEDIA CAPITAL"/>
      <sheetName val="TRANSFORMACIÓN"/>
      <sheetName val="Conciliación"/>
      <sheetName val="EBITDA Ajus a EBITDA Actual"/>
      <sheetName val="To Publish"/>
      <sheetName val="Hoja1"/>
    </sheetNames>
    <sheetDataSet>
      <sheetData sheetId="0">
        <row r="10">
          <cell r="K10">
            <v>571.93923066943307</v>
          </cell>
          <cell r="L10">
            <v>629.08382391468604</v>
          </cell>
          <cell r="O10">
            <v>259.62101166994006</v>
          </cell>
          <cell r="P10">
            <v>308.08369879881002</v>
          </cell>
        </row>
        <row r="11">
          <cell r="K11">
            <v>234.0400005700003</v>
          </cell>
          <cell r="L11">
            <v>229.43266784999997</v>
          </cell>
          <cell r="O11">
            <v>146.37743343000028</v>
          </cell>
          <cell r="P11">
            <v>141.29014652999976</v>
          </cell>
        </row>
        <row r="12">
          <cell r="K12">
            <v>337.89923009943277</v>
          </cell>
          <cell r="L12">
            <v>399.65115606468606</v>
          </cell>
          <cell r="O12">
            <v>113.24357823993978</v>
          </cell>
          <cell r="P12">
            <v>166.79355226881026</v>
          </cell>
        </row>
        <row r="13">
          <cell r="K13">
            <v>251.42642112943275</v>
          </cell>
          <cell r="L13">
            <v>313.1513859146861</v>
          </cell>
          <cell r="O13">
            <v>66.277783359939775</v>
          </cell>
          <cell r="P13">
            <v>118.75017309881031</v>
          </cell>
        </row>
        <row r="14">
          <cell r="K14">
            <v>86.472808970000003</v>
          </cell>
          <cell r="L14">
            <v>86.499770150000003</v>
          </cell>
          <cell r="O14">
            <v>46.965794879999997</v>
          </cell>
          <cell r="P14">
            <v>48.043379170000001</v>
          </cell>
        </row>
        <row r="15">
          <cell r="K15">
            <v>100.3186678614435</v>
          </cell>
          <cell r="L15">
            <v>128.31755554874303</v>
          </cell>
          <cell r="O15">
            <v>30.308793222486813</v>
          </cell>
          <cell r="P15">
            <v>56.728480135296067</v>
          </cell>
        </row>
        <row r="16">
          <cell r="K16">
            <v>23.823698119999875</v>
          </cell>
          <cell r="L16">
            <v>6.5260659442303961</v>
          </cell>
          <cell r="O16">
            <v>36.139023949999924</v>
          </cell>
          <cell r="P16">
            <v>24.662005707115242</v>
          </cell>
        </row>
        <row r="17">
          <cell r="K17">
            <v>76.494969741443626</v>
          </cell>
          <cell r="L17">
            <v>121.79148960451263</v>
          </cell>
          <cell r="O17">
            <v>-5.8302307275131113</v>
          </cell>
          <cell r="P17">
            <v>32.066474428180825</v>
          </cell>
        </row>
        <row r="18">
          <cell r="K18">
            <v>62.456724118559023</v>
          </cell>
          <cell r="L18">
            <v>103.22173888036154</v>
          </cell>
          <cell r="O18">
            <v>-18.911686902576406</v>
          </cell>
          <cell r="P18">
            <v>18.207262226748455</v>
          </cell>
        </row>
        <row r="19">
          <cell r="K19">
            <v>14.038245622884601</v>
          </cell>
          <cell r="L19">
            <v>18.569750724151099</v>
          </cell>
          <cell r="O19">
            <v>13.081456175063281</v>
          </cell>
          <cell r="P19">
            <v>13.85921220143238</v>
          </cell>
        </row>
        <row r="20">
          <cell r="K20">
            <v>0.17540092108041674</v>
          </cell>
          <cell r="L20">
            <v>0.20397529020893243</v>
          </cell>
          <cell r="O20">
            <v>0.11674245095777848</v>
          </cell>
          <cell r="P20">
            <v>0.18413333894806894</v>
          </cell>
        </row>
        <row r="21">
          <cell r="K21">
            <v>53.929919599763473</v>
          </cell>
          <cell r="L21">
            <v>84.203908791340822</v>
          </cell>
          <cell r="O21">
            <v>7.95766536114742</v>
          </cell>
          <cell r="P21">
            <v>36.954076111084056</v>
          </cell>
        </row>
        <row r="22">
          <cell r="K22">
            <v>8.4553444999997964</v>
          </cell>
          <cell r="L22">
            <v>-8.9004434840353213</v>
          </cell>
          <cell r="O22">
            <v>28.486910410000071</v>
          </cell>
          <cell r="P22">
            <v>16.872625102982717</v>
          </cell>
        </row>
        <row r="23">
          <cell r="K23">
            <v>45.474575099763676</v>
          </cell>
          <cell r="L23">
            <v>93.104352275376144</v>
          </cell>
          <cell r="O23">
            <v>-20.529245048852651</v>
          </cell>
          <cell r="P23">
            <v>20.08145100810134</v>
          </cell>
        </row>
        <row r="24">
          <cell r="K24">
            <v>35.642546876879081</v>
          </cell>
          <cell r="L24">
            <v>78.74814320388856</v>
          </cell>
          <cell r="O24">
            <v>-31.564472253915923</v>
          </cell>
          <cell r="P24">
            <v>8.3170967930007293</v>
          </cell>
        </row>
        <row r="25">
          <cell r="K25">
            <v>9.832028222884599</v>
          </cell>
          <cell r="L25">
            <v>14.356209071487598</v>
          </cell>
          <cell r="O25">
            <v>11.035227205063268</v>
          </cell>
          <cell r="P25">
            <v>11.76435421510063</v>
          </cell>
        </row>
        <row r="26">
          <cell r="K26">
            <v>9.4293093929997698E-2</v>
          </cell>
          <cell r="L26">
            <v>0.13385165154518461</v>
          </cell>
          <cell r="O26">
            <v>3.0651083708371475E-2</v>
          </cell>
          <cell r="P26">
            <v>0.11994817075737729</v>
          </cell>
        </row>
        <row r="30">
          <cell r="K30">
            <v>578.62365120000777</v>
          </cell>
          <cell r="L30">
            <v>629.08382391468604</v>
          </cell>
          <cell r="O30">
            <v>258.95300155048966</v>
          </cell>
          <cell r="P30">
            <v>308.08369879881002</v>
          </cell>
        </row>
        <row r="31">
          <cell r="K31">
            <v>234.04000057000025</v>
          </cell>
          <cell r="L31">
            <v>229.43266784999997</v>
          </cell>
          <cell r="O31">
            <v>146.37743343000025</v>
          </cell>
          <cell r="P31">
            <v>141.29014652999976</v>
          </cell>
        </row>
        <row r="32">
          <cell r="K32">
            <v>344.58365063000753</v>
          </cell>
          <cell r="L32">
            <v>399.65115606468606</v>
          </cell>
          <cell r="O32">
            <v>112.57556812048941</v>
          </cell>
          <cell r="P32">
            <v>166.79355226881026</v>
          </cell>
        </row>
        <row r="33">
          <cell r="K33">
            <v>258.11084166000751</v>
          </cell>
          <cell r="L33">
            <v>313.1513859146861</v>
          </cell>
          <cell r="O33">
            <v>65.609773240489403</v>
          </cell>
          <cell r="P33">
            <v>118.75017309881031</v>
          </cell>
        </row>
        <row r="34">
          <cell r="K34">
            <v>86.472808970000003</v>
          </cell>
          <cell r="L34">
            <v>86.499770150000003</v>
          </cell>
          <cell r="O34">
            <v>46.965794879999997</v>
          </cell>
          <cell r="P34">
            <v>48.043379170000001</v>
          </cell>
        </row>
        <row r="35">
          <cell r="K35">
            <v>101.7036792807959</v>
          </cell>
          <cell r="L35">
            <v>128.31755554874303</v>
          </cell>
          <cell r="O35">
            <v>28.245173558168148</v>
          </cell>
          <cell r="P35">
            <v>56.728480135296067</v>
          </cell>
        </row>
        <row r="36">
          <cell r="K36">
            <v>23.823698119999875</v>
          </cell>
          <cell r="L36">
            <v>6.5260659442303961</v>
          </cell>
          <cell r="O36">
            <v>36.13902394999991</v>
          </cell>
          <cell r="P36">
            <v>24.662005707115242</v>
          </cell>
        </row>
        <row r="37">
          <cell r="K37">
            <v>77.879981160796021</v>
          </cell>
          <cell r="L37">
            <v>121.79148960451263</v>
          </cell>
          <cell r="O37">
            <v>-7.8938503918317622</v>
          </cell>
          <cell r="P37">
            <v>32.066474428180825</v>
          </cell>
        </row>
        <row r="38">
          <cell r="K38">
            <v>63.841735537911426</v>
          </cell>
          <cell r="L38">
            <v>103.22173888036154</v>
          </cell>
          <cell r="O38">
            <v>-20.97530656689505</v>
          </cell>
          <cell r="P38">
            <v>18.207262226748455</v>
          </cell>
        </row>
        <row r="39">
          <cell r="K39">
            <v>14.038245622884601</v>
          </cell>
          <cell r="L39">
            <v>18.569750724151099</v>
          </cell>
          <cell r="O39">
            <v>13.081456175063281</v>
          </cell>
          <cell r="P39">
            <v>13.85921220143238</v>
          </cell>
        </row>
        <row r="40">
          <cell r="K40">
            <v>0.17576827194994984</v>
          </cell>
          <cell r="L40">
            <v>0.20397529020893243</v>
          </cell>
          <cell r="O40">
            <v>0.10907451695500434</v>
          </cell>
          <cell r="P40">
            <v>0.18413333894806894</v>
          </cell>
        </row>
        <row r="41">
          <cell r="K41">
            <v>54.56554749147719</v>
          </cell>
          <cell r="L41">
            <v>84.203908791340822</v>
          </cell>
          <cell r="O41">
            <v>5.7379443985806589</v>
          </cell>
          <cell r="P41">
            <v>36.954076111084056</v>
          </cell>
        </row>
        <row r="42">
          <cell r="K42">
            <v>8.4553444999997964</v>
          </cell>
          <cell r="L42">
            <v>-8.9004434840353213</v>
          </cell>
          <cell r="O42">
            <v>28.486910410000085</v>
          </cell>
          <cell r="P42">
            <v>16.872625102982717</v>
          </cell>
        </row>
        <row r="43">
          <cell r="K43">
            <v>46.110202991477394</v>
          </cell>
          <cell r="L43">
            <v>93.104352275376144</v>
          </cell>
          <cell r="O43">
            <v>-22.748966011419427</v>
          </cell>
          <cell r="P43">
            <v>20.08145100810134</v>
          </cell>
        </row>
        <row r="44">
          <cell r="K44">
            <v>36.278174768592798</v>
          </cell>
          <cell r="L44">
            <v>78.74814320388856</v>
          </cell>
          <cell r="O44">
            <v>-33.784193216482684</v>
          </cell>
          <cell r="P44">
            <v>8.3170967930007293</v>
          </cell>
        </row>
        <row r="45">
          <cell r="K45">
            <v>9.832028222884599</v>
          </cell>
          <cell r="L45">
            <v>14.356209071487598</v>
          </cell>
          <cell r="O45">
            <v>11.035227205063268</v>
          </cell>
          <cell r="P45">
            <v>11.76435421510063</v>
          </cell>
        </row>
        <row r="46">
          <cell r="K46">
            <v>9.430231097244933E-2</v>
          </cell>
          <cell r="L46">
            <v>0.13385165154518461</v>
          </cell>
          <cell r="O46">
            <v>2.2158246339005639E-2</v>
          </cell>
          <cell r="P46">
            <v>0.11994817075737729</v>
          </cell>
        </row>
        <row r="51">
          <cell r="K51">
            <v>571.93923066943307</v>
          </cell>
          <cell r="L51">
            <v>629.08382391468604</v>
          </cell>
          <cell r="O51">
            <v>259.62101166994006</v>
          </cell>
          <cell r="P51">
            <v>308.08369879881002</v>
          </cell>
        </row>
        <row r="52">
          <cell r="K52">
            <v>234.0400005700003</v>
          </cell>
          <cell r="L52">
            <v>229.43266784999997</v>
          </cell>
          <cell r="O52">
            <v>146.37743343000028</v>
          </cell>
          <cell r="P52">
            <v>141.29014652999976</v>
          </cell>
        </row>
        <row r="53">
          <cell r="K53">
            <v>337.89923009943277</v>
          </cell>
          <cell r="L53">
            <v>399.65115606468606</v>
          </cell>
          <cell r="O53">
            <v>113.24357823993978</v>
          </cell>
          <cell r="P53">
            <v>166.79355226881026</v>
          </cell>
        </row>
        <row r="54">
          <cell r="K54">
            <v>251.42642112943275</v>
          </cell>
          <cell r="L54">
            <v>313.1513859146861</v>
          </cell>
          <cell r="O54">
            <v>66.277783359939775</v>
          </cell>
          <cell r="P54">
            <v>118.75017309881031</v>
          </cell>
        </row>
        <row r="55">
          <cell r="K55">
            <v>86.472808970000003</v>
          </cell>
          <cell r="L55">
            <v>86.499770150000003</v>
          </cell>
          <cell r="O55">
            <v>46.965794879999997</v>
          </cell>
          <cell r="P55">
            <v>48.043379170000001</v>
          </cell>
        </row>
        <row r="56">
          <cell r="K56">
            <v>522.65638830798957</v>
          </cell>
          <cell r="L56">
            <v>518.49812900938502</v>
          </cell>
          <cell r="O56">
            <v>229.31221844745323</v>
          </cell>
          <cell r="P56">
            <v>260.22492151487734</v>
          </cell>
        </row>
        <row r="57">
          <cell r="K57">
            <v>261.25212795000044</v>
          </cell>
          <cell r="L57">
            <v>232.7241014600001</v>
          </cell>
          <cell r="O57">
            <v>110.23840948000037</v>
          </cell>
          <cell r="P57">
            <v>121.50924797999978</v>
          </cell>
        </row>
        <row r="58">
          <cell r="K58">
            <v>261.40426035798913</v>
          </cell>
          <cell r="L58">
            <v>285.77402754938493</v>
          </cell>
          <cell r="O58">
            <v>119.07380896745286</v>
          </cell>
          <cell r="P58">
            <v>138.71567353487751</v>
          </cell>
        </row>
        <row r="59">
          <cell r="K59">
            <v>188.96969701087374</v>
          </cell>
          <cell r="L59">
            <v>216.65750388103606</v>
          </cell>
          <cell r="O59">
            <v>85.189470262516195</v>
          </cell>
          <cell r="P59">
            <v>103.93825444505995</v>
          </cell>
        </row>
        <row r="60">
          <cell r="K60">
            <v>72.4345633471154</v>
          </cell>
          <cell r="L60">
            <v>69.116523668348904</v>
          </cell>
          <cell r="O60">
            <v>33.884338704936717</v>
          </cell>
          <cell r="P60">
            <v>34.77741908981762</v>
          </cell>
        </row>
        <row r="61">
          <cell r="K61">
            <v>49.2828423614435</v>
          </cell>
          <cell r="L61">
            <v>110.585694905301</v>
          </cell>
          <cell r="O61">
            <v>30.308793222486798</v>
          </cell>
          <cell r="P61">
            <v>47.858777283932696</v>
          </cell>
        </row>
        <row r="62">
          <cell r="K62">
            <v>-27.212127380000126</v>
          </cell>
          <cell r="L62">
            <v>-3.2914336100001265</v>
          </cell>
          <cell r="O62">
            <v>36.13902394999991</v>
          </cell>
          <cell r="P62">
            <v>19.780898549999975</v>
          </cell>
        </row>
        <row r="63">
          <cell r="K63">
            <v>76.494969741443626</v>
          </cell>
          <cell r="L63">
            <v>113.87712851530112</v>
          </cell>
          <cell r="O63">
            <v>-5.8302307275131113</v>
          </cell>
          <cell r="P63">
            <v>28.077878733932721</v>
          </cell>
        </row>
        <row r="64">
          <cell r="K64">
            <v>62.456724118559023</v>
          </cell>
          <cell r="L64">
            <v>96.493882033650038</v>
          </cell>
          <cell r="O64">
            <v>-18.911686902576406</v>
          </cell>
          <cell r="P64">
            <v>14.811918653750354</v>
          </cell>
        </row>
        <row r="65">
          <cell r="K65">
            <v>14.038245622884601</v>
          </cell>
          <cell r="L65">
            <v>17.383246481651099</v>
          </cell>
          <cell r="O65">
            <v>13.081456175063281</v>
          </cell>
          <cell r="P65">
            <v>13.265960080182378</v>
          </cell>
        </row>
        <row r="66">
          <cell r="K66">
            <v>9.4293006770639981E-2</v>
          </cell>
          <cell r="L66">
            <v>0.21328079836388253</v>
          </cell>
          <cell r="O66">
            <v>0.11674245095777842</v>
          </cell>
          <cell r="P66">
            <v>0.15534342605769036</v>
          </cell>
        </row>
        <row r="67">
          <cell r="K67">
            <v>2.8940940997634756</v>
          </cell>
          <cell r="L67">
            <v>80.507991685650424</v>
          </cell>
          <cell r="O67">
            <v>7.957665361147428</v>
          </cell>
          <cell r="P67">
            <v>35.102339752278723</v>
          </cell>
        </row>
        <row r="68">
          <cell r="K68">
            <v>-42.580481000000198</v>
          </cell>
          <cell r="L68">
            <v>-10.984602649999815</v>
          </cell>
          <cell r="O68">
            <v>28.486910410000085</v>
          </cell>
          <cell r="P68">
            <v>15.858183140000477</v>
          </cell>
        </row>
        <row r="69">
          <cell r="K69">
            <v>45.474575099763676</v>
          </cell>
          <cell r="L69">
            <v>91.492594335650239</v>
          </cell>
          <cell r="O69">
            <v>-20.529245048852651</v>
          </cell>
          <cell r="P69">
            <v>19.244156612278246</v>
          </cell>
        </row>
        <row r="70">
          <cell r="K70">
            <v>35.642546876879081</v>
          </cell>
          <cell r="L70">
            <v>77.125835593999142</v>
          </cell>
          <cell r="O70">
            <v>-31.564472253915923</v>
          </cell>
          <cell r="P70">
            <v>7.4745325620958738</v>
          </cell>
        </row>
        <row r="71">
          <cell r="K71">
            <v>9.832028222884599</v>
          </cell>
          <cell r="L71">
            <v>14.366758741651102</v>
          </cell>
          <cell r="O71">
            <v>11.035227205063268</v>
          </cell>
          <cell r="P71">
            <v>11.769624050182383</v>
          </cell>
        </row>
        <row r="72">
          <cell r="K72">
            <v>5.0601426595200489E-3</v>
          </cell>
          <cell r="L72">
            <v>0.12797657263647685</v>
          </cell>
          <cell r="O72">
            <v>3.0651083708371503E-2</v>
          </cell>
          <cell r="P72">
            <v>0.11393767307111514</v>
          </cell>
        </row>
        <row r="73">
          <cell r="K73">
            <v>-40.842281814048995</v>
          </cell>
          <cell r="L73">
            <v>-44.122654576175307</v>
          </cell>
          <cell r="O73">
            <v>-20.524795732143296</v>
          </cell>
          <cell r="P73">
            <v>-28.486220128665405</v>
          </cell>
        </row>
        <row r="74">
          <cell r="K74">
            <v>-29.625903631697401</v>
          </cell>
          <cell r="L74">
            <v>-25.2197837047325</v>
          </cell>
          <cell r="O74">
            <v>-14.914051288899801</v>
          </cell>
          <cell r="P74">
            <v>-12.579188114936901</v>
          </cell>
        </row>
        <row r="75">
          <cell r="K75">
            <v>-11.216378182351594</v>
          </cell>
          <cell r="L75">
            <v>-18.902870871442808</v>
          </cell>
          <cell r="O75">
            <v>-5.6107444432434956</v>
          </cell>
          <cell r="P75">
            <v>-15.907032013728504</v>
          </cell>
        </row>
        <row r="76">
          <cell r="K76">
            <v>0.59615163651938097</v>
          </cell>
          <cell r="L76">
            <v>2.4392733227744401</v>
          </cell>
          <cell r="O76">
            <v>0.24758809737724097</v>
          </cell>
          <cell r="P76">
            <v>1.6528902442129052</v>
          </cell>
        </row>
        <row r="77">
          <cell r="K77">
            <v>-37.352036077766137</v>
          </cell>
          <cell r="L77">
            <v>38.824610432249557</v>
          </cell>
          <cell r="O77">
            <v>-12.319542273618627</v>
          </cell>
          <cell r="P77">
            <v>8.2690098678262238</v>
          </cell>
        </row>
        <row r="78">
          <cell r="K78">
            <v>15.686561914006361</v>
          </cell>
          <cell r="L78">
            <v>22.799579094973041</v>
          </cell>
          <cell r="O78">
            <v>-5.0760614352303079</v>
          </cell>
          <cell r="P78">
            <v>9.4397398380166102</v>
          </cell>
        </row>
        <row r="79">
          <cell r="K79">
            <v>0.73281494000000003</v>
          </cell>
          <cell r="L79">
            <v>0</v>
          </cell>
          <cell r="O79">
            <v>0.32386416000000001</v>
          </cell>
          <cell r="P79">
            <v>0</v>
          </cell>
        </row>
        <row r="80">
          <cell r="K80">
            <v>-0.75772584072498717</v>
          </cell>
          <cell r="L80">
            <v>15.6226513776197</v>
          </cell>
          <cell r="O80">
            <v>4.0389778952587037</v>
          </cell>
          <cell r="P80">
            <v>10.23246706558502</v>
          </cell>
        </row>
        <row r="81">
          <cell r="K81">
            <v>-51.548057211047805</v>
          </cell>
          <cell r="L81">
            <v>0.40237995965570189</v>
          </cell>
          <cell r="O81">
            <v>-10.958594573647702</v>
          </cell>
          <cell r="P81">
            <v>-11.403197035777328</v>
          </cell>
        </row>
        <row r="82">
          <cell r="K82">
            <v>-40.828660400000004</v>
          </cell>
          <cell r="O82">
            <v>0</v>
          </cell>
          <cell r="P82">
            <v>0</v>
          </cell>
        </row>
        <row r="83">
          <cell r="L83">
            <v>-2.7573046599743063</v>
          </cell>
          <cell r="O83">
            <v>0</v>
          </cell>
          <cell r="P83">
            <v>-1.3533352772084979</v>
          </cell>
        </row>
        <row r="84">
          <cell r="K84">
            <v>-10.719396811047169</v>
          </cell>
          <cell r="L84">
            <v>-2.3549247003186045</v>
          </cell>
        </row>
        <row r="98">
          <cell r="K98">
            <v>51.035825500000001</v>
          </cell>
          <cell r="L98">
            <v>-17.731860643442012</v>
          </cell>
          <cell r="O98">
            <v>0</v>
          </cell>
          <cell r="P98">
            <v>-8.8697028513633462</v>
          </cell>
        </row>
        <row r="102">
          <cell r="K102">
            <v>51.035825500000001</v>
          </cell>
          <cell r="O102">
            <v>0</v>
          </cell>
          <cell r="P102">
            <v>0</v>
          </cell>
        </row>
        <row r="103">
          <cell r="L103">
            <v>-17.731860643442012</v>
          </cell>
          <cell r="O103">
            <v>0</v>
          </cell>
          <cell r="P103">
            <v>-8.8697028513633462</v>
          </cell>
        </row>
        <row r="104">
          <cell r="K104">
            <v>0</v>
          </cell>
          <cell r="L104">
            <v>14.035943537751612</v>
          </cell>
          <cell r="O104">
            <v>0</v>
          </cell>
          <cell r="P104">
            <v>7.0179664925580143</v>
          </cell>
        </row>
        <row r="109">
          <cell r="L109">
            <v>14.035943537751612</v>
          </cell>
          <cell r="O109">
            <v>0</v>
          </cell>
          <cell r="P109">
            <v>7.0179664925580143</v>
          </cell>
        </row>
        <row r="119">
          <cell r="K119">
            <v>571.93923066943307</v>
          </cell>
          <cell r="L119">
            <v>629.08382391468604</v>
          </cell>
          <cell r="O119">
            <v>259.62101166994006</v>
          </cell>
          <cell r="P119">
            <v>308.08369879881002</v>
          </cell>
        </row>
        <row r="120">
          <cell r="K120">
            <v>255.97954345540199</v>
          </cell>
          <cell r="L120">
            <v>301.33518900438003</v>
          </cell>
          <cell r="O120">
            <v>87.063109187520013</v>
          </cell>
          <cell r="P120">
            <v>127.58727176125603</v>
          </cell>
        </row>
        <row r="121">
          <cell r="K121">
            <v>134.50011651550599</v>
          </cell>
          <cell r="L121">
            <v>135.97658028720701</v>
          </cell>
          <cell r="O121">
            <v>74.439254966843492</v>
          </cell>
          <cell r="P121">
            <v>77.144301663427811</v>
          </cell>
        </row>
        <row r="122">
          <cell r="K122">
            <v>104.53132133614</v>
          </cell>
          <cell r="L122">
            <v>109.560748706683</v>
          </cell>
          <cell r="O122">
            <v>55.473781448534794</v>
          </cell>
          <cell r="P122">
            <v>58.439421658123301</v>
          </cell>
        </row>
        <row r="124">
          <cell r="K124">
            <v>86.382826129999998</v>
          </cell>
          <cell r="L124">
            <v>86.875861970000003</v>
          </cell>
          <cell r="O124">
            <v>47.075622589999995</v>
          </cell>
          <cell r="P124">
            <v>48.148876989999998</v>
          </cell>
        </row>
        <row r="125">
          <cell r="K125">
            <v>-9.4545767676149097</v>
          </cell>
          <cell r="L125">
            <v>-4.6645560535840076</v>
          </cell>
          <cell r="O125">
            <v>-4.4307565229582337</v>
          </cell>
          <cell r="P125">
            <v>-3.2361732739971245</v>
          </cell>
        </row>
        <row r="131">
          <cell r="K131">
            <v>100.3186678614435</v>
          </cell>
          <cell r="L131">
            <v>128.31755554874303</v>
          </cell>
          <cell r="O131">
            <v>30.308793222486813</v>
          </cell>
          <cell r="P131">
            <v>56.728480135296067</v>
          </cell>
        </row>
        <row r="132">
          <cell r="K132">
            <v>61.852473497649299</v>
          </cell>
          <cell r="L132">
            <v>91.016425253944718</v>
          </cell>
          <cell r="O132">
            <v>-4.3939976968485013</v>
          </cell>
          <cell r="P132">
            <v>22.768506068664394</v>
          </cell>
        </row>
        <row r="133">
          <cell r="K133">
            <v>28.1451873792942</v>
          </cell>
          <cell r="L133">
            <v>27.143099316740599</v>
          </cell>
          <cell r="O133">
            <v>20.100309360086811</v>
          </cell>
          <cell r="P133">
            <v>21.419524873827427</v>
          </cell>
        </row>
        <row r="134">
          <cell r="K134">
            <v>1.64478109274442</v>
          </cell>
          <cell r="L134">
            <v>-1.9754900305188399</v>
          </cell>
          <cell r="O134">
            <v>4.7164915282073903</v>
          </cell>
          <cell r="P134">
            <v>1.1009490091024603</v>
          </cell>
        </row>
        <row r="136">
          <cell r="K136">
            <v>14.241243332884601</v>
          </cell>
          <cell r="L136">
            <v>20.6061423541511</v>
          </cell>
          <cell r="O136">
            <v>13.23796180506328</v>
          </cell>
          <cell r="P136">
            <v>14.817151851432378</v>
          </cell>
        </row>
        <row r="137">
          <cell r="K137">
            <v>-5.5650174411290187</v>
          </cell>
          <cell r="L137">
            <v>-8.4726213455745469</v>
          </cell>
          <cell r="O137">
            <v>-3.3519717740221662</v>
          </cell>
          <cell r="P137">
            <v>-3.3776516677305946</v>
          </cell>
        </row>
        <row r="159">
          <cell r="L159">
            <v>114.55765284503593</v>
          </cell>
          <cell r="P159">
            <v>54.079361341714183</v>
          </cell>
        </row>
        <row r="160">
          <cell r="L160">
            <v>-3.9719579397349296</v>
          </cell>
          <cell r="P160">
            <v>-6.2205840577814797</v>
          </cell>
        </row>
        <row r="161">
          <cell r="K161">
            <v>49.2828423614435</v>
          </cell>
          <cell r="L161">
            <v>110.585694905301</v>
          </cell>
          <cell r="O161">
            <v>30.308793222486798</v>
          </cell>
          <cell r="P161">
            <v>47.858777283932696</v>
          </cell>
        </row>
        <row r="162">
          <cell r="K162">
            <v>51.035825500000001</v>
          </cell>
          <cell r="O162">
            <v>0</v>
          </cell>
          <cell r="P162">
            <v>0</v>
          </cell>
        </row>
        <row r="163">
          <cell r="L163">
            <v>17.731860643442033</v>
          </cell>
          <cell r="O163">
            <v>0</v>
          </cell>
          <cell r="P163">
            <v>8.8697028513633711</v>
          </cell>
        </row>
        <row r="164">
          <cell r="K164">
            <v>100.3186678614435</v>
          </cell>
          <cell r="L164">
            <v>128.31755554874303</v>
          </cell>
          <cell r="O164">
            <v>30.308793222486813</v>
          </cell>
          <cell r="P164">
            <v>56.728480135296067</v>
          </cell>
        </row>
        <row r="165">
          <cell r="K165">
            <v>45.100232482546097</v>
          </cell>
          <cell r="L165">
            <v>43.730952893394807</v>
          </cell>
          <cell r="O165">
            <v>21.104712453304295</v>
          </cell>
          <cell r="P165">
            <v>19.311512213020109</v>
          </cell>
        </row>
        <row r="166">
          <cell r="K166">
            <v>1.288515779133931</v>
          </cell>
          <cell r="L166">
            <v>0.38269386400740046</v>
          </cell>
          <cell r="O166">
            <v>1.246415408035098</v>
          </cell>
          <cell r="P166">
            <v>0.46289181119190204</v>
          </cell>
        </row>
        <row r="167">
          <cell r="K167">
            <v>53.929919599763473</v>
          </cell>
          <cell r="L167">
            <v>84.203908791340822</v>
          </cell>
          <cell r="O167">
            <v>7.95766536114742</v>
          </cell>
          <cell r="P167">
            <v>36.954076111084056</v>
          </cell>
        </row>
        <row r="168">
          <cell r="K168">
            <v>-51.035825500000001</v>
          </cell>
          <cell r="O168">
            <v>0</v>
          </cell>
          <cell r="P168">
            <v>0</v>
          </cell>
        </row>
        <row r="169">
          <cell r="L169">
            <v>-3.6959171056903983</v>
          </cell>
          <cell r="O169">
            <v>0</v>
          </cell>
          <cell r="P169">
            <v>-1.8517363588053328</v>
          </cell>
        </row>
        <row r="170">
          <cell r="K170">
            <v>2.8940940997634756</v>
          </cell>
          <cell r="L170">
            <v>80.507991685650424</v>
          </cell>
          <cell r="O170">
            <v>7.957665361147428</v>
          </cell>
          <cell r="P170">
            <v>35.102339752278723</v>
          </cell>
        </row>
        <row r="177">
          <cell r="L177">
            <v>-11.815524593080337</v>
          </cell>
          <cell r="P177">
            <v>-6.415848318521661</v>
          </cell>
        </row>
        <row r="178">
          <cell r="L178">
            <v>-0.23314424127049546</v>
          </cell>
          <cell r="P178">
            <v>-0.22695646818358067</v>
          </cell>
        </row>
        <row r="179">
          <cell r="K179">
            <v>-57.628928864346598</v>
          </cell>
          <cell r="L179">
            <v>-12.048668834350831</v>
          </cell>
          <cell r="O179">
            <v>-4.3800576972397565</v>
          </cell>
          <cell r="P179">
            <v>-6.6428047867052458</v>
          </cell>
        </row>
        <row r="180">
          <cell r="K180">
            <v>51.035825500000001</v>
          </cell>
          <cell r="L180">
            <v>1.3147074208738192</v>
          </cell>
          <cell r="O180">
            <v>0</v>
          </cell>
          <cell r="P180">
            <v>1.3147074208738192</v>
          </cell>
        </row>
        <row r="181">
          <cell r="K181">
            <v>0</v>
          </cell>
          <cell r="L181">
            <v>1.0815631796033238</v>
          </cell>
          <cell r="O181">
            <v>0</v>
          </cell>
          <cell r="P181">
            <v>0.77066880980168984</v>
          </cell>
        </row>
        <row r="182">
          <cell r="K182">
            <v>-6.5931033643465984</v>
          </cell>
          <cell r="L182">
            <v>-10.967105654747506</v>
          </cell>
          <cell r="O182">
            <v>-4.3800576972397458</v>
          </cell>
          <cell r="P182">
            <v>-5.8721359769035537</v>
          </cell>
        </row>
        <row r="183">
          <cell r="K183">
            <v>1.599233778879416</v>
          </cell>
          <cell r="L183">
            <v>1.3066511762656212</v>
          </cell>
          <cell r="O183">
            <v>1.2645258488793227</v>
          </cell>
          <cell r="P183">
            <v>0.94653002460734692</v>
          </cell>
        </row>
        <row r="184">
          <cell r="K184">
            <v>6.6302519030614349E-13</v>
          </cell>
          <cell r="L184">
            <v>0.10205510999962186</v>
          </cell>
          <cell r="O184">
            <v>8.5087492607271997E-13</v>
          </cell>
          <cell r="P184">
            <v>0.10205510999952772</v>
          </cell>
        </row>
        <row r="185">
          <cell r="K185">
            <v>-8.1923371432266769</v>
          </cell>
          <cell r="L185">
            <v>-12.375811941012749</v>
          </cell>
          <cell r="O185">
            <v>-5.644583546119919</v>
          </cell>
          <cell r="P185">
            <v>-6.9207211115104297</v>
          </cell>
        </row>
        <row r="186">
          <cell r="K186">
            <v>-6.6302519030614349E-13</v>
          </cell>
          <cell r="L186">
            <v>-0.10205510999962186</v>
          </cell>
          <cell r="O186">
            <v>51.035825499999341</v>
          </cell>
          <cell r="P186">
            <v>-0.10205510999962186</v>
          </cell>
        </row>
        <row r="187">
          <cell r="O187">
            <v>0</v>
          </cell>
          <cell r="P187">
            <v>3.0175289498421853E-2</v>
          </cell>
        </row>
        <row r="188">
          <cell r="O188">
            <v>53.583579097106764</v>
          </cell>
          <cell r="P188">
            <v>5.485266119000741</v>
          </cell>
        </row>
      </sheetData>
      <sheetData sheetId="1">
        <row r="10">
          <cell r="K10">
            <v>255.97954345540199</v>
          </cell>
          <cell r="L10">
            <v>301.33518900438003</v>
          </cell>
          <cell r="O10">
            <v>87.063109187520013</v>
          </cell>
          <cell r="P10">
            <v>127.58727176125603</v>
          </cell>
        </row>
        <row r="11">
          <cell r="K11">
            <v>46.650084337478717</v>
          </cell>
          <cell r="L11">
            <v>37.301114477915576</v>
          </cell>
          <cell r="O11">
            <v>44.165153492260373</v>
          </cell>
          <cell r="P11">
            <v>35.232237330981775</v>
          </cell>
        </row>
        <row r="12">
          <cell r="K12">
            <v>209.32945911792328</v>
          </cell>
          <cell r="L12">
            <v>264.03407452646445</v>
          </cell>
          <cell r="O12">
            <v>42.89795569525964</v>
          </cell>
          <cell r="P12">
            <v>92.355034430274259</v>
          </cell>
        </row>
        <row r="13">
          <cell r="K13">
            <v>209.10987011792326</v>
          </cell>
          <cell r="L13">
            <v>264.00426652646445</v>
          </cell>
          <cell r="O13">
            <v>42.878205695259624</v>
          </cell>
          <cell r="P13">
            <v>92.354632430274251</v>
          </cell>
        </row>
        <row r="14">
          <cell r="K14">
            <v>0.21958900000000001</v>
          </cell>
          <cell r="L14">
            <v>2.9808000000000001E-2</v>
          </cell>
          <cell r="O14">
            <v>1.9750000000000018E-2</v>
          </cell>
          <cell r="P14">
            <v>4.0200000000000305E-4</v>
          </cell>
        </row>
        <row r="15">
          <cell r="K15">
            <v>61.852473497649299</v>
          </cell>
          <cell r="L15">
            <v>91.016425253944718</v>
          </cell>
          <cell r="O15">
            <v>-4.3939976968485013</v>
          </cell>
          <cell r="P15">
            <v>22.768506068664394</v>
          </cell>
        </row>
        <row r="16">
          <cell r="K16">
            <v>3.0187755100000402</v>
          </cell>
          <cell r="L16">
            <v>-2.6638267099999524</v>
          </cell>
          <cell r="O16">
            <v>17.959116119999976</v>
          </cell>
          <cell r="P16">
            <v>11.480483869999745</v>
          </cell>
        </row>
        <row r="17">
          <cell r="K17">
            <v>58.833697987649259</v>
          </cell>
          <cell r="L17">
            <v>93.68025196394467</v>
          </cell>
          <cell r="O17">
            <v>-22.353113816848477</v>
          </cell>
          <cell r="P17">
            <v>11.288022198664649</v>
          </cell>
        </row>
        <row r="18">
          <cell r="K18">
            <v>59.066393987649256</v>
          </cell>
          <cell r="L18">
            <v>95.441336963944664</v>
          </cell>
          <cell r="O18">
            <v>-22.188124816848479</v>
          </cell>
          <cell r="P18">
            <v>12.267164198664645</v>
          </cell>
        </row>
        <row r="19">
          <cell r="K19">
            <v>-0.23269599999999999</v>
          </cell>
          <cell r="L19">
            <v>-1.761085</v>
          </cell>
          <cell r="O19">
            <v>-0.164989</v>
          </cell>
          <cell r="P19">
            <v>-0.97914199999999996</v>
          </cell>
        </row>
        <row r="20">
          <cell r="K20">
            <v>0.24163053290399175</v>
          </cell>
          <cell r="L20">
            <v>0.30204379898234107</v>
          </cell>
          <cell r="O20">
            <v>-5.0469110715820324E-2</v>
          </cell>
          <cell r="P20">
            <v>0.17845436895358416</v>
          </cell>
        </row>
        <row r="21">
          <cell r="K21">
            <v>34.529992609979999</v>
          </cell>
          <cell r="L21">
            <v>65.056822378985814</v>
          </cell>
          <cell r="O21">
            <v>-16.963152060353302</v>
          </cell>
          <cell r="P21">
            <v>12.137297462699237</v>
          </cell>
        </row>
        <row r="22">
          <cell r="K22">
            <v>-1.2862051999995714</v>
          </cell>
          <cell r="L22">
            <v>-7.0178352700001767</v>
          </cell>
          <cell r="O22">
            <v>15.800078810000564</v>
          </cell>
          <cell r="P22">
            <v>9.3004909699994869</v>
          </cell>
        </row>
        <row r="23">
          <cell r="K23">
            <v>35.81619780997957</v>
          </cell>
          <cell r="L23">
            <v>72.07465764898599</v>
          </cell>
          <cell r="O23">
            <v>-32.763230870353865</v>
          </cell>
          <cell r="P23">
            <v>2.8368064926997505</v>
          </cell>
        </row>
        <row r="24">
          <cell r="K24">
            <v>35.865357809979571</v>
          </cell>
          <cell r="L24">
            <v>73.844314648985986</v>
          </cell>
          <cell r="O24">
            <v>-32.786292870353861</v>
          </cell>
          <cell r="P24">
            <v>3.8202234926997392</v>
          </cell>
        </row>
        <row r="25">
          <cell r="K25">
            <v>-4.9159999999999995E-2</v>
          </cell>
          <cell r="L25">
            <v>-1.769657</v>
          </cell>
          <cell r="O25">
            <v>2.3061999999999999E-2</v>
          </cell>
          <cell r="P25">
            <v>-0.98341699999999999</v>
          </cell>
        </row>
        <row r="26">
          <cell r="K26">
            <v>0.13489356275844747</v>
          </cell>
          <cell r="L26">
            <v>0.21589520491760486</v>
          </cell>
          <cell r="O26">
            <v>-0.19483742561751827</v>
          </cell>
          <cell r="P26">
            <v>9.5129375329937316E-2</v>
          </cell>
        </row>
        <row r="30">
          <cell r="K30">
            <v>260.48136887844208</v>
          </cell>
          <cell r="L30">
            <v>301.33518900438003</v>
          </cell>
          <cell r="O30">
            <v>85.094676213750745</v>
          </cell>
          <cell r="P30">
            <v>127.58727176125603</v>
          </cell>
        </row>
        <row r="31">
          <cell r="K31">
            <v>46.650084337478688</v>
          </cell>
          <cell r="L31">
            <v>37.301114477915576</v>
          </cell>
          <cell r="O31">
            <v>44.165153492260316</v>
          </cell>
          <cell r="P31">
            <v>35.232237330981775</v>
          </cell>
        </row>
        <row r="32">
          <cell r="K32">
            <v>213.8312845409634</v>
          </cell>
          <cell r="L32">
            <v>264.03407452646445</v>
          </cell>
          <cell r="O32">
            <v>40.929522721490429</v>
          </cell>
          <cell r="P32">
            <v>92.355034430274259</v>
          </cell>
        </row>
        <row r="33">
          <cell r="K33">
            <v>213.61169554096338</v>
          </cell>
          <cell r="L33">
            <v>264.00426652646445</v>
          </cell>
          <cell r="O33">
            <v>40.909772721490413</v>
          </cell>
          <cell r="P33">
            <v>92.354632430274251</v>
          </cell>
        </row>
        <row r="34">
          <cell r="K34">
            <v>0.21958900000000001</v>
          </cell>
          <cell r="L34">
            <v>2.9808000000000001E-2</v>
          </cell>
          <cell r="O34">
            <v>1.9750000000000018E-2</v>
          </cell>
          <cell r="P34">
            <v>4.0200000000000305E-4</v>
          </cell>
        </row>
        <row r="35">
          <cell r="K35">
            <v>63.3742352862483</v>
          </cell>
          <cell r="L35">
            <v>91.016425253944718</v>
          </cell>
          <cell r="O35">
            <v>-6.8922406834652108</v>
          </cell>
          <cell r="P35">
            <v>22.768506068664394</v>
          </cell>
        </row>
        <row r="36">
          <cell r="K36">
            <v>3.0187755100000331</v>
          </cell>
          <cell r="L36">
            <v>-2.6638267099999524</v>
          </cell>
          <cell r="O36">
            <v>17.959116119999969</v>
          </cell>
          <cell r="P36">
            <v>11.480483869999745</v>
          </cell>
        </row>
        <row r="37">
          <cell r="K37">
            <v>60.355459776248267</v>
          </cell>
          <cell r="L37">
            <v>93.68025196394467</v>
          </cell>
          <cell r="O37">
            <v>-24.85135680346518</v>
          </cell>
          <cell r="P37">
            <v>11.288022198664649</v>
          </cell>
        </row>
        <row r="38">
          <cell r="K38">
            <v>60.588155776248264</v>
          </cell>
          <cell r="L38">
            <v>95.441336963944664</v>
          </cell>
          <cell r="O38">
            <v>-24.686367803465181</v>
          </cell>
          <cell r="P38">
            <v>12.267164198664645</v>
          </cell>
        </row>
        <row r="39">
          <cell r="K39">
            <v>-0.23269599999999999</v>
          </cell>
          <cell r="L39">
            <v>-1.761085</v>
          </cell>
          <cell r="O39">
            <v>-0.164989</v>
          </cell>
          <cell r="P39">
            <v>-0.97914199999999996</v>
          </cell>
        </row>
        <row r="40">
          <cell r="K40">
            <v>0.24329661487544982</v>
          </cell>
          <cell r="L40">
            <v>0.30204379898234107</v>
          </cell>
          <cell r="O40">
            <v>-8.0994969252277033E-2</v>
          </cell>
          <cell r="P40">
            <v>0.17845436895358416</v>
          </cell>
        </row>
        <row r="41">
          <cell r="K41">
            <v>35.446047686509836</v>
          </cell>
          <cell r="L41">
            <v>65.056822378985814</v>
          </cell>
          <cell r="O41">
            <v>-19.517862940588657</v>
          </cell>
          <cell r="P41">
            <v>12.137297462699237</v>
          </cell>
        </row>
        <row r="42">
          <cell r="K42">
            <v>-1.2862051999995714</v>
          </cell>
          <cell r="L42">
            <v>-7.0178352700001767</v>
          </cell>
          <cell r="O42">
            <v>15.800078810000564</v>
          </cell>
          <cell r="P42">
            <v>9.3004909699994869</v>
          </cell>
        </row>
        <row r="43">
          <cell r="K43">
            <v>36.732252886509407</v>
          </cell>
          <cell r="L43">
            <v>72.07465764898599</v>
          </cell>
          <cell r="O43">
            <v>-35.31794175058922</v>
          </cell>
          <cell r="P43">
            <v>2.8368064926997505</v>
          </cell>
        </row>
        <row r="44">
          <cell r="K44">
            <v>36.781412886509408</v>
          </cell>
          <cell r="L44">
            <v>73.844314648985986</v>
          </cell>
          <cell r="O44">
            <v>-35.341003750589216</v>
          </cell>
          <cell r="P44">
            <v>3.8202234926997392</v>
          </cell>
        </row>
        <row r="45">
          <cell r="K45">
            <v>-4.9159999999999995E-2</v>
          </cell>
          <cell r="L45">
            <v>-1.769657</v>
          </cell>
          <cell r="O45">
            <v>2.3061999999999999E-2</v>
          </cell>
          <cell r="P45">
            <v>-0.98341699999999999</v>
          </cell>
        </row>
        <row r="46">
          <cell r="K46">
            <v>0.13607901340172746</v>
          </cell>
          <cell r="L46">
            <v>0.21589520491760486</v>
          </cell>
          <cell r="O46">
            <v>-0.22936643993522474</v>
          </cell>
          <cell r="P46">
            <v>9.5129375329937316E-2</v>
          </cell>
        </row>
        <row r="51">
          <cell r="K51">
            <v>255.97954345540199</v>
          </cell>
          <cell r="L51">
            <v>301.33518900438003</v>
          </cell>
          <cell r="O51">
            <v>87.063109187520013</v>
          </cell>
          <cell r="P51">
            <v>127.58727176125603</v>
          </cell>
        </row>
        <row r="52">
          <cell r="K52">
            <v>46.650084337478717</v>
          </cell>
          <cell r="L52">
            <v>37.301114477915576</v>
          </cell>
          <cell r="O52">
            <v>44.165153492260373</v>
          </cell>
          <cell r="P52">
            <v>35.232237330981775</v>
          </cell>
        </row>
        <row r="53">
          <cell r="K53">
            <v>209.32945911792328</v>
          </cell>
          <cell r="L53">
            <v>264.03407452646445</v>
          </cell>
          <cell r="O53">
            <v>42.89795569525964</v>
          </cell>
          <cell r="P53">
            <v>92.355034430274259</v>
          </cell>
        </row>
        <row r="54">
          <cell r="K54">
            <v>209.10987011792326</v>
          </cell>
          <cell r="L54">
            <v>264.00426652646445</v>
          </cell>
          <cell r="O54">
            <v>42.878205695259624</v>
          </cell>
          <cell r="P54">
            <v>92.354632430274251</v>
          </cell>
        </row>
        <row r="55">
          <cell r="K55">
            <v>0.21958900000000001</v>
          </cell>
          <cell r="L55">
            <v>2.9808000000000001E-2</v>
          </cell>
          <cell r="O55">
            <v>1.9750000000000018E-2</v>
          </cell>
          <cell r="P55">
            <v>4.0200000000000305E-4</v>
          </cell>
        </row>
        <row r="56">
          <cell r="K56">
            <v>194.1270699577527</v>
          </cell>
          <cell r="L56">
            <v>217.14141359714682</v>
          </cell>
          <cell r="O56">
            <v>91.457106884368514</v>
          </cell>
          <cell r="P56">
            <v>108.23386576558973</v>
          </cell>
        </row>
        <row r="57">
          <cell r="K57">
            <v>43.631308827478676</v>
          </cell>
          <cell r="L57">
            <v>42.13088118791552</v>
          </cell>
          <cell r="O57">
            <v>26.206037372260397</v>
          </cell>
          <cell r="P57">
            <v>24.807083460982014</v>
          </cell>
        </row>
        <row r="58">
          <cell r="K58">
            <v>150.49576113027402</v>
          </cell>
          <cell r="L58">
            <v>175.0105324092313</v>
          </cell>
          <cell r="O58">
            <v>65.251069512108117</v>
          </cell>
          <cell r="P58">
            <v>83.426782304607713</v>
          </cell>
        </row>
        <row r="59">
          <cell r="K59">
            <v>150.043476130274</v>
          </cell>
          <cell r="L59">
            <v>173.21227940923131</v>
          </cell>
          <cell r="O59">
            <v>65.066330512108095</v>
          </cell>
          <cell r="P59">
            <v>82.44355830460772</v>
          </cell>
        </row>
        <row r="60">
          <cell r="K60">
            <v>0.45228499999999999</v>
          </cell>
          <cell r="L60">
            <v>1.7982530000000001</v>
          </cell>
          <cell r="O60">
            <v>0.18473900000000004</v>
          </cell>
          <cell r="P60">
            <v>0.98322399999999999</v>
          </cell>
        </row>
        <row r="61">
          <cell r="K61">
            <v>61.852473497649299</v>
          </cell>
          <cell r="L61">
            <v>84.193775407233204</v>
          </cell>
          <cell r="O61">
            <v>-4.3939976968485013</v>
          </cell>
          <cell r="P61">
            <v>19.353405995666307</v>
          </cell>
        </row>
        <row r="62">
          <cell r="K62">
            <v>3.0187755100000402</v>
          </cell>
          <cell r="L62">
            <v>-4.8297667099999444</v>
          </cell>
          <cell r="O62">
            <v>17.959116119999976</v>
          </cell>
          <cell r="P62">
            <v>10.425153869999761</v>
          </cell>
        </row>
        <row r="63">
          <cell r="K63">
            <v>58.833697987649259</v>
          </cell>
          <cell r="L63">
            <v>89.023542117233148</v>
          </cell>
          <cell r="O63">
            <v>-22.353113816848477</v>
          </cell>
          <cell r="P63">
            <v>8.9282521256665461</v>
          </cell>
        </row>
        <row r="64">
          <cell r="K64">
            <v>59.066393987649256</v>
          </cell>
          <cell r="L64">
            <v>90.791987117233148</v>
          </cell>
          <cell r="O64">
            <v>-22.188124816848479</v>
          </cell>
          <cell r="P64">
            <v>9.9110741256665449</v>
          </cell>
        </row>
        <row r="65">
          <cell r="K65">
            <v>-0.23269599999999999</v>
          </cell>
          <cell r="L65">
            <v>-1.768445</v>
          </cell>
          <cell r="O65">
            <v>-0.164989</v>
          </cell>
          <cell r="P65">
            <v>-0.98282199999999997</v>
          </cell>
        </row>
        <row r="66">
          <cell r="K66">
            <v>0.24163053290399175</v>
          </cell>
          <cell r="L66">
            <v>0.279402401310686</v>
          </cell>
          <cell r="O66">
            <v>-5.0469110715820324E-2</v>
          </cell>
          <cell r="P66">
            <v>0.15168759178329955</v>
          </cell>
        </row>
        <row r="67">
          <cell r="K67">
            <v>34.529992609979999</v>
          </cell>
          <cell r="L67">
            <v>63.755181769096403</v>
          </cell>
          <cell r="O67">
            <v>-16.963152060353302</v>
          </cell>
          <cell r="P67">
            <v>11.482696731794398</v>
          </cell>
        </row>
        <row r="68">
          <cell r="K68">
            <v>-1.2862051999995714</v>
          </cell>
          <cell r="L68">
            <v>-7.2354852700001757</v>
          </cell>
          <cell r="O68">
            <v>15.800078810000564</v>
          </cell>
          <cell r="P68">
            <v>9.2193009699994874</v>
          </cell>
        </row>
        <row r="69">
          <cell r="K69">
            <v>35.81619780997957</v>
          </cell>
          <cell r="L69">
            <v>70.990667039096579</v>
          </cell>
          <cell r="O69">
            <v>-32.763230870353865</v>
          </cell>
          <cell r="P69">
            <v>2.2633957617949108</v>
          </cell>
        </row>
        <row r="70">
          <cell r="K70">
            <v>35.865357809979571</v>
          </cell>
          <cell r="L70">
            <v>72.76101403909658</v>
          </cell>
          <cell r="O70">
            <v>-32.786292870353861</v>
          </cell>
          <cell r="P70">
            <v>3.247162761794911</v>
          </cell>
        </row>
        <row r="71">
          <cell r="K71">
            <v>-4.9159999999999995E-2</v>
          </cell>
          <cell r="L71">
            <v>-1.7703469999999999</v>
          </cell>
          <cell r="O71">
            <v>2.3061999999999999E-2</v>
          </cell>
          <cell r="P71">
            <v>-0.98376699999999984</v>
          </cell>
        </row>
        <row r="72">
          <cell r="K72">
            <v>0.13489356275844747</v>
          </cell>
          <cell r="L72">
            <v>0.21157562772454597</v>
          </cell>
          <cell r="O72">
            <v>-0.19483742561751827</v>
          </cell>
          <cell r="P72">
            <v>8.9998763773874405E-2</v>
          </cell>
        </row>
        <row r="80">
          <cell r="AC80">
            <v>0</v>
          </cell>
          <cell r="AD80">
            <v>0</v>
          </cell>
          <cell r="AG80">
            <v>0</v>
          </cell>
          <cell r="AH80">
            <v>0</v>
          </cell>
        </row>
        <row r="87">
          <cell r="L87">
            <v>-6.8226498467115135</v>
          </cell>
          <cell r="O87">
            <v>0</v>
          </cell>
          <cell r="P87">
            <v>-3.4151000729980976</v>
          </cell>
        </row>
        <row r="92">
          <cell r="L92">
            <v>5.5210092368221018</v>
          </cell>
          <cell r="O92">
            <v>0</v>
          </cell>
          <cell r="P92">
            <v>2.7604993420932584</v>
          </cell>
        </row>
        <row r="167">
          <cell r="L167">
            <v>85.855805838642951</v>
          </cell>
          <cell r="P167">
            <v>24.050869591294031</v>
          </cell>
        </row>
        <row r="168">
          <cell r="L168">
            <v>-1.66203043140974</v>
          </cell>
          <cell r="P168">
            <v>-4.6974635956277204</v>
          </cell>
        </row>
        <row r="169">
          <cell r="K169">
            <v>61.852473497649299</v>
          </cell>
          <cell r="L169">
            <v>84.193775407233204</v>
          </cell>
          <cell r="O169">
            <v>-4.3939976968485013</v>
          </cell>
          <cell r="P169">
            <v>19.353405995666307</v>
          </cell>
        </row>
        <row r="170">
          <cell r="L170">
            <v>6.8226498467115135</v>
          </cell>
          <cell r="P170">
            <v>3.4151000729980865</v>
          </cell>
        </row>
        <row r="171">
          <cell r="K171">
            <v>61.852473497649299</v>
          </cell>
          <cell r="L171">
            <v>91.016425253944718</v>
          </cell>
          <cell r="O171">
            <v>-4.3939976968485013</v>
          </cell>
          <cell r="P171">
            <v>22.768506068664394</v>
          </cell>
        </row>
        <row r="172">
          <cell r="K172">
            <v>26.060551798535901</v>
          </cell>
          <cell r="L172">
            <v>25.654467560951002</v>
          </cell>
          <cell r="O172">
            <v>11.322738955470401</v>
          </cell>
          <cell r="P172">
            <v>10.230084284772657</v>
          </cell>
        </row>
        <row r="173">
          <cell r="K173">
            <v>1.2619290891333996</v>
          </cell>
          <cell r="L173">
            <v>0.30513531400790228</v>
          </cell>
          <cell r="O173">
            <v>1.2464154080343999</v>
          </cell>
          <cell r="P173">
            <v>0.40112432119249952</v>
          </cell>
        </row>
        <row r="174">
          <cell r="K174">
            <v>34.529992609979999</v>
          </cell>
          <cell r="L174">
            <v>65.056822378985814</v>
          </cell>
          <cell r="O174">
            <v>-16.963152060353302</v>
          </cell>
          <cell r="P174">
            <v>12.137297462699237</v>
          </cell>
        </row>
        <row r="175">
          <cell r="L175">
            <v>-1.3016406098894109</v>
          </cell>
          <cell r="P175">
            <v>-0.65460073090483917</v>
          </cell>
        </row>
        <row r="176">
          <cell r="K176">
            <v>34.529992609979999</v>
          </cell>
          <cell r="L176">
            <v>63.755181769096403</v>
          </cell>
          <cell r="O176">
            <v>-16.963152060353302</v>
          </cell>
          <cell r="P176">
            <v>11.482696731794398</v>
          </cell>
        </row>
      </sheetData>
      <sheetData sheetId="2">
        <row r="10">
          <cell r="K10">
            <v>134.50011651550599</v>
          </cell>
          <cell r="L10">
            <v>135.97658028720701</v>
          </cell>
          <cell r="O10">
            <v>74.439254966843492</v>
          </cell>
          <cell r="P10">
            <v>77.144301663427811</v>
          </cell>
        </row>
        <row r="11">
          <cell r="K11">
            <v>96.001446800000011</v>
          </cell>
          <cell r="L11">
            <v>93.61553318</v>
          </cell>
          <cell r="O11">
            <v>52.887086470000007</v>
          </cell>
          <cell r="P11">
            <v>53.672095929999998</v>
          </cell>
        </row>
        <row r="12">
          <cell r="K12">
            <v>40.532819250521499</v>
          </cell>
          <cell r="L12">
            <v>43.849909448527704</v>
          </cell>
          <cell r="O12">
            <v>22.640151380459198</v>
          </cell>
          <cell r="P12">
            <v>24.443895095250504</v>
          </cell>
        </row>
        <row r="13">
          <cell r="K13">
            <v>2.5993120000000002E-2</v>
          </cell>
          <cell r="L13">
            <v>2.47896495329605</v>
          </cell>
          <cell r="O13">
            <v>2.0129280000000003E-2</v>
          </cell>
          <cell r="P13">
            <v>1.13066038428647</v>
          </cell>
        </row>
        <row r="14">
          <cell r="K14">
            <v>-2.0601426550155155</v>
          </cell>
          <cell r="L14">
            <v>-3.9678272946167401</v>
          </cell>
          <cell r="O14">
            <v>-1.1081121636157123</v>
          </cell>
          <cell r="P14">
            <v>-2.1023497461091605</v>
          </cell>
        </row>
        <row r="15">
          <cell r="K15">
            <v>143.1740722182964</v>
          </cell>
          <cell r="L15">
            <v>146.1803961684945</v>
          </cell>
          <cell r="O15">
            <v>79.538784008480761</v>
          </cell>
          <cell r="P15">
            <v>82.837452444785612</v>
          </cell>
        </row>
        <row r="16">
          <cell r="K16">
            <v>28.1451873792942</v>
          </cell>
          <cell r="L16">
            <v>27.143099316740599</v>
          </cell>
          <cell r="O16">
            <v>20.100309360086811</v>
          </cell>
          <cell r="P16">
            <v>21.419524873827427</v>
          </cell>
        </row>
        <row r="17">
          <cell r="K17">
            <v>21.548639570000102</v>
          </cell>
          <cell r="L17">
            <v>17.377636469999899</v>
          </cell>
          <cell r="O17">
            <v>15.294947170000132</v>
          </cell>
          <cell r="P17">
            <v>15.006569369999969</v>
          </cell>
        </row>
        <row r="18">
          <cell r="K18">
            <v>6.7079379392941805</v>
          </cell>
          <cell r="L18">
            <v>10.514732974957349</v>
          </cell>
          <cell r="O18">
            <v>4.876718280086731</v>
          </cell>
          <cell r="P18">
            <v>6.8789290290974296</v>
          </cell>
        </row>
        <row r="19">
          <cell r="K19">
            <v>-4.7997129999999999E-2</v>
          </cell>
          <cell r="L19">
            <v>-0.32044012821669005</v>
          </cell>
          <cell r="O19">
            <v>-3.9560089999999999E-2</v>
          </cell>
          <cell r="P19">
            <v>-3.7143525270039057E-2</v>
          </cell>
        </row>
        <row r="20">
          <cell r="K20">
            <v>-6.33930000000828E-2</v>
          </cell>
          <cell r="L20">
            <v>-0.42882999999995891</v>
          </cell>
          <cell r="O20">
            <v>-3.1796000000052942E-2</v>
          </cell>
          <cell r="P20">
            <v>-0.42882999999993021</v>
          </cell>
        </row>
        <row r="21">
          <cell r="K21">
            <v>0.20925771745372021</v>
          </cell>
          <cell r="L21">
            <v>0.19961598724875629</v>
          </cell>
          <cell r="O21">
            <v>0.27002297872325337</v>
          </cell>
          <cell r="P21">
            <v>0.27765530845399938</v>
          </cell>
        </row>
        <row r="22">
          <cell r="K22">
            <v>30.625742656992617</v>
          </cell>
          <cell r="L22">
            <v>31.425315534516486</v>
          </cell>
          <cell r="O22">
            <v>21.787116123568779</v>
          </cell>
          <cell r="P22">
            <v>24.024968926084441</v>
          </cell>
        </row>
        <row r="23">
          <cell r="K23">
            <v>19.008089320751001</v>
          </cell>
          <cell r="L23">
            <v>18.355111376645201</v>
          </cell>
          <cell r="O23">
            <v>15.405782231817811</v>
          </cell>
          <cell r="P23">
            <v>17.038650034753353</v>
          </cell>
        </row>
        <row r="24">
          <cell r="K24">
            <v>15.890000290000097</v>
          </cell>
          <cell r="L24">
            <v>11.381724659999998</v>
          </cell>
          <cell r="O24">
            <v>12.553592210000108</v>
          </cell>
          <cell r="P24">
            <v>12.029667840000018</v>
          </cell>
        </row>
        <row r="25">
          <cell r="K25">
            <v>3.22947916075083</v>
          </cell>
          <cell r="L25">
            <v>7.7253280523547199</v>
          </cell>
          <cell r="O25">
            <v>2.9235461118175441</v>
          </cell>
          <cell r="P25">
            <v>5.4763133362086904</v>
          </cell>
        </row>
        <row r="26">
          <cell r="K26">
            <v>-4.7997129999999999E-2</v>
          </cell>
          <cell r="L26">
            <v>-0.323111335709587</v>
          </cell>
          <cell r="O26">
            <v>-3.9560089999999999E-2</v>
          </cell>
          <cell r="P26">
            <v>-3.8501141455503041E-2</v>
          </cell>
        </row>
        <row r="27">
          <cell r="K27">
            <v>-6.339299999992648E-2</v>
          </cell>
          <cell r="L27">
            <v>-0.4288299999999296</v>
          </cell>
          <cell r="O27">
            <v>-3.1795999999840556E-2</v>
          </cell>
          <cell r="P27">
            <v>-0.42882999999985233</v>
          </cell>
        </row>
        <row r="28">
          <cell r="K28">
            <v>0.14132396174214193</v>
          </cell>
          <cell r="L28">
            <v>0.13498729956199737</v>
          </cell>
          <cell r="O28">
            <v>0.20695777031459825</v>
          </cell>
          <cell r="P28">
            <v>0.22086725354117701</v>
          </cell>
        </row>
        <row r="29">
          <cell r="K29">
            <v>20.982823523811625</v>
          </cell>
          <cell r="L29">
            <v>22.231375533482058</v>
          </cell>
          <cell r="O29">
            <v>16.836142731482184</v>
          </cell>
          <cell r="P29">
            <v>19.438264374644227</v>
          </cell>
        </row>
        <row r="33">
          <cell r="K33">
            <v>136.78244977375002</v>
          </cell>
          <cell r="L33">
            <v>135.97658028720701</v>
          </cell>
          <cell r="O33">
            <v>75.806046493391023</v>
          </cell>
          <cell r="P33">
            <v>77.144301663427811</v>
          </cell>
        </row>
        <row r="34">
          <cell r="K34">
            <v>96.001446800000011</v>
          </cell>
          <cell r="L34">
            <v>93.61553318</v>
          </cell>
          <cell r="O34">
            <v>52.887086470000007</v>
          </cell>
          <cell r="P34">
            <v>53.672095929999998</v>
          </cell>
        </row>
        <row r="35">
          <cell r="K35">
            <v>42.800874712669099</v>
          </cell>
          <cell r="L35">
            <v>43.849909448527704</v>
          </cell>
          <cell r="O35">
            <v>24.007165442060401</v>
          </cell>
          <cell r="P35">
            <v>24.443895095250504</v>
          </cell>
        </row>
        <row r="36">
          <cell r="K36">
            <v>2.5993120000000002E-2</v>
          </cell>
          <cell r="L36">
            <v>2.47896495329605</v>
          </cell>
          <cell r="O36">
            <v>2.0129280000000003E-2</v>
          </cell>
          <cell r="P36">
            <v>1.13066038428647</v>
          </cell>
        </row>
        <row r="37">
          <cell r="K37">
            <v>-2.0458648589190931</v>
          </cell>
          <cell r="L37">
            <v>-3.9678272946167401</v>
          </cell>
          <cell r="O37">
            <v>-1.1083346986693927</v>
          </cell>
          <cell r="P37">
            <v>-2.1023497461091605</v>
          </cell>
        </row>
        <row r="38">
          <cell r="K38">
            <v>144.91161044438408</v>
          </cell>
          <cell r="L38">
            <v>146.1803961684945</v>
          </cell>
          <cell r="O38">
            <v>80.548951366026628</v>
          </cell>
          <cell r="P38">
            <v>82.837452444785612</v>
          </cell>
        </row>
        <row r="39">
          <cell r="K39">
            <v>27.994319552314302</v>
          </cell>
          <cell r="L39">
            <v>27.143099316740599</v>
          </cell>
          <cell r="O39">
            <v>20.465372844569753</v>
          </cell>
          <cell r="P39">
            <v>21.419524873827427</v>
          </cell>
        </row>
        <row r="40">
          <cell r="K40">
            <v>21.548639570000102</v>
          </cell>
          <cell r="L40">
            <v>17.377636469999899</v>
          </cell>
          <cell r="O40">
            <v>15.294947170000132</v>
          </cell>
          <cell r="P40">
            <v>15.006569369999969</v>
          </cell>
        </row>
        <row r="41">
          <cell r="K41">
            <v>6.5570701123141699</v>
          </cell>
          <cell r="L41">
            <v>10.514732974957349</v>
          </cell>
          <cell r="O41">
            <v>5.2417817645696099</v>
          </cell>
          <cell r="P41">
            <v>6.8789290290974296</v>
          </cell>
        </row>
        <row r="42">
          <cell r="K42">
            <v>-4.7997129999999999E-2</v>
          </cell>
          <cell r="L42">
            <v>-0.32044012821669005</v>
          </cell>
          <cell r="O42">
            <v>-3.9560089999999999E-2</v>
          </cell>
          <cell r="P42">
            <v>-3.7143525270039057E-2</v>
          </cell>
        </row>
        <row r="43">
          <cell r="K43">
            <v>-6.3392999999970001E-2</v>
          </cell>
          <cell r="L43">
            <v>-0.42882999999995891</v>
          </cell>
          <cell r="O43">
            <v>-3.1795999999989437E-2</v>
          </cell>
          <cell r="P43">
            <v>-0.42882999999993021</v>
          </cell>
        </row>
        <row r="44">
          <cell r="K44">
            <v>0.20466309529197146</v>
          </cell>
          <cell r="L44">
            <v>0.19961598724875629</v>
          </cell>
          <cell r="O44">
            <v>0.26997019091813446</v>
          </cell>
          <cell r="P44">
            <v>0.27765530845399938</v>
          </cell>
        </row>
        <row r="45">
          <cell r="K45">
            <v>30.311908417287707</v>
          </cell>
          <cell r="L45">
            <v>31.425315534516486</v>
          </cell>
          <cell r="O45">
            <v>22.030909886325457</v>
          </cell>
          <cell r="P45">
            <v>24.024968926084441</v>
          </cell>
        </row>
        <row r="46">
          <cell r="K46">
            <v>18.7064853704833</v>
          </cell>
          <cell r="L46">
            <v>18.355111376645201</v>
          </cell>
          <cell r="O46">
            <v>15.665355173045089</v>
          </cell>
          <cell r="P46">
            <v>17.038650034753353</v>
          </cell>
        </row>
        <row r="47">
          <cell r="K47">
            <v>15.890000290000097</v>
          </cell>
          <cell r="L47">
            <v>11.381724659999998</v>
          </cell>
          <cell r="O47">
            <v>12.553592210000108</v>
          </cell>
          <cell r="P47">
            <v>12.029667840000018</v>
          </cell>
        </row>
        <row r="48">
          <cell r="K48">
            <v>2.92787521048314</v>
          </cell>
          <cell r="L48">
            <v>7.7253280523547199</v>
          </cell>
          <cell r="O48">
            <v>3.1831190530449391</v>
          </cell>
          <cell r="P48">
            <v>5.4763133362086904</v>
          </cell>
        </row>
        <row r="49">
          <cell r="K49">
            <v>-4.7997129999999999E-2</v>
          </cell>
          <cell r="L49">
            <v>-0.323111335709587</v>
          </cell>
          <cell r="O49">
            <v>-3.9560089999999999E-2</v>
          </cell>
          <cell r="P49">
            <v>-3.8501141455503041E-2</v>
          </cell>
        </row>
        <row r="50">
          <cell r="K50">
            <v>-6.3392999999937583E-2</v>
          </cell>
          <cell r="L50">
            <v>-0.4288299999999296</v>
          </cell>
          <cell r="O50">
            <v>-3.1795999999956907E-2</v>
          </cell>
          <cell r="P50">
            <v>-0.42882999999985233</v>
          </cell>
        </row>
        <row r="51">
          <cell r="K51">
            <v>0.13676085931656759</v>
          </cell>
          <cell r="L51">
            <v>0.13498729956199737</v>
          </cell>
          <cell r="O51">
            <v>0.20665047047943383</v>
          </cell>
          <cell r="P51">
            <v>0.22086725354117701</v>
          </cell>
        </row>
        <row r="52">
          <cell r="K52">
            <v>20.549425780310184</v>
          </cell>
          <cell r="L52">
            <v>22.231375533482058</v>
          </cell>
          <cell r="O52">
            <v>16.992446793874297</v>
          </cell>
          <cell r="P52">
            <v>19.438264374644227</v>
          </cell>
        </row>
        <row r="56">
          <cell r="K56">
            <v>134.50011651550599</v>
          </cell>
          <cell r="L56">
            <v>135.97658028720701</v>
          </cell>
          <cell r="O56">
            <v>74.439254966843492</v>
          </cell>
          <cell r="P56">
            <v>77.144301663427811</v>
          </cell>
        </row>
        <row r="57">
          <cell r="K57">
            <v>126.357083399288</v>
          </cell>
          <cell r="L57">
            <v>127.833654843917</v>
          </cell>
          <cell r="O57">
            <v>70.250714302505401</v>
          </cell>
          <cell r="P57">
            <v>73.236106748222312</v>
          </cell>
        </row>
        <row r="58">
          <cell r="K58">
            <v>89.469159740000009</v>
          </cell>
          <cell r="L58">
            <v>86.049423189999999</v>
          </cell>
          <cell r="O58">
            <v>49.406603880000006</v>
          </cell>
          <cell r="P58">
            <v>49.673812570000003</v>
          </cell>
        </row>
        <row r="59">
          <cell r="K59">
            <v>37.029808383883399</v>
          </cell>
          <cell r="L59">
            <v>41.902090466366602</v>
          </cell>
          <cell r="O59">
            <v>20.9775079871009</v>
          </cell>
          <cell r="P59">
            <v>23.645575246632202</v>
          </cell>
        </row>
        <row r="60">
          <cell r="K60">
            <v>-0.14188472459540691</v>
          </cell>
          <cell r="L60">
            <v>-0.11785881244959739</v>
          </cell>
          <cell r="O60">
            <v>-0.1333975645954979</v>
          </cell>
          <cell r="P60">
            <v>-8.3281068409899461E-2</v>
          </cell>
        </row>
        <row r="61">
          <cell r="K61">
            <v>8.1430331162179925</v>
          </cell>
          <cell r="L61">
            <v>8.1429254432900109</v>
          </cell>
          <cell r="O61">
            <v>4.1885406643380847</v>
          </cell>
          <cell r="P61">
            <v>3.908194915205506</v>
          </cell>
        </row>
        <row r="62">
          <cell r="K62">
            <v>106.35492913621179</v>
          </cell>
          <cell r="L62">
            <v>115.21398797046641</v>
          </cell>
          <cell r="O62">
            <v>54.338945606756681</v>
          </cell>
          <cell r="P62">
            <v>58.915030289600374</v>
          </cell>
        </row>
        <row r="63">
          <cell r="K63">
            <v>74.452807229999905</v>
          </cell>
          <cell r="L63">
            <v>80.539896710000107</v>
          </cell>
          <cell r="O63">
            <v>37.592139299999872</v>
          </cell>
          <cell r="P63">
            <v>40.816526560000035</v>
          </cell>
        </row>
        <row r="64">
          <cell r="K64">
            <v>33.824881311227315</v>
          </cell>
          <cell r="L64">
            <v>35.413683473570359</v>
          </cell>
          <cell r="O64">
            <v>17.763433100372463</v>
          </cell>
          <cell r="P64">
            <v>18.604219566153077</v>
          </cell>
        </row>
        <row r="65">
          <cell r="K65">
            <v>7.3990250000000007E-2</v>
          </cell>
          <cell r="L65">
            <v>2.7994050815127403</v>
          </cell>
          <cell r="O65">
            <v>5.9689370000000005E-2</v>
          </cell>
          <cell r="P65">
            <v>1.1678039095565091</v>
          </cell>
        </row>
        <row r="66">
          <cell r="K66">
            <v>-1.9967496550154267</v>
          </cell>
          <cell r="L66">
            <v>-3.5389972946168009</v>
          </cell>
          <cell r="O66">
            <v>-1.0763161636156537</v>
          </cell>
          <cell r="P66">
            <v>-1.6735197461092477</v>
          </cell>
        </row>
        <row r="67">
          <cell r="K67">
            <v>28.1451873792942</v>
          </cell>
          <cell r="L67">
            <v>20.762592316740601</v>
          </cell>
          <cell r="O67">
            <v>20.100309360086811</v>
          </cell>
          <cell r="P67">
            <v>18.22927137382743</v>
          </cell>
        </row>
        <row r="68">
          <cell r="K68">
            <v>21.548639570000102</v>
          </cell>
          <cell r="L68">
            <v>13.0756364699999</v>
          </cell>
          <cell r="O68">
            <v>15.294947170000132</v>
          </cell>
          <cell r="P68">
            <v>12.855569369999969</v>
          </cell>
        </row>
        <row r="69">
          <cell r="K69">
            <v>6.7079379392941805</v>
          </cell>
          <cell r="L69">
            <v>8.4362259749573489</v>
          </cell>
          <cell r="O69">
            <v>4.876718280086731</v>
          </cell>
          <cell r="P69">
            <v>5.8396755290974287</v>
          </cell>
        </row>
        <row r="70">
          <cell r="K70">
            <v>-4.7997129999999999E-2</v>
          </cell>
          <cell r="L70">
            <v>-0.32044012821669005</v>
          </cell>
          <cell r="O70">
            <v>-3.9560089999999999E-2</v>
          </cell>
          <cell r="P70">
            <v>-3.7143525270039057E-2</v>
          </cell>
        </row>
        <row r="71">
          <cell r="K71">
            <v>-6.33930000000828E-2</v>
          </cell>
          <cell r="L71">
            <v>-0.42882999999995713</v>
          </cell>
          <cell r="O71">
            <v>-3.1796000000052942E-2</v>
          </cell>
          <cell r="P71">
            <v>-0.42882999999992799</v>
          </cell>
        </row>
        <row r="72">
          <cell r="K72">
            <v>0.20925771745372021</v>
          </cell>
          <cell r="L72">
            <v>0.15269241418548893</v>
          </cell>
          <cell r="O72">
            <v>0.27002297872325337</v>
          </cell>
          <cell r="P72">
            <v>0.23630094486252215</v>
          </cell>
        </row>
        <row r="73">
          <cell r="K73">
            <v>19.008089320751001</v>
          </cell>
          <cell r="L73">
            <v>16.7521043766452</v>
          </cell>
          <cell r="O73">
            <v>15.405782231817811</v>
          </cell>
          <cell r="P73">
            <v>16.23714653475335</v>
          </cell>
        </row>
        <row r="74">
          <cell r="K74">
            <v>15.890000290000097</v>
          </cell>
          <cell r="L74">
            <v>10.317724659999998</v>
          </cell>
          <cell r="O74">
            <v>12.553592210000108</v>
          </cell>
          <cell r="P74">
            <v>11.497667840000018</v>
          </cell>
        </row>
        <row r="75">
          <cell r="K75">
            <v>3.22947916075083</v>
          </cell>
          <cell r="L75">
            <v>7.1863210523547201</v>
          </cell>
          <cell r="O75">
            <v>2.9235461118175441</v>
          </cell>
          <cell r="P75">
            <v>5.2068098362086896</v>
          </cell>
        </row>
        <row r="76">
          <cell r="K76">
            <v>-4.7997129999999999E-2</v>
          </cell>
          <cell r="L76">
            <v>-0.323111335709587</v>
          </cell>
          <cell r="O76">
            <v>-3.9560089999999999E-2</v>
          </cell>
          <cell r="P76">
            <v>-3.8501141455503041E-2</v>
          </cell>
        </row>
        <row r="77">
          <cell r="K77">
            <v>-6.339299999992648E-2</v>
          </cell>
          <cell r="L77">
            <v>-0.42882999999993138</v>
          </cell>
          <cell r="O77">
            <v>-3.1795999999840556E-2</v>
          </cell>
          <cell r="P77">
            <v>-0.42882999999985344</v>
          </cell>
        </row>
        <row r="78">
          <cell r="K78">
            <v>0.14132396174214193</v>
          </cell>
          <cell r="L78">
            <v>0.12319845330175049</v>
          </cell>
          <cell r="O78">
            <v>0.20695777031459825</v>
          </cell>
          <cell r="P78">
            <v>0.21047758790525128</v>
          </cell>
        </row>
        <row r="86">
          <cell r="AC86">
            <v>0</v>
          </cell>
          <cell r="AD86">
            <v>0</v>
          </cell>
          <cell r="AG86">
            <v>0</v>
          </cell>
          <cell r="AH86">
            <v>0</v>
          </cell>
        </row>
        <row r="95">
          <cell r="L95">
            <v>-6.3805069999999997</v>
          </cell>
        </row>
        <row r="101">
          <cell r="L101">
            <v>4.7774999999999999</v>
          </cell>
        </row>
        <row r="113">
          <cell r="L113">
            <v>21.694546025806837</v>
          </cell>
          <cell r="P113">
            <v>18.940336630247227</v>
          </cell>
        </row>
        <row r="114">
          <cell r="L114">
            <v>-0.93195370906623498</v>
          </cell>
          <cell r="P114">
            <v>-0.71106525641979601</v>
          </cell>
        </row>
        <row r="115">
          <cell r="K115">
            <v>28.1451873792942</v>
          </cell>
          <cell r="L115">
            <v>20.762592316740601</v>
          </cell>
          <cell r="O115">
            <v>20.100309360086811</v>
          </cell>
          <cell r="P115">
            <v>18.22927137382743</v>
          </cell>
        </row>
        <row r="116">
          <cell r="L116">
            <v>6.3805069999999979</v>
          </cell>
          <cell r="P116">
            <v>3.1902534999999976</v>
          </cell>
        </row>
        <row r="117">
          <cell r="K117">
            <v>28.1451873792942</v>
          </cell>
          <cell r="L117">
            <v>27.143099316740599</v>
          </cell>
          <cell r="O117">
            <v>20.100309360086811</v>
          </cell>
          <cell r="P117">
            <v>21.419524873827427</v>
          </cell>
        </row>
        <row r="118">
          <cell r="K118">
            <v>9.1105113685433405</v>
          </cell>
          <cell r="L118">
            <v>8.8124845000955219</v>
          </cell>
          <cell r="O118">
            <v>4.6945271282691809</v>
          </cell>
          <cell r="P118">
            <v>4.4211624590741918</v>
          </cell>
        </row>
        <row r="119">
          <cell r="K119">
            <v>2.6586689999858137E-2</v>
          </cell>
          <cell r="L119">
            <v>-2.4496560000123679E-2</v>
          </cell>
          <cell r="O119">
            <v>-1.829647544582258E-13</v>
          </cell>
          <cell r="P119">
            <v>-4.0287620000115432E-2</v>
          </cell>
        </row>
        <row r="120">
          <cell r="K120">
            <v>19.008089320751001</v>
          </cell>
          <cell r="L120">
            <v>18.355111376645201</v>
          </cell>
          <cell r="O120">
            <v>15.405782231817811</v>
          </cell>
          <cell r="P120">
            <v>17.038650034753353</v>
          </cell>
        </row>
        <row r="121">
          <cell r="L121">
            <v>-1.6030070000000016</v>
          </cell>
          <cell r="P121">
            <v>-0.80150350000000115</v>
          </cell>
        </row>
        <row r="122">
          <cell r="K122">
            <v>19.008089320751001</v>
          </cell>
          <cell r="L122">
            <v>16.7521043766452</v>
          </cell>
          <cell r="O122">
            <v>15.405782231817811</v>
          </cell>
          <cell r="P122">
            <v>16.23714653475335</v>
          </cell>
        </row>
      </sheetData>
      <sheetData sheetId="3">
        <row r="10">
          <cell r="K10">
            <v>104.53132133614</v>
          </cell>
          <cell r="L10">
            <v>109.560748706683</v>
          </cell>
          <cell r="O10">
            <v>55.473781448534794</v>
          </cell>
          <cell r="P10">
            <v>58.439421658123301</v>
          </cell>
        </row>
        <row r="11">
          <cell r="K11">
            <v>94.209325238749003</v>
          </cell>
          <cell r="L11">
            <v>100.257352177893</v>
          </cell>
          <cell r="O11">
            <v>50.366360149835707</v>
          </cell>
          <cell r="P11">
            <v>54.606470981266</v>
          </cell>
        </row>
        <row r="12">
          <cell r="K12">
            <v>51.4288907278384</v>
          </cell>
          <cell r="L12">
            <v>49.822359904582001</v>
          </cell>
          <cell r="O12">
            <v>27.845975706348799</v>
          </cell>
          <cell r="P12">
            <v>28.427429800497201</v>
          </cell>
        </row>
        <row r="13">
          <cell r="K13">
            <v>30.714250829344298</v>
          </cell>
          <cell r="L13">
            <v>35.218538424773598</v>
          </cell>
          <cell r="O13">
            <v>15.494425023075399</v>
          </cell>
          <cell r="P13">
            <v>17.859490229428197</v>
          </cell>
        </row>
        <row r="14">
          <cell r="K14">
            <v>12.066183681566304</v>
          </cell>
          <cell r="L14">
            <v>15.216453848537398</v>
          </cell>
          <cell r="O14">
            <v>7.0259594204115086</v>
          </cell>
          <cell r="P14">
            <v>8.3195509513406023</v>
          </cell>
        </row>
        <row r="15">
          <cell r="K15">
            <v>10.321996097390993</v>
          </cell>
          <cell r="L15">
            <v>9.3033965287900031</v>
          </cell>
          <cell r="O15">
            <v>5.1074212986990872</v>
          </cell>
          <cell r="P15">
            <v>3.8329506768573012</v>
          </cell>
        </row>
        <row r="16">
          <cell r="K16">
            <v>1.64478109274442</v>
          </cell>
          <cell r="L16">
            <v>-1.9754900305188399</v>
          </cell>
          <cell r="O16">
            <v>4.7164915282073903</v>
          </cell>
          <cell r="P16">
            <v>1.1009490091024603</v>
          </cell>
        </row>
        <row r="17">
          <cell r="K17">
            <v>2.6728670159620003</v>
          </cell>
          <cell r="L17">
            <v>0.51899427865412007</v>
          </cell>
          <cell r="O17">
            <v>4.7567255617410904</v>
          </cell>
          <cell r="P17">
            <v>1.8368348194535895</v>
          </cell>
        </row>
        <row r="18">
          <cell r="K18">
            <v>2.8371575841227126E-2</v>
          </cell>
          <cell r="L18">
            <v>5.1766206405814063E-3</v>
          </cell>
          <cell r="O18">
            <v>9.4442511779493893E-2</v>
          </cell>
          <cell r="P18">
            <v>3.3637676752335047E-2</v>
          </cell>
        </row>
        <row r="19">
          <cell r="K19">
            <v>-1.0280859232175803</v>
          </cell>
          <cell r="L19">
            <v>-2.49448430917296</v>
          </cell>
          <cell r="O19">
            <v>-4.0234033533700364E-2</v>
          </cell>
          <cell r="P19">
            <v>-0.73588581035112943</v>
          </cell>
        </row>
        <row r="20">
          <cell r="K20">
            <v>-3.2178184927224303</v>
          </cell>
          <cell r="L20">
            <v>-6.3109036007709447</v>
          </cell>
          <cell r="O20">
            <v>2.2010069286425793</v>
          </cell>
          <cell r="P20">
            <v>-1.113293065964637</v>
          </cell>
        </row>
        <row r="21">
          <cell r="K21">
            <v>-1.2584619106254498</v>
          </cell>
          <cell r="L21">
            <v>-3.2196918547650384</v>
          </cell>
          <cell r="O21">
            <v>2.7411846502580102</v>
          </cell>
          <cell r="P21">
            <v>-8.5296752512129537E-2</v>
          </cell>
        </row>
        <row r="22">
          <cell r="K22">
            <v>-1.3358145888808839E-2</v>
          </cell>
          <cell r="L22">
            <v>-3.2114271769836236E-2</v>
          </cell>
          <cell r="O22">
            <v>5.4424910636846006E-2</v>
          </cell>
          <cell r="P22">
            <v>-1.5620264591240942E-3</v>
          </cell>
        </row>
        <row r="23">
          <cell r="K23">
            <v>-1.9593565820969805</v>
          </cell>
          <cell r="L23">
            <v>-3.0912117460059063</v>
          </cell>
          <cell r="O23">
            <v>-0.54017772161543087</v>
          </cell>
          <cell r="P23">
            <v>-1.0279963134525074</v>
          </cell>
        </row>
        <row r="28">
          <cell r="K28">
            <v>104.53132133614</v>
          </cell>
          <cell r="L28">
            <v>109.560748706683</v>
          </cell>
          <cell r="O28">
            <v>55.473781448534794</v>
          </cell>
          <cell r="P28">
            <v>58.439421658123301</v>
          </cell>
        </row>
        <row r="29">
          <cell r="K29">
            <v>94.209325238749003</v>
          </cell>
          <cell r="L29">
            <v>100.257352177893</v>
          </cell>
          <cell r="O29">
            <v>50.366360149835707</v>
          </cell>
          <cell r="P29">
            <v>54.606470981266</v>
          </cell>
        </row>
        <row r="30">
          <cell r="K30">
            <v>51.4288907278384</v>
          </cell>
          <cell r="L30">
            <v>49.822359904582001</v>
          </cell>
          <cell r="O30">
            <v>27.845975706348799</v>
          </cell>
          <cell r="P30">
            <v>28.427429800497201</v>
          </cell>
        </row>
        <row r="31">
          <cell r="K31">
            <v>30.714250829344298</v>
          </cell>
          <cell r="L31">
            <v>35.218538424773598</v>
          </cell>
          <cell r="O31">
            <v>15.494425023075399</v>
          </cell>
          <cell r="P31">
            <v>17.859490229428197</v>
          </cell>
        </row>
        <row r="32">
          <cell r="K32">
            <v>12.066183681566304</v>
          </cell>
          <cell r="L32">
            <v>15.216453848537398</v>
          </cell>
          <cell r="O32">
            <v>7.0259594204115086</v>
          </cell>
          <cell r="P32">
            <v>8.3195509513406023</v>
          </cell>
        </row>
        <row r="33">
          <cell r="K33">
            <v>10.321996097390993</v>
          </cell>
          <cell r="L33">
            <v>9.3033965287900031</v>
          </cell>
          <cell r="O33">
            <v>5.1074212986990872</v>
          </cell>
          <cell r="P33">
            <v>3.8329506768573012</v>
          </cell>
        </row>
        <row r="34">
          <cell r="K34">
            <v>101.858454320178</v>
          </cell>
          <cell r="L34">
            <v>111.30975080265608</v>
          </cell>
          <cell r="O34">
            <v>50.717055886793709</v>
          </cell>
          <cell r="P34">
            <v>57.736585025983317</v>
          </cell>
        </row>
        <row r="35">
          <cell r="K35">
            <v>91.536458222787005</v>
          </cell>
          <cell r="L35">
            <v>102.00635427386608</v>
          </cell>
          <cell r="O35">
            <v>45.609634588094622</v>
          </cell>
          <cell r="P35">
            <v>53.903634349126015</v>
          </cell>
        </row>
        <row r="36">
          <cell r="K36">
            <v>10.321996097390993</v>
          </cell>
          <cell r="L36">
            <v>9.3033965287900031</v>
          </cell>
          <cell r="O36">
            <v>5.1074212986990872</v>
          </cell>
          <cell r="P36">
            <v>3.8329506768573012</v>
          </cell>
        </row>
        <row r="37">
          <cell r="K37">
            <v>1.64478109274442</v>
          </cell>
          <cell r="L37">
            <v>-4.7032608451460405</v>
          </cell>
          <cell r="O37">
            <v>4.7164915282073903</v>
          </cell>
          <cell r="P37">
            <v>-0.26293377821114028</v>
          </cell>
        </row>
        <row r="38">
          <cell r="K38">
            <v>2.6728670159620003</v>
          </cell>
          <cell r="L38">
            <v>-1.7490020959730801</v>
          </cell>
          <cell r="O38">
            <v>4.7567255617410904</v>
          </cell>
          <cell r="P38">
            <v>0.7028366321399897</v>
          </cell>
        </row>
        <row r="39">
          <cell r="K39">
            <v>2.8371575841227126E-2</v>
          </cell>
          <cell r="L39">
            <v>-1.7445125549193783E-2</v>
          </cell>
          <cell r="O39">
            <v>9.4442511779493893E-2</v>
          </cell>
          <cell r="P39">
            <v>1.287094037593299E-2</v>
          </cell>
        </row>
        <row r="40">
          <cell r="K40">
            <v>-1.0280859232175803</v>
          </cell>
          <cell r="L40">
            <v>-2.9542587491729604</v>
          </cell>
          <cell r="O40">
            <v>-4.0234033533700364E-2</v>
          </cell>
          <cell r="P40">
            <v>-0.96577041035112998</v>
          </cell>
        </row>
        <row r="41">
          <cell r="K41">
            <v>-3.2178184927224303</v>
          </cell>
          <cell r="L41">
            <v>-7.0530621877385906</v>
          </cell>
          <cell r="O41">
            <v>2.2010069286425793</v>
          </cell>
          <cell r="P41">
            <v>-1.4843697394484598</v>
          </cell>
        </row>
        <row r="42">
          <cell r="K42">
            <v>-1.2584619106254498</v>
          </cell>
          <cell r="L42">
            <v>-3.8402095417194402</v>
          </cell>
          <cell r="O42">
            <v>2.7411846502580102</v>
          </cell>
          <cell r="P42">
            <v>-0.39555559598933021</v>
          </cell>
        </row>
        <row r="43">
          <cell r="K43">
            <v>-1.3358145888808839E-2</v>
          </cell>
          <cell r="L43">
            <v>-3.8303520473047324E-2</v>
          </cell>
          <cell r="O43">
            <v>5.4424910636846006E-2</v>
          </cell>
          <cell r="P43">
            <v>-7.2437494839216882E-3</v>
          </cell>
        </row>
        <row r="44">
          <cell r="K44">
            <v>-1.9593565820969805</v>
          </cell>
          <cell r="L44">
            <v>-3.2128526460191504</v>
          </cell>
          <cell r="O44">
            <v>-0.54017772161543087</v>
          </cell>
          <cell r="P44">
            <v>-1.0888141434591296</v>
          </cell>
        </row>
        <row r="52">
          <cell r="AC52">
            <v>0</v>
          </cell>
          <cell r="AD52">
            <v>0</v>
          </cell>
          <cell r="AG52">
            <v>0</v>
          </cell>
          <cell r="AH52">
            <v>0</v>
          </cell>
        </row>
        <row r="60">
          <cell r="L60">
            <v>-2.2679963746272001</v>
          </cell>
          <cell r="O60">
            <v>0</v>
          </cell>
          <cell r="P60">
            <v>-1.1339981873135998</v>
          </cell>
        </row>
        <row r="61">
          <cell r="L61">
            <v>-0.45977443999999995</v>
          </cell>
          <cell r="O61">
            <v>0</v>
          </cell>
          <cell r="P61">
            <v>-0.22988459999999997</v>
          </cell>
        </row>
        <row r="67">
          <cell r="L67">
            <v>1.6474786876727989</v>
          </cell>
        </row>
        <row r="68">
          <cell r="L68">
            <v>0.33813353998675627</v>
          </cell>
        </row>
        <row r="81">
          <cell r="L81">
            <v>-3.6011698262438907</v>
          </cell>
          <cell r="P81">
            <v>0.33136716025293333</v>
          </cell>
        </row>
        <row r="82">
          <cell r="L82">
            <v>-1.10209101890215</v>
          </cell>
          <cell r="P82">
            <v>-0.59430093846407395</v>
          </cell>
        </row>
        <row r="83">
          <cell r="K83">
            <v>1.64478109274442</v>
          </cell>
          <cell r="L83">
            <v>-4.7032608451460405</v>
          </cell>
          <cell r="O83">
            <v>4.7164915282073903</v>
          </cell>
          <cell r="P83">
            <v>-0.26293377821114028</v>
          </cell>
        </row>
        <row r="84">
          <cell r="L84">
            <v>2.7277708146272008</v>
          </cell>
          <cell r="P84">
            <v>1.3638827873136008</v>
          </cell>
        </row>
        <row r="85">
          <cell r="K85">
            <v>1.64478109274442</v>
          </cell>
          <cell r="L85">
            <v>-1.9754900305188399</v>
          </cell>
          <cell r="O85">
            <v>4.7164915282073903</v>
          </cell>
          <cell r="P85">
            <v>1.1009490091024603</v>
          </cell>
        </row>
        <row r="86">
          <cell r="K86">
            <v>4.86259958546683</v>
          </cell>
          <cell r="L86">
            <v>4.3354135702520855</v>
          </cell>
          <cell r="O86">
            <v>2.5154845995647799</v>
          </cell>
          <cell r="P86">
            <v>2.2142420750670877</v>
          </cell>
        </row>
        <row r="87">
          <cell r="K87">
            <v>2.042810365310288E-14</v>
          </cell>
          <cell r="L87">
            <v>1.9539925233402755E-14</v>
          </cell>
          <cell r="O87">
            <v>3.1086244689504383E-14</v>
          </cell>
          <cell r="P87">
            <v>9.7699626167013776E-15</v>
          </cell>
        </row>
        <row r="88">
          <cell r="K88">
            <v>-3.2178184927224303</v>
          </cell>
          <cell r="L88">
            <v>-6.3109036007709447</v>
          </cell>
          <cell r="O88">
            <v>2.2010069286425793</v>
          </cell>
          <cell r="P88">
            <v>-1.113293065964637</v>
          </cell>
        </row>
        <row r="89">
          <cell r="L89">
            <v>-0.74215858696764592</v>
          </cell>
          <cell r="P89">
            <v>-0.37107667348382289</v>
          </cell>
        </row>
        <row r="90">
          <cell r="K90">
            <v>-3.2178184927224303</v>
          </cell>
          <cell r="L90">
            <v>-7.0530621877385906</v>
          </cell>
          <cell r="O90">
            <v>2.2010069286425793</v>
          </cell>
          <cell r="P90">
            <v>-1.4843697394484598</v>
          </cell>
        </row>
        <row r="94">
          <cell r="L94">
            <v>-0.75073232798462108</v>
          </cell>
          <cell r="P94">
            <v>1.2054419750119196</v>
          </cell>
        </row>
        <row r="95">
          <cell r="L95">
            <v>-0.99826976798845901</v>
          </cell>
          <cell r="P95">
            <v>-0.50260534287192993</v>
          </cell>
        </row>
        <row r="96">
          <cell r="K96">
            <v>2.6728670159620003</v>
          </cell>
          <cell r="L96">
            <v>-1.7490020959730801</v>
          </cell>
          <cell r="O96">
            <v>4.7567255617410904</v>
          </cell>
          <cell r="P96">
            <v>0.7028366321399897</v>
          </cell>
        </row>
        <row r="97">
          <cell r="L97">
            <v>2.2679963746272001</v>
          </cell>
          <cell r="P97">
            <v>1.1339981873135998</v>
          </cell>
        </row>
        <row r="98">
          <cell r="K98">
            <v>2.6728670159620003</v>
          </cell>
          <cell r="L98">
            <v>0.51899427865412007</v>
          </cell>
          <cell r="O98">
            <v>4.7567255617410904</v>
          </cell>
          <cell r="P98">
            <v>1.8368348194535895</v>
          </cell>
        </row>
        <row r="99">
          <cell r="K99">
            <v>3.9313289265874398</v>
          </cell>
          <cell r="L99">
            <v>3.7386861334191588</v>
          </cell>
          <cell r="O99">
            <v>2.0155409114830598</v>
          </cell>
          <cell r="P99">
            <v>1.9221315719657224</v>
          </cell>
        </row>
        <row r="100">
          <cell r="K100">
            <v>1.021405182655144E-14</v>
          </cell>
          <cell r="L100">
            <v>0</v>
          </cell>
          <cell r="O100">
            <v>2.042810365310288E-14</v>
          </cell>
          <cell r="P100">
            <v>-2.886579864025407E-15</v>
          </cell>
        </row>
        <row r="101">
          <cell r="K101">
            <v>-1.2584619106254498</v>
          </cell>
          <cell r="L101">
            <v>-3.2196918547650384</v>
          </cell>
          <cell r="O101">
            <v>2.7411846502580102</v>
          </cell>
          <cell r="P101">
            <v>-8.5296752512129537E-2</v>
          </cell>
        </row>
        <row r="102">
          <cell r="L102">
            <v>-0.62051768695440179</v>
          </cell>
          <cell r="P102">
            <v>-0.31025884347720067</v>
          </cell>
        </row>
        <row r="103">
          <cell r="K103">
            <v>-1.2584619106254498</v>
          </cell>
          <cell r="L103">
            <v>-3.8402095417194402</v>
          </cell>
          <cell r="O103">
            <v>2.7411846502580102</v>
          </cell>
          <cell r="P103">
            <v>-0.39555559598933021</v>
          </cell>
        </row>
      </sheetData>
      <sheetData sheetId="4">
        <row r="10">
          <cell r="K10">
            <v>86.382826129999998</v>
          </cell>
          <cell r="L10">
            <v>86.875861970000003</v>
          </cell>
          <cell r="O10">
            <v>47.075622589999995</v>
          </cell>
          <cell r="P10">
            <v>48.148876989999998</v>
          </cell>
        </row>
        <row r="11">
          <cell r="K11">
            <v>58.98630919</v>
          </cell>
          <cell r="L11">
            <v>58.599776680000005</v>
          </cell>
          <cell r="O11">
            <v>33.736567550000004</v>
          </cell>
          <cell r="P11">
            <v>34.321687040000008</v>
          </cell>
        </row>
        <row r="12">
          <cell r="K12">
            <v>27.396516939999998</v>
          </cell>
          <cell r="L12">
            <v>28.276085289999997</v>
          </cell>
          <cell r="O12">
            <v>13.339055039999995</v>
          </cell>
          <cell r="P12">
            <v>13.82718994999999</v>
          </cell>
        </row>
        <row r="13">
          <cell r="K13">
            <v>14.241243332884601</v>
          </cell>
          <cell r="L13">
            <v>20.6061423541511</v>
          </cell>
          <cell r="O13">
            <v>13.23796180506328</v>
          </cell>
          <cell r="P13">
            <v>14.817151851432378</v>
          </cell>
        </row>
        <row r="14">
          <cell r="K14">
            <v>0.16486197512746972</v>
          </cell>
          <cell r="L14">
            <v>0.23719065211999646</v>
          </cell>
          <cell r="O14">
            <v>0.28120630332089003</v>
          </cell>
          <cell r="P14">
            <v>0.30773618779332568</v>
          </cell>
        </row>
        <row r="15">
          <cell r="K15">
            <v>9.842636722884599</v>
          </cell>
          <cell r="L15">
            <v>16.387478831487595</v>
          </cell>
          <cell r="O15">
            <v>10.999255225063269</v>
          </cell>
          <cell r="P15">
            <v>12.720931045100627</v>
          </cell>
        </row>
        <row r="16">
          <cell r="K16">
            <v>0.1139420549643992</v>
          </cell>
          <cell r="L16">
            <v>0.18863097827042596</v>
          </cell>
          <cell r="O16">
            <v>0.23365076487378794</v>
          </cell>
          <cell r="P16">
            <v>0.26419995315244066</v>
          </cell>
        </row>
        <row r="22">
          <cell r="K22">
            <v>86.382826129999998</v>
          </cell>
          <cell r="L22">
            <v>86.875861970000003</v>
          </cell>
          <cell r="O22">
            <v>47.075622589999995</v>
          </cell>
          <cell r="P22">
            <v>48.148876989999998</v>
          </cell>
        </row>
        <row r="23">
          <cell r="K23">
            <v>58.98630919</v>
          </cell>
          <cell r="L23">
            <v>58.599776680000005</v>
          </cell>
          <cell r="O23">
            <v>33.736567550000004</v>
          </cell>
          <cell r="P23">
            <v>34.321687040000008</v>
          </cell>
        </row>
        <row r="24">
          <cell r="K24">
            <v>27.396516939999998</v>
          </cell>
          <cell r="L24">
            <v>28.276085289999997</v>
          </cell>
          <cell r="O24">
            <v>13.339055039999995</v>
          </cell>
          <cell r="P24">
            <v>13.82718994999999</v>
          </cell>
        </row>
        <row r="25">
          <cell r="K25">
            <v>72.141582797115404</v>
          </cell>
          <cell r="L25">
            <v>67.448863858348901</v>
          </cell>
          <cell r="O25">
            <v>33.837660784936723</v>
          </cell>
          <cell r="P25">
            <v>33.921297259817614</v>
          </cell>
        </row>
        <row r="26">
          <cell r="K26">
            <v>14.241243332884601</v>
          </cell>
          <cell r="L26">
            <v>19.426998111651102</v>
          </cell>
          <cell r="O26">
            <v>13.23796180506328</v>
          </cell>
          <cell r="P26">
            <v>14.227579730182381</v>
          </cell>
        </row>
        <row r="27">
          <cell r="K27">
            <v>0.16486197512746972</v>
          </cell>
          <cell r="L27">
            <v>0.22361790342131671</v>
          </cell>
          <cell r="O27">
            <v>0.28120630332089003</v>
          </cell>
          <cell r="P27">
            <v>0.29549141370705895</v>
          </cell>
        </row>
        <row r="28">
          <cell r="K28">
            <v>9.842636722884599</v>
          </cell>
          <cell r="L28">
            <v>16.3987185016511</v>
          </cell>
          <cell r="O28">
            <v>10.999255225063269</v>
          </cell>
          <cell r="P28">
            <v>12.72655088018238</v>
          </cell>
        </row>
        <row r="29">
          <cell r="K29">
            <v>0.1139420549643992</v>
          </cell>
          <cell r="L29">
            <v>0.18876035448504569</v>
          </cell>
          <cell r="O29">
            <v>0.23365076487378794</v>
          </cell>
          <cell r="P29">
            <v>0.26431667103732343</v>
          </cell>
        </row>
        <row r="37">
          <cell r="AC37">
            <v>0</v>
          </cell>
          <cell r="AD37">
            <v>0</v>
          </cell>
          <cell r="AG37">
            <v>0</v>
          </cell>
          <cell r="AH37">
            <v>0</v>
          </cell>
        </row>
        <row r="45">
          <cell r="L45">
            <v>-1.1791442425000003</v>
          </cell>
        </row>
        <row r="51">
          <cell r="L51">
            <v>1.1903839126635036</v>
          </cell>
        </row>
        <row r="64">
          <cell r="L64">
            <v>19.573557901651103</v>
          </cell>
          <cell r="O64">
            <v>0</v>
          </cell>
          <cell r="P64">
            <v>14.322198780182383</v>
          </cell>
        </row>
        <row r="65">
          <cell r="L65">
            <v>-0.14655979</v>
          </cell>
          <cell r="O65">
            <v>0</v>
          </cell>
          <cell r="P65">
            <v>-9.4619049999999996E-2</v>
          </cell>
        </row>
        <row r="66">
          <cell r="K66">
            <v>14.241243332884601</v>
          </cell>
          <cell r="L66">
            <v>19.426998111651102</v>
          </cell>
          <cell r="O66">
            <v>13.23796180506328</v>
          </cell>
          <cell r="P66">
            <v>14.227579730182381</v>
          </cell>
        </row>
        <row r="67">
          <cell r="L67">
            <v>1.1791442424999978</v>
          </cell>
          <cell r="P67">
            <v>0.58957212124999714</v>
          </cell>
        </row>
        <row r="68">
          <cell r="K68">
            <v>14.241243332884601</v>
          </cell>
          <cell r="L68">
            <v>20.6061423541511</v>
          </cell>
          <cell r="O68">
            <v>13.23796180506328</v>
          </cell>
          <cell r="P68">
            <v>14.817151851432378</v>
          </cell>
        </row>
        <row r="69">
          <cell r="K69">
            <v>4.3986066099999999</v>
          </cell>
          <cell r="L69">
            <v>4.2186635226635039</v>
          </cell>
          <cell r="O69">
            <v>2.2387065800000001</v>
          </cell>
          <cell r="P69">
            <v>2.0962208063317522</v>
          </cell>
        </row>
        <row r="70">
          <cell r="K70">
            <v>0</v>
          </cell>
          <cell r="L70">
            <v>0</v>
          </cell>
          <cell r="O70">
            <v>9.3258734068513149E-15</v>
          </cell>
          <cell r="P70">
            <v>0</v>
          </cell>
        </row>
        <row r="71">
          <cell r="K71">
            <v>9.842636722884599</v>
          </cell>
          <cell r="L71">
            <v>16.387478831487595</v>
          </cell>
          <cell r="O71">
            <v>10.999255225063269</v>
          </cell>
          <cell r="P71">
            <v>12.720931045100627</v>
          </cell>
        </row>
        <row r="72">
          <cell r="L72">
            <v>1.1239670163504911E-2</v>
          </cell>
          <cell r="P72">
            <v>5.6198350817533438E-3</v>
          </cell>
        </row>
        <row r="73">
          <cell r="K73">
            <v>9.842636722884599</v>
          </cell>
          <cell r="L73">
            <v>16.3987185016511</v>
          </cell>
          <cell r="O73">
            <v>10.999255225063269</v>
          </cell>
          <cell r="P73">
            <v>12.72655088018238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44F-1A0B-43EC-82AC-C8F49B92B74E}">
  <sheetPr>
    <pageSetUpPr fitToPage="1"/>
  </sheetPr>
  <dimension ref="A2:BE196"/>
  <sheetViews>
    <sheetView tabSelected="1" workbookViewId="0">
      <selection activeCell="B7" sqref="B7"/>
    </sheetView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/>
    <col min="9" max="9" width="6.85546875" style="1" customWidth="1"/>
    <col min="10" max="12" width="11.42578125" style="1"/>
    <col min="13" max="13" width="0.85546875" style="1" customWidth="1"/>
    <col min="14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6.85546875" style="1" customWidth="1"/>
    <col min="21" max="23" width="11.42578125" style="1"/>
    <col min="24" max="24" width="0.85546875" style="1" customWidth="1"/>
    <col min="25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6.85546875" style="1" customWidth="1"/>
    <col min="32" max="34" width="11.42578125" style="1"/>
    <col min="35" max="35" width="0.85546875" style="1" customWidth="1"/>
    <col min="36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6.85546875" style="1" customWidth="1"/>
    <col min="43" max="45" width="11.42578125" style="1"/>
    <col min="46" max="46" width="0.85546875" style="1" customWidth="1"/>
    <col min="47" max="47" width="11.42578125" style="1"/>
    <col min="48" max="48" width="48.7109375" style="1" customWidth="1"/>
    <col min="49" max="49" width="0.85546875" style="1" customWidth="1"/>
    <col min="50" max="52" width="11.42578125" style="1"/>
    <col min="53" max="53" width="6.85546875" style="1" customWidth="1"/>
    <col min="54" max="56" width="11.42578125" style="1"/>
    <col min="57" max="57" width="0.85546875" style="1" customWidth="1"/>
    <col min="58" max="16384" width="11.42578125" style="1"/>
  </cols>
  <sheetData>
    <row r="2" spans="1:57" ht="13.5" thickBot="1"/>
    <row r="3" spans="1:57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I3" s="4"/>
      <c r="J3" s="4"/>
      <c r="K3" s="5"/>
      <c r="L3" s="4"/>
      <c r="O3" s="3" t="str">
        <f>+IF($B$3="esp","EDUCACIÓN","EDUCATION")</f>
        <v>EDUCATION</v>
      </c>
      <c r="P3" s="4"/>
      <c r="Q3" s="4"/>
      <c r="R3" s="5"/>
      <c r="S3" s="4"/>
      <c r="T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E3" s="4"/>
      <c r="AF3" s="4"/>
      <c r="AG3" s="5"/>
      <c r="AH3" s="4"/>
      <c r="AK3" s="3" t="str">
        <f>+IF($B$3="esp","PRENSA - incluye PBS y Tecnología","PRESS - includes PBS &amp; IT")</f>
        <v>PRESS - includes PBS &amp; IT</v>
      </c>
      <c r="AL3" s="4"/>
      <c r="AM3" s="4"/>
      <c r="AN3" s="5"/>
      <c r="AO3" s="4"/>
      <c r="AP3" s="4"/>
      <c r="AQ3" s="4"/>
      <c r="AR3" s="5"/>
      <c r="AS3" s="4"/>
      <c r="AV3" s="3" t="str">
        <f>+IF($B$3="esp","MEDIA CAPITAL","MEDIA CAPITAL")</f>
        <v>MEDIA CAPITAL</v>
      </c>
      <c r="AW3" s="4"/>
      <c r="AX3" s="4"/>
      <c r="AY3" s="5"/>
      <c r="AZ3" s="4"/>
      <c r="BA3" s="4"/>
      <c r="BB3" s="4"/>
      <c r="BC3" s="5"/>
      <c r="BD3" s="4"/>
    </row>
    <row r="4" spans="1:57">
      <c r="A4" s="1" t="s">
        <v>2</v>
      </c>
      <c r="B4" s="6" t="s">
        <v>3</v>
      </c>
    </row>
    <row r="5" spans="1:57">
      <c r="A5" s="1" t="s">
        <v>4</v>
      </c>
      <c r="B5" s="1" t="s">
        <v>1</v>
      </c>
    </row>
    <row r="6" spans="1:57">
      <c r="F6" s="7" t="str">
        <f>+IF($B$3="esp","ENERO - MARZO","JANUARY - MARCH")</f>
        <v>JANUARY - MARCH</v>
      </c>
      <c r="G6" s="8"/>
      <c r="H6" s="8"/>
      <c r="J6" s="7" t="str">
        <f>+IF($B$3="esp","ABRIL - JUNIO","APRIL - JUNE")</f>
        <v>APRIL - JUNE</v>
      </c>
      <c r="K6" s="8"/>
      <c r="L6" s="8"/>
      <c r="Q6" s="7" t="str">
        <f>+$F$6</f>
        <v>JANUARY - MARCH</v>
      </c>
      <c r="R6" s="8"/>
      <c r="S6" s="8"/>
      <c r="U6" s="7" t="str">
        <f>+$J$6</f>
        <v>APRIL - JUNE</v>
      </c>
      <c r="V6" s="8"/>
      <c r="W6" s="8"/>
      <c r="AB6" s="7" t="str">
        <f>+$F$6</f>
        <v>JANUARY - MARCH</v>
      </c>
      <c r="AC6" s="8"/>
      <c r="AD6" s="8"/>
      <c r="AF6" s="7" t="str">
        <f>+$J$6</f>
        <v>APRIL - JUNE</v>
      </c>
      <c r="AG6" s="8"/>
      <c r="AH6" s="8"/>
      <c r="AM6" s="7" t="str">
        <f>+$F$6</f>
        <v>JANUARY - MARCH</v>
      </c>
      <c r="AN6" s="8"/>
      <c r="AO6" s="8"/>
      <c r="AQ6" s="7" t="str">
        <f>+$J$6</f>
        <v>APRIL - JUNE</v>
      </c>
      <c r="AR6" s="8"/>
      <c r="AS6" s="8"/>
      <c r="AX6" s="7" t="str">
        <f>+$F$6</f>
        <v>JANUARY - MARCH</v>
      </c>
      <c r="AY6" s="8"/>
      <c r="AZ6" s="8"/>
      <c r="BB6" s="7" t="str">
        <f>+$J$6</f>
        <v>APRIL - JUNE</v>
      </c>
      <c r="BC6" s="8"/>
      <c r="BD6" s="8"/>
    </row>
    <row r="8" spans="1:57">
      <c r="D8" s="9" t="str">
        <f>+IF($B$3="esp","Millones de €","€ Millions")</f>
        <v>€ Millions</v>
      </c>
      <c r="F8" s="10">
        <v>2019</v>
      </c>
      <c r="G8" s="10">
        <v>2018</v>
      </c>
      <c r="H8" s="10" t="s">
        <v>5</v>
      </c>
      <c r="J8" s="10">
        <v>2019</v>
      </c>
      <c r="K8" s="10">
        <v>2018</v>
      </c>
      <c r="L8" s="10" t="s">
        <v>5</v>
      </c>
      <c r="O8" s="9" t="str">
        <f>+IF($B$3="esp","Millones de €","€ Millions")</f>
        <v>€ Millions</v>
      </c>
      <c r="Q8" s="10">
        <v>2019</v>
      </c>
      <c r="R8" s="10">
        <v>2018</v>
      </c>
      <c r="S8" s="10" t="s">
        <v>5</v>
      </c>
      <c r="U8" s="10">
        <v>2019</v>
      </c>
      <c r="V8" s="10">
        <v>2018</v>
      </c>
      <c r="W8" s="10" t="s">
        <v>5</v>
      </c>
      <c r="Z8" s="9" t="str">
        <f>+IF($B$3="esp","Millones de €","€ Millions")</f>
        <v>€ Millions</v>
      </c>
      <c r="AB8" s="10">
        <v>2019</v>
      </c>
      <c r="AC8" s="10">
        <v>2018</v>
      </c>
      <c r="AD8" s="10" t="s">
        <v>5</v>
      </c>
      <c r="AF8" s="10">
        <v>2019</v>
      </c>
      <c r="AG8" s="10">
        <v>2018</v>
      </c>
      <c r="AH8" s="10" t="s">
        <v>5</v>
      </c>
      <c r="AK8" s="9" t="str">
        <f>+IF($B$3="esp","Millones de €","€ Millions")</f>
        <v>€ Millions</v>
      </c>
      <c r="AM8" s="10">
        <v>2019</v>
      </c>
      <c r="AN8" s="10">
        <v>2018</v>
      </c>
      <c r="AO8" s="10" t="s">
        <v>5</v>
      </c>
      <c r="AQ8" s="10">
        <v>2019</v>
      </c>
      <c r="AR8" s="10">
        <v>2018</v>
      </c>
      <c r="AS8" s="10" t="s">
        <v>5</v>
      </c>
      <c r="AV8" s="9" t="str">
        <f>+IF($B$3="esp","Millones de €","€ Millions")</f>
        <v>€ Millions</v>
      </c>
      <c r="AX8" s="10">
        <v>2019</v>
      </c>
      <c r="AY8" s="10">
        <v>2018</v>
      </c>
      <c r="AZ8" s="10" t="s">
        <v>5</v>
      </c>
      <c r="BB8" s="10">
        <v>2019</v>
      </c>
      <c r="BC8" s="10">
        <v>2018</v>
      </c>
      <c r="BD8" s="10" t="s">
        <v>5</v>
      </c>
    </row>
    <row r="9" spans="1:57" ht="15.75" customHeight="1">
      <c r="D9" s="11" t="str">
        <f>+IF($B$3="esp","Resultados Comparables","Comparable Results")</f>
        <v>Comparable Results</v>
      </c>
      <c r="F9" s="12"/>
      <c r="G9" s="12"/>
      <c r="H9" s="12"/>
      <c r="J9" s="12"/>
      <c r="K9" s="12"/>
      <c r="L9" s="12"/>
      <c r="O9" s="11" t="str">
        <f>+IF($B$3="esp","Resultados Comparables","Comparable Results")</f>
        <v>Comparable Results</v>
      </c>
      <c r="Q9" s="12"/>
      <c r="R9" s="12"/>
      <c r="S9" s="12"/>
      <c r="U9" s="12"/>
      <c r="V9" s="12"/>
      <c r="W9" s="12"/>
      <c r="Z9" s="11" t="str">
        <f>+IF($B$3="esp","Resultados Comparables","Comparable Results")</f>
        <v>Comparable Results</v>
      </c>
      <c r="AB9" s="12"/>
      <c r="AC9" s="12"/>
      <c r="AD9" s="12"/>
      <c r="AF9" s="12"/>
      <c r="AG9" s="12"/>
      <c r="AH9" s="12"/>
      <c r="AK9" s="11" t="str">
        <f>+IF($B$3="esp","Resultados Comparables","Comparable Results")</f>
        <v>Comparable Results</v>
      </c>
      <c r="AM9" s="12"/>
      <c r="AN9" s="12"/>
      <c r="AO9" s="12"/>
      <c r="AQ9" s="12"/>
      <c r="AR9" s="12"/>
      <c r="AS9" s="12"/>
      <c r="AV9" s="11" t="str">
        <f>+IF($B$3="esp","Resultados Comparables","Comparable Results")</f>
        <v>Comparable Results</v>
      </c>
      <c r="AX9" s="12"/>
      <c r="AY9" s="12"/>
      <c r="AZ9" s="12"/>
      <c r="BB9" s="12"/>
      <c r="BC9" s="12"/>
      <c r="BD9" s="12"/>
      <c r="BE9" s="12"/>
    </row>
    <row r="10" spans="1:57" s="13" customFormat="1" ht="15" customHeight="1">
      <c r="D10" s="13" t="str">
        <f>+IF($B$3="esp","Ingresos de Explotación","Operating Revenues")</f>
        <v>Operating Revenues</v>
      </c>
      <c r="F10" s="14">
        <f>+[1]GRUPO!K10</f>
        <v>571.93923066943307</v>
      </c>
      <c r="G10" s="15">
        <f>+[1]GRUPO!L10</f>
        <v>629.08382391468604</v>
      </c>
      <c r="H10" s="16">
        <f t="shared" ref="H10:H19" si="0">IF(G10=0,"---",IF(OR(ABS((F10-G10)/ABS(G10))&gt;2,(F10*G10)&lt;0),"---",IF(G10="0","---",((F10-G10)/ABS(G10))*100)))</f>
        <v>-9.0837804236725521</v>
      </c>
      <c r="J10" s="14">
        <f>+[1]GRUPO!O10</f>
        <v>259.62101166994006</v>
      </c>
      <c r="K10" s="15">
        <f>+[1]GRUPO!P10</f>
        <v>308.08369879881002</v>
      </c>
      <c r="L10" s="16">
        <f t="shared" ref="L10:L19" si="1">IF(K10=0,"---",IF(OR(ABS((J10-K10)/ABS(K10))&gt;2,(J10*K10)&lt;0),"---",IF(K10="0","---",((J10-K10)/ABS(K10))*100)))</f>
        <v>-15.730363962073135</v>
      </c>
      <c r="O10" s="13" t="str">
        <f>+IF($B$3="esp","Ingresos de Explotación Ajustados","Operating Adjusted Revenues")</f>
        <v>Operating Adjusted Revenues</v>
      </c>
      <c r="Q10" s="14">
        <f>+[1]SANTILLANA!K10</f>
        <v>255.97954345540199</v>
      </c>
      <c r="R10" s="15">
        <f>+[1]SANTILLANA!L10</f>
        <v>301.33518900438003</v>
      </c>
      <c r="S10" s="16">
        <f t="shared" ref="S10:S19" si="2">IF(R10=0,"---",IF(OR(ABS((Q10-R10)/ABS(R10))&gt;2,(Q10*R10)&lt;0),"---",IF(R10="0","---",((Q10-R10)/ABS(R10))*100)))</f>
        <v>-15.051559593432936</v>
      </c>
      <c r="U10" s="14">
        <f>+[1]SANTILLANA!O10</f>
        <v>87.063109187520013</v>
      </c>
      <c r="V10" s="15">
        <f>+[1]SANTILLANA!P10</f>
        <v>127.58727176125603</v>
      </c>
      <c r="W10" s="16">
        <f t="shared" ref="W10:W19" si="3">IF(V10=0,"---",IF(OR(ABS((U10-V10)/ABS(V10))&gt;2,(U10*V10)&lt;0),"---",IF(V10="0","---",((U10-V10)/ABS(V10))*100)))</f>
        <v>-31.761916384234379</v>
      </c>
      <c r="Z10" s="13" t="str">
        <f>+IF($B$3="esp","Ingresos de Explotación","Operating Revenues")</f>
        <v>Operating Revenues</v>
      </c>
      <c r="AB10" s="14">
        <f>+[1]RADIO!K10</f>
        <v>134.50011651550599</v>
      </c>
      <c r="AC10" s="15">
        <f>+[1]RADIO!L10</f>
        <v>135.97658028720701</v>
      </c>
      <c r="AD10" s="16">
        <f t="shared" ref="AD10:AD20" si="4">IF(AC10=0,"---",IF(OR(ABS((AB10-AC10)/ABS(AC10))&gt;2,(AB10*AC10)&lt;0),"---",IF(AC10="0","---",((AB10-AC10)/ABS(AC10))*100)))</f>
        <v>-1.0858221089120368</v>
      </c>
      <c r="AF10" s="14">
        <f>+[1]RADIO!O10</f>
        <v>74.439254966843492</v>
      </c>
      <c r="AG10" s="15">
        <f>+[1]RADIO!P10</f>
        <v>77.144301663427811</v>
      </c>
      <c r="AH10" s="16">
        <f t="shared" ref="AH10:AH20" si="5">IF(AG10=0,"---",IF(OR(ABS((AF10-AG10)/ABS(AG10))&gt;2,(AF10*AG10)&lt;0),"---",IF(AG10="0","---",((AF10-AG10)/ABS(AG10))*100)))</f>
        <v>-3.5064763543860211</v>
      </c>
      <c r="AK10" s="17" t="str">
        <f>+IF($B$3="esp","Ingresos de Explotación Noticias Gestión","Total Press Operating Revenues")</f>
        <v>Total Press Operating Revenues</v>
      </c>
      <c r="AM10" s="18">
        <f>+[1]NOTICIAS!K10</f>
        <v>104.53132133614</v>
      </c>
      <c r="AN10" s="19">
        <f>+[1]NOTICIAS!L10</f>
        <v>109.560748706683</v>
      </c>
      <c r="AO10" s="20">
        <f t="shared" ref="AO10:AO17" si="6">IF(AN10=0,"---",IF(OR(ABS((AM10-AN10)/ABS(AN10))&gt;2,(AM10*AN10)&lt;0),"---",IF(AN10="0","---",((AM10-AN10)/ABS(AN10))*100)))</f>
        <v>-4.5905376057695912</v>
      </c>
      <c r="AQ10" s="18">
        <f>+[1]NOTICIAS!O10</f>
        <v>55.473781448534794</v>
      </c>
      <c r="AR10" s="19">
        <f>+[1]NOTICIAS!P10</f>
        <v>58.439421658123301</v>
      </c>
      <c r="AS10" s="20">
        <f t="shared" ref="AS10:AS17" si="7">IF(AR10=0,"---",IF(OR(ABS((AQ10-AR10)/ABS(AR10))&gt;2,(AQ10*AR10)&lt;0),"---",IF(AR10="0","---",((AQ10-AR10)/ABS(AR10))*100)))</f>
        <v>-5.0747254600461495</v>
      </c>
      <c r="AV10" s="13" t="str">
        <f>+IF($B$3="esp","Ingresos de Explotación","OperatingRevenues")</f>
        <v>OperatingRevenues</v>
      </c>
      <c r="AX10" s="14">
        <f>+'[1]MEDIA CAPITAL'!K10</f>
        <v>86.382826129999998</v>
      </c>
      <c r="AY10" s="15">
        <f>+'[1]MEDIA CAPITAL'!L10</f>
        <v>86.875861970000003</v>
      </c>
      <c r="AZ10" s="16">
        <f>IF(AY10=0,"---",IF(OR(ABS((AX10-AY10)/ABS(AY10))&gt;2,(AX10*AY10)&lt;0),"---",IF(AY10="0","---",((AX10-AY10)/ABS(AY10))*100)))</f>
        <v>-0.5675176381792445</v>
      </c>
      <c r="BB10" s="14">
        <f>+'[1]MEDIA CAPITAL'!O10</f>
        <v>47.075622589999995</v>
      </c>
      <c r="BC10" s="15">
        <f>+'[1]MEDIA CAPITAL'!P10</f>
        <v>48.148876989999998</v>
      </c>
      <c r="BD10" s="16">
        <f>IF(BC10=0,"---",IF(OR(ABS((BB10-BC10)/ABS(BC10))&gt;2,(BB10*BC10)&lt;0),"---",IF(BC10="0","---",((BB10-BC10)/ABS(BC10))*100)))</f>
        <v>-2.2290330888151488</v>
      </c>
    </row>
    <row r="11" spans="1:57" ht="15" customHeight="1">
      <c r="D11" s="21" t="str">
        <f>+IF($B$3="esp","España","Spain")</f>
        <v>Spain</v>
      </c>
      <c r="F11" s="22">
        <f>+[1]GRUPO!K11</f>
        <v>234.0400005700003</v>
      </c>
      <c r="G11" s="23">
        <f>+[1]GRUPO!L11</f>
        <v>229.43266784999997</v>
      </c>
      <c r="H11" s="24">
        <f t="shared" si="0"/>
        <v>2.0081415446088706</v>
      </c>
      <c r="J11" s="22">
        <f>+[1]GRUPO!O11</f>
        <v>146.37743343000028</v>
      </c>
      <c r="K11" s="23">
        <f>+[1]GRUPO!P11</f>
        <v>141.29014652999976</v>
      </c>
      <c r="L11" s="24">
        <f t="shared" si="1"/>
        <v>3.6005956713480733</v>
      </c>
      <c r="O11" s="21" t="str">
        <f>+IF($B$3="esp","España","Spain")</f>
        <v>Spain</v>
      </c>
      <c r="Q11" s="22">
        <f>+[1]SANTILLANA!K11</f>
        <v>46.650084337478717</v>
      </c>
      <c r="R11" s="23">
        <f>+[1]SANTILLANA!L11</f>
        <v>37.301114477915576</v>
      </c>
      <c r="S11" s="24">
        <f t="shared" si="2"/>
        <v>25.063513491261162</v>
      </c>
      <c r="U11" s="22">
        <f>+[1]SANTILLANA!O11</f>
        <v>44.165153492260373</v>
      </c>
      <c r="V11" s="23">
        <f>+[1]SANTILLANA!P11</f>
        <v>35.232237330981775</v>
      </c>
      <c r="W11" s="24">
        <f t="shared" si="3"/>
        <v>25.354382344102117</v>
      </c>
      <c r="Z11" s="21" t="str">
        <f>+IF($B$3="esp","España","Spain")</f>
        <v>Spain</v>
      </c>
      <c r="AB11" s="22">
        <f>+[1]RADIO!K11</f>
        <v>96.001446800000011</v>
      </c>
      <c r="AC11" s="23">
        <f>+[1]RADIO!L11</f>
        <v>93.61553318</v>
      </c>
      <c r="AD11" s="24">
        <f t="shared" si="4"/>
        <v>2.5486300605824428</v>
      </c>
      <c r="AF11" s="22">
        <f>+[1]RADIO!O11</f>
        <v>52.887086470000007</v>
      </c>
      <c r="AG11" s="23">
        <f>+[1]RADIO!P11</f>
        <v>53.672095929999998</v>
      </c>
      <c r="AH11" s="24">
        <f t="shared" si="5"/>
        <v>-1.4626025803497826</v>
      </c>
      <c r="AK11" s="25" t="str">
        <f>+IF($B$3="esp","Ingresos de Explotación PRENSA","PRESS Operating Revenues")</f>
        <v>PRESS Operating Revenues</v>
      </c>
      <c r="AL11" s="13"/>
      <c r="AM11" s="14">
        <f>+[1]NOTICIAS!K11</f>
        <v>94.209325238749003</v>
      </c>
      <c r="AN11" s="15">
        <f>+[1]NOTICIAS!L11</f>
        <v>100.257352177893</v>
      </c>
      <c r="AO11" s="16">
        <f t="shared" si="6"/>
        <v>-6.032502163444927</v>
      </c>
      <c r="AQ11" s="14">
        <f>+[1]NOTICIAS!O11</f>
        <v>50.366360149835707</v>
      </c>
      <c r="AR11" s="15">
        <f>+[1]NOTICIAS!P11</f>
        <v>54.606470981266</v>
      </c>
      <c r="AS11" s="16">
        <f t="shared" si="7"/>
        <v>-7.7648504934240483</v>
      </c>
      <c r="AV11" s="26" t="str">
        <f>+IF($B$3="esp","Publicidad","Advertising")</f>
        <v>Advertising</v>
      </c>
      <c r="AX11" s="27">
        <f>+'[1]MEDIA CAPITAL'!K11</f>
        <v>58.98630919</v>
      </c>
      <c r="AY11" s="28">
        <f>+'[1]MEDIA CAPITAL'!L11</f>
        <v>58.599776680000005</v>
      </c>
      <c r="AZ11" s="29">
        <f>IF(AY11=0,"---",IF(OR(ABS((AX11-AY11)/ABS(AY11))&gt;2,(AX11*AY11)&lt;0),"---",IF(AY11="0","---",((AX11-AY11)/ABS(AY11))*100)))</f>
        <v>0.6596143055472049</v>
      </c>
      <c r="BA11" s="30"/>
      <c r="BB11" s="27">
        <f>+'[1]MEDIA CAPITAL'!O11</f>
        <v>33.736567550000004</v>
      </c>
      <c r="BC11" s="28">
        <f>+'[1]MEDIA CAPITAL'!P11</f>
        <v>34.321687040000008</v>
      </c>
      <c r="BD11" s="29">
        <f>IF(BC11=0,"---",IF(OR(ABS((BB11-BC11)/ABS(BC11))&gt;2,(BB11*BC11)&lt;0),"---",IF(BC11="0","---",((BB11-BC11)/ABS(BC11))*100)))</f>
        <v>-1.7048098169477504</v>
      </c>
    </row>
    <row r="12" spans="1:57" ht="15" customHeight="1">
      <c r="D12" s="21" t="str">
        <f>+IF($B$3="esp","Internacional","International")</f>
        <v>International</v>
      </c>
      <c r="F12" s="22">
        <f>+[1]GRUPO!K12</f>
        <v>337.89923009943277</v>
      </c>
      <c r="G12" s="23">
        <f>+[1]GRUPO!L12</f>
        <v>399.65115606468606</v>
      </c>
      <c r="H12" s="24">
        <f t="shared" si="0"/>
        <v>-15.451456858855764</v>
      </c>
      <c r="J12" s="22">
        <f>+[1]GRUPO!O12</f>
        <v>113.24357823993978</v>
      </c>
      <c r="K12" s="23">
        <f>+[1]GRUPO!P12</f>
        <v>166.79355226881026</v>
      </c>
      <c r="L12" s="24">
        <f t="shared" si="1"/>
        <v>-32.105542031125694</v>
      </c>
      <c r="O12" s="21" t="str">
        <f>+IF($B$3="esp","Internacional","International")</f>
        <v>International</v>
      </c>
      <c r="Q12" s="22">
        <f>+[1]SANTILLANA!K12</f>
        <v>209.32945911792328</v>
      </c>
      <c r="R12" s="23">
        <f>+[1]SANTILLANA!L12</f>
        <v>264.03407452646445</v>
      </c>
      <c r="S12" s="24">
        <f t="shared" si="2"/>
        <v>-20.718771055081401</v>
      </c>
      <c r="U12" s="22">
        <f>+[1]SANTILLANA!O12</f>
        <v>42.89795569525964</v>
      </c>
      <c r="V12" s="23">
        <f>+[1]SANTILLANA!P12</f>
        <v>92.355034430274259</v>
      </c>
      <c r="W12" s="24">
        <f t="shared" si="3"/>
        <v>-53.551037082178212</v>
      </c>
      <c r="Z12" s="21" t="str">
        <f>+IF($B$3="esp","Latam","Latam")</f>
        <v>Latam</v>
      </c>
      <c r="AB12" s="22">
        <f>+[1]RADIO!K12</f>
        <v>40.532819250521499</v>
      </c>
      <c r="AC12" s="23">
        <f>+[1]RADIO!L12</f>
        <v>43.849909448527704</v>
      </c>
      <c r="AD12" s="24">
        <f t="shared" si="4"/>
        <v>-7.5646454912293546</v>
      </c>
      <c r="AF12" s="22">
        <f>+[1]RADIO!O12</f>
        <v>22.640151380459198</v>
      </c>
      <c r="AG12" s="23">
        <f>+[1]RADIO!P12</f>
        <v>24.443895095250504</v>
      </c>
      <c r="AH12" s="24">
        <f t="shared" si="5"/>
        <v>-7.37911739419049</v>
      </c>
      <c r="AK12" s="26" t="str">
        <f>+IF($B$3="esp","Publicidad","Advertising")</f>
        <v>Advertising</v>
      </c>
      <c r="AL12" s="30"/>
      <c r="AM12" s="27">
        <f>+[1]NOTICIAS!K12</f>
        <v>51.4288907278384</v>
      </c>
      <c r="AN12" s="28">
        <f>+[1]NOTICIAS!L12</f>
        <v>49.822359904582001</v>
      </c>
      <c r="AO12" s="29">
        <f t="shared" si="6"/>
        <v>3.2245177192191812</v>
      </c>
      <c r="AQ12" s="27">
        <f>+[1]NOTICIAS!O12</f>
        <v>27.845975706348799</v>
      </c>
      <c r="AR12" s="28">
        <f>+[1]NOTICIAS!P12</f>
        <v>28.427429800497201</v>
      </c>
      <c r="AS12" s="29">
        <f t="shared" si="7"/>
        <v>-2.0453980476920646</v>
      </c>
      <c r="AV12" s="26" t="str">
        <f>+IF($B$3="esp","Otros","Others")</f>
        <v>Others</v>
      </c>
      <c r="AX12" s="27">
        <f>+'[1]MEDIA CAPITAL'!K12</f>
        <v>27.396516939999998</v>
      </c>
      <c r="AY12" s="28">
        <f>+'[1]MEDIA CAPITAL'!L12</f>
        <v>28.276085289999997</v>
      </c>
      <c r="AZ12" s="29">
        <f>IF(AY12=0,"---",IF(OR(ABS((AX12-AY12)/ABS(AY12))&gt;2,(AX12*AY12)&lt;0),"---",IF(AY12="0","---",((AX12-AY12)/ABS(AY12))*100)))</f>
        <v>-3.1106439982024812</v>
      </c>
      <c r="BA12" s="30"/>
      <c r="BB12" s="27">
        <f>+'[1]MEDIA CAPITAL'!O12</f>
        <v>13.339055039999995</v>
      </c>
      <c r="BC12" s="28">
        <f>+'[1]MEDIA CAPITAL'!P12</f>
        <v>13.82718994999999</v>
      </c>
      <c r="BD12" s="29">
        <f>IF(BC12=0,"---",IF(OR(ABS((BB12-BC12)/ABS(BC12))&gt;2,(BB12*BC12)&lt;0),"---",IF(BC12="0","---",((BB12-BC12)/ABS(BC12))*100)))</f>
        <v>-3.5302538821345708</v>
      </c>
    </row>
    <row r="13" spans="1:57" ht="15" customHeight="1">
      <c r="D13" s="31" t="str">
        <f>+IF($B$3="esp","Latam","Latam")</f>
        <v>Latam</v>
      </c>
      <c r="F13" s="22">
        <f>+[1]GRUPO!K13</f>
        <v>251.42642112943275</v>
      </c>
      <c r="G13" s="23">
        <f>+[1]GRUPO!L13</f>
        <v>313.1513859146861</v>
      </c>
      <c r="H13" s="24">
        <f t="shared" si="0"/>
        <v>-19.710902637381107</v>
      </c>
      <c r="J13" s="22">
        <f>+[1]GRUPO!O13</f>
        <v>66.277783359939775</v>
      </c>
      <c r="K13" s="23">
        <f>+[1]GRUPO!P13</f>
        <v>118.75017309881031</v>
      </c>
      <c r="L13" s="24">
        <f t="shared" si="1"/>
        <v>-44.187211159017856</v>
      </c>
      <c r="O13" s="31" t="str">
        <f>+IF($B$3="esp","Latam","Latam")</f>
        <v>Latam</v>
      </c>
      <c r="Q13" s="22">
        <f>+[1]SANTILLANA!K13</f>
        <v>209.10987011792326</v>
      </c>
      <c r="R13" s="23">
        <f>+[1]SANTILLANA!L13</f>
        <v>264.00426652646445</v>
      </c>
      <c r="S13" s="24">
        <f t="shared" si="2"/>
        <v>-20.792995935555624</v>
      </c>
      <c r="U13" s="22">
        <f>+[1]SANTILLANA!O13</f>
        <v>42.878205695259624</v>
      </c>
      <c r="V13" s="23">
        <f>+[1]SANTILLANA!P13</f>
        <v>92.354632430274251</v>
      </c>
      <c r="W13" s="24">
        <f t="shared" si="3"/>
        <v>-53.572219858455142</v>
      </c>
      <c r="Z13" s="21" t="str">
        <f>+IF($B$3="esp","Música","Music")</f>
        <v>Music</v>
      </c>
      <c r="AB13" s="22">
        <f>+[1]RADIO!K13</f>
        <v>2.5993120000000002E-2</v>
      </c>
      <c r="AC13" s="23">
        <f>+[1]RADIO!L13</f>
        <v>2.47896495329605</v>
      </c>
      <c r="AD13" s="24">
        <f t="shared" si="4"/>
        <v>-98.951452703458386</v>
      </c>
      <c r="AF13" s="22">
        <f>+[1]RADIO!O13</f>
        <v>2.0129280000000003E-2</v>
      </c>
      <c r="AG13" s="23">
        <f>+[1]RADIO!P13</f>
        <v>1.13066038428647</v>
      </c>
      <c r="AH13" s="24">
        <f t="shared" si="5"/>
        <v>-98.219688221171481</v>
      </c>
      <c r="AK13" s="26" t="str">
        <f>+IF($B$3="esp","Circulación","Circulation")</f>
        <v>Circulation</v>
      </c>
      <c r="AL13" s="30"/>
      <c r="AM13" s="27">
        <f>+[1]NOTICIAS!K13</f>
        <v>30.714250829344298</v>
      </c>
      <c r="AN13" s="28">
        <f>+[1]NOTICIAS!L13</f>
        <v>35.218538424773598</v>
      </c>
      <c r="AO13" s="29">
        <f t="shared" si="6"/>
        <v>-12.78953584360239</v>
      </c>
      <c r="AQ13" s="27">
        <f>+[1]NOTICIAS!O13</f>
        <v>15.494425023075399</v>
      </c>
      <c r="AR13" s="28">
        <f>+[1]NOTICIAS!P13</f>
        <v>17.859490229428197</v>
      </c>
      <c r="AS13" s="29">
        <f t="shared" si="7"/>
        <v>-13.242624374886871</v>
      </c>
      <c r="AV13" s="13" t="str">
        <f>+IF($B$3="esp","EBITDA Ajustado","Adjusted EBITDA")</f>
        <v>Adjusted EBITDA</v>
      </c>
      <c r="AX13" s="14">
        <f>+'[1]MEDIA CAPITAL'!K13</f>
        <v>14.241243332884601</v>
      </c>
      <c r="AY13" s="15">
        <f>+'[1]MEDIA CAPITAL'!L13</f>
        <v>20.6061423541511</v>
      </c>
      <c r="AZ13" s="16">
        <f>IF(AY13=0,"---",IF(OR(ABS((AX13-AY13)/ABS(AY13))&gt;2,(AX13*AY13)&lt;0),"---",IF(AY13="0","---",((AX13-AY13)/ABS(AY13))*100)))</f>
        <v>-30.888358004497103</v>
      </c>
      <c r="BA13" s="13"/>
      <c r="BB13" s="14">
        <f>+'[1]MEDIA CAPITAL'!O13</f>
        <v>13.23796180506328</v>
      </c>
      <c r="BC13" s="15">
        <f>+'[1]MEDIA CAPITAL'!P13</f>
        <v>14.817151851432378</v>
      </c>
      <c r="BD13" s="16">
        <f>IF(BC13=0,"---",IF(OR(ABS((BB13-BC13)/ABS(BC13))&gt;2,(BB13*BC13)&lt;0),"---",IF(BC13="0","---",((BB13-BC13)/ABS(BC13))*100)))</f>
        <v>-10.657851537213185</v>
      </c>
    </row>
    <row r="14" spans="1:57" ht="15" customHeight="1">
      <c r="D14" s="31" t="str">
        <f>+IF($B$3="esp","Portugal","Portugal")</f>
        <v>Portugal</v>
      </c>
      <c r="F14" s="22">
        <f>+[1]GRUPO!K14</f>
        <v>86.472808970000003</v>
      </c>
      <c r="G14" s="23">
        <f>+[1]GRUPO!L14</f>
        <v>86.499770150000003</v>
      </c>
      <c r="H14" s="24">
        <f t="shared" si="0"/>
        <v>-3.1169077042918242E-2</v>
      </c>
      <c r="J14" s="22">
        <f>+[1]GRUPO!O14</f>
        <v>46.965794879999997</v>
      </c>
      <c r="K14" s="23">
        <f>+[1]GRUPO!P14</f>
        <v>48.043379170000001</v>
      </c>
      <c r="L14" s="24">
        <f t="shared" si="1"/>
        <v>-2.2429402523644431</v>
      </c>
      <c r="O14" s="31" t="str">
        <f>+IF($B$3="esp","Portugal","Portugal")</f>
        <v>Portugal</v>
      </c>
      <c r="Q14" s="22">
        <f>+[1]SANTILLANA!K14</f>
        <v>0.21958900000000001</v>
      </c>
      <c r="R14" s="23">
        <f>+[1]SANTILLANA!L14</f>
        <v>2.9808000000000001E-2</v>
      </c>
      <c r="S14" s="24" t="str">
        <f t="shared" si="2"/>
        <v>---</v>
      </c>
      <c r="U14" s="22">
        <f>+[1]SANTILLANA!O14</f>
        <v>1.9750000000000018E-2</v>
      </c>
      <c r="V14" s="23">
        <f>+[1]SANTILLANA!P14</f>
        <v>4.0200000000000305E-4</v>
      </c>
      <c r="W14" s="24" t="str">
        <f t="shared" si="3"/>
        <v>---</v>
      </c>
      <c r="Z14" s="21" t="str">
        <f>+IF($B$3="esp","Ajustes y Otros","Adjustments &amp; others")</f>
        <v>Adjustments &amp; others</v>
      </c>
      <c r="AB14" s="22">
        <f>+[1]RADIO!K14</f>
        <v>-2.0601426550155155</v>
      </c>
      <c r="AC14" s="23">
        <f>+[1]RADIO!L14</f>
        <v>-3.9678272946167401</v>
      </c>
      <c r="AD14" s="24">
        <f t="shared" si="4"/>
        <v>48.078822437393697</v>
      </c>
      <c r="AF14" s="22">
        <f>+[1]RADIO!O14</f>
        <v>-1.1081121636157123</v>
      </c>
      <c r="AG14" s="23">
        <f>+[1]RADIO!P14</f>
        <v>-2.1023497461091605</v>
      </c>
      <c r="AH14" s="24">
        <f t="shared" si="5"/>
        <v>47.291730804234334</v>
      </c>
      <c r="AK14" s="26" t="str">
        <f>+IF($B$3="esp","Promociones y Otros","Add-ons and Others")</f>
        <v>Add-ons and Others</v>
      </c>
      <c r="AL14" s="30"/>
      <c r="AM14" s="27">
        <f>+[1]NOTICIAS!K14</f>
        <v>12.066183681566304</v>
      </c>
      <c r="AN14" s="28">
        <f>+[1]NOTICIAS!L14</f>
        <v>15.216453848537398</v>
      </c>
      <c r="AO14" s="29">
        <f t="shared" si="6"/>
        <v>-20.703050778640495</v>
      </c>
      <c r="AQ14" s="27">
        <f>+[1]NOTICIAS!O14</f>
        <v>7.0259594204115086</v>
      </c>
      <c r="AR14" s="28">
        <f>+[1]NOTICIAS!P14</f>
        <v>8.3195509513406023</v>
      </c>
      <c r="AS14" s="29">
        <f t="shared" si="7"/>
        <v>-15.548814334992997</v>
      </c>
      <c r="AV14" s="26" t="str">
        <f>+IF($B$3="esp","Margen EBITDA Ajustado","Adjusted EBITDA Margin")</f>
        <v>Adjusted EBITDA Margin</v>
      </c>
      <c r="AX14" s="32">
        <f>+'[1]MEDIA CAPITAL'!K14</f>
        <v>0.16486197512746972</v>
      </c>
      <c r="AY14" s="33">
        <f>+'[1]MEDIA CAPITAL'!L14</f>
        <v>0.23719065211999646</v>
      </c>
      <c r="AZ14" s="34"/>
      <c r="BA14" s="30"/>
      <c r="BB14" s="32">
        <f>+'[1]MEDIA CAPITAL'!O14</f>
        <v>0.28120630332089003</v>
      </c>
      <c r="BC14" s="33">
        <f>+'[1]MEDIA CAPITAL'!P14</f>
        <v>0.30773618779332568</v>
      </c>
      <c r="BD14" s="34"/>
    </row>
    <row r="15" spans="1:57" s="13" customFormat="1" ht="15" customHeight="1" thickBot="1">
      <c r="D15" s="13" t="str">
        <f>+IF($B$3="esp","EBITDA","EBITDA")</f>
        <v>EBITDA</v>
      </c>
      <c r="F15" s="14">
        <f>+[1]GRUPO!K15</f>
        <v>100.3186678614435</v>
      </c>
      <c r="G15" s="15">
        <f>+[1]GRUPO!L15</f>
        <v>128.31755554874303</v>
      </c>
      <c r="H15" s="16">
        <f t="shared" si="0"/>
        <v>-21.819997713924501</v>
      </c>
      <c r="J15" s="14">
        <f>+[1]GRUPO!O15</f>
        <v>30.308793222486813</v>
      </c>
      <c r="K15" s="15">
        <f>+[1]GRUPO!P15</f>
        <v>56.728480135296067</v>
      </c>
      <c r="L15" s="16">
        <f t="shared" si="1"/>
        <v>-46.572174769708148</v>
      </c>
      <c r="O15" s="13" t="str">
        <f>+IF($B$3="esp","EBITDA Comparable","Comparable EBITDA")</f>
        <v>Comparable EBITDA</v>
      </c>
      <c r="Q15" s="14">
        <f>+[1]SANTILLANA!K15</f>
        <v>61.852473497649299</v>
      </c>
      <c r="R15" s="15">
        <f>+[1]SANTILLANA!L15</f>
        <v>91.016425253944718</v>
      </c>
      <c r="S15" s="16">
        <f t="shared" si="2"/>
        <v>-32.042515045965764</v>
      </c>
      <c r="U15" s="14">
        <f>+[1]SANTILLANA!O15</f>
        <v>-4.3939976968485013</v>
      </c>
      <c r="V15" s="15">
        <f>+[1]SANTILLANA!P15</f>
        <v>22.768506068664394</v>
      </c>
      <c r="W15" s="16" t="str">
        <f t="shared" si="3"/>
        <v>---</v>
      </c>
      <c r="Z15" s="13" t="str">
        <f>+IF($B$3="esp","Ingresos de Explotación con MX","Operating Revenues w/MX")</f>
        <v>Operating Revenues w/MX</v>
      </c>
      <c r="AB15" s="14">
        <f>+[1]RADIO!K15</f>
        <v>143.1740722182964</v>
      </c>
      <c r="AC15" s="15">
        <f>+[1]RADIO!L15</f>
        <v>146.1803961684945</v>
      </c>
      <c r="AD15" s="16">
        <f t="shared" si="4"/>
        <v>-2.0565848971519149</v>
      </c>
      <c r="AF15" s="14">
        <f>+[1]RADIO!O15</f>
        <v>79.538784008480761</v>
      </c>
      <c r="AG15" s="15">
        <f>+[1]RADIO!P15</f>
        <v>82.837452444785612</v>
      </c>
      <c r="AH15" s="16">
        <f t="shared" si="5"/>
        <v>-3.9820978783763805</v>
      </c>
      <c r="AK15" s="25" t="str">
        <f>+IF($B$3="esp","PBS y Prisa Tecnología","PBS &amp; IT")</f>
        <v>PBS &amp; IT</v>
      </c>
      <c r="AM15" s="14">
        <f>+[1]NOTICIAS!K15</f>
        <v>10.321996097390993</v>
      </c>
      <c r="AN15" s="15">
        <f>+[1]NOTICIAS!L15</f>
        <v>9.3033965287900031</v>
      </c>
      <c r="AO15" s="16">
        <f t="shared" si="6"/>
        <v>10.948684874914916</v>
      </c>
      <c r="AQ15" s="14">
        <f>+[1]NOTICIAS!O15</f>
        <v>5.1074212986990872</v>
      </c>
      <c r="AR15" s="15">
        <f>+[1]NOTICIAS!P15</f>
        <v>3.8329506768573012</v>
      </c>
      <c r="AS15" s="16">
        <f t="shared" si="7"/>
        <v>33.25037886703894</v>
      </c>
      <c r="AV15" s="13" t="str">
        <f>+IF($B$3="esp","EBIT Ajustado","Adjusted EBIT")</f>
        <v>Adjusted EBIT</v>
      </c>
      <c r="AX15" s="14">
        <f>+'[1]MEDIA CAPITAL'!K15</f>
        <v>9.842636722884599</v>
      </c>
      <c r="AY15" s="15">
        <f>+'[1]MEDIA CAPITAL'!L15</f>
        <v>16.387478831487595</v>
      </c>
      <c r="AZ15" s="16">
        <f>IF(AY15=0,"---",IF(OR(ABS((AX15-AY15)/ABS(AY15))&gt;2,(AX15*AY15)&lt;0),"---",IF(AY15="0","---",((AX15-AY15)/ABS(AY15))*100)))</f>
        <v>-39.938065982593123</v>
      </c>
      <c r="BB15" s="14">
        <f>+'[1]MEDIA CAPITAL'!O15</f>
        <v>10.999255225063269</v>
      </c>
      <c r="BC15" s="15">
        <f>+'[1]MEDIA CAPITAL'!P15</f>
        <v>12.720931045100627</v>
      </c>
      <c r="BD15" s="16">
        <f>IF(BC15=0,"---",IF(OR(ABS((BB15-BC15)/ABS(BC15))&gt;2,(BB15*BC15)&lt;0),"---",IF(BC15="0","---",((BB15-BC15)/ABS(BC15))*100)))</f>
        <v>-13.534196623921241</v>
      </c>
    </row>
    <row r="16" spans="1:57" ht="15" customHeight="1" thickTop="1" thickBot="1">
      <c r="D16" s="21" t="str">
        <f>+IF($B$3="esp","España","Spain")</f>
        <v>Spain</v>
      </c>
      <c r="F16" s="22">
        <f>+[1]GRUPO!K16</f>
        <v>23.823698119999875</v>
      </c>
      <c r="G16" s="23">
        <f>+[1]GRUPO!L16</f>
        <v>6.5260659442303961</v>
      </c>
      <c r="H16" s="24" t="str">
        <f t="shared" si="0"/>
        <v>---</v>
      </c>
      <c r="J16" s="22">
        <f>+[1]GRUPO!O16</f>
        <v>36.139023949999924</v>
      </c>
      <c r="K16" s="23">
        <f>+[1]GRUPO!P16</f>
        <v>24.662005707115242</v>
      </c>
      <c r="L16" s="24">
        <f t="shared" si="1"/>
        <v>46.537245912539241</v>
      </c>
      <c r="O16" s="21" t="str">
        <f>+IF($B$3="esp","España","Spain")</f>
        <v>Spain</v>
      </c>
      <c r="Q16" s="22">
        <f>+[1]SANTILLANA!K16</f>
        <v>3.0187755100000402</v>
      </c>
      <c r="R16" s="23">
        <f>+[1]SANTILLANA!L16</f>
        <v>-2.6638267099999524</v>
      </c>
      <c r="S16" s="24" t="str">
        <f t="shared" si="2"/>
        <v>---</v>
      </c>
      <c r="U16" s="22">
        <f>+[1]SANTILLANA!O16</f>
        <v>17.959116119999976</v>
      </c>
      <c r="V16" s="23">
        <f>+[1]SANTILLANA!P16</f>
        <v>11.480483869999745</v>
      </c>
      <c r="W16" s="24">
        <f t="shared" si="3"/>
        <v>56.43170029557627</v>
      </c>
      <c r="Z16" s="13" t="str">
        <f>+IF($B$3="esp","EBITDA Comparable","Comparable EBITDA")</f>
        <v>Comparable EBITDA</v>
      </c>
      <c r="AA16" s="13"/>
      <c r="AB16" s="14">
        <f>+[1]RADIO!K16</f>
        <v>28.1451873792942</v>
      </c>
      <c r="AC16" s="15">
        <f>+[1]RADIO!L16</f>
        <v>27.143099316740599</v>
      </c>
      <c r="AD16" s="16">
        <f t="shared" si="4"/>
        <v>3.6918704487647029</v>
      </c>
      <c r="AE16" s="13"/>
      <c r="AF16" s="14">
        <f>+[1]RADIO!O16</f>
        <v>20.100309360086811</v>
      </c>
      <c r="AG16" s="15">
        <f>+[1]RADIO!P16</f>
        <v>21.419524873827427</v>
      </c>
      <c r="AH16" s="16">
        <f t="shared" si="5"/>
        <v>-6.1589391992189748</v>
      </c>
      <c r="AK16" s="35" t="str">
        <f>+IF($B$3="esp","EBITDA Comparable Noticias Gestión","Total Press Comparable EBITDA")</f>
        <v>Total Press Comparable EBITDA</v>
      </c>
      <c r="AL16" s="36"/>
      <c r="AM16" s="37">
        <f>+[1]NOTICIAS!K16</f>
        <v>1.64478109274442</v>
      </c>
      <c r="AN16" s="38">
        <f>+[1]NOTICIAS!L16</f>
        <v>-1.9754900305188399</v>
      </c>
      <c r="AO16" s="39" t="str">
        <f t="shared" si="6"/>
        <v>---</v>
      </c>
      <c r="AQ16" s="37">
        <f>+[1]NOTICIAS!O16</f>
        <v>4.7164915282073903</v>
      </c>
      <c r="AR16" s="38">
        <f>+[1]NOTICIAS!P16</f>
        <v>1.1009490091024603</v>
      </c>
      <c r="AS16" s="39" t="str">
        <f t="shared" si="7"/>
        <v>---</v>
      </c>
      <c r="AV16" s="40" t="str">
        <f>+IF($B$3="esp","Margen EBIT Ajustado","Adjusted EBIT Margin")</f>
        <v>Adjusted EBIT Margin</v>
      </c>
      <c r="AX16" s="41">
        <f>+'[1]MEDIA CAPITAL'!K16</f>
        <v>0.1139420549643992</v>
      </c>
      <c r="AY16" s="42">
        <f>+'[1]MEDIA CAPITAL'!L16</f>
        <v>0.18863097827042596</v>
      </c>
      <c r="AZ16" s="43"/>
      <c r="BA16" s="30"/>
      <c r="BB16" s="41">
        <f>+'[1]MEDIA CAPITAL'!O16</f>
        <v>0.23365076487378794</v>
      </c>
      <c r="BC16" s="42">
        <f>+'[1]MEDIA CAPITAL'!P16</f>
        <v>0.26419995315244066</v>
      </c>
      <c r="BD16" s="43"/>
    </row>
    <row r="17" spans="4:56" ht="15" customHeight="1" thickTop="1">
      <c r="D17" s="21" t="str">
        <f>+IF($B$3="esp","Internacional","International")</f>
        <v>International</v>
      </c>
      <c r="F17" s="22">
        <f>+[1]GRUPO!K17</f>
        <v>76.494969741443626</v>
      </c>
      <c r="G17" s="23">
        <f>+[1]GRUPO!L17</f>
        <v>121.79148960451263</v>
      </c>
      <c r="H17" s="24">
        <f t="shared" si="0"/>
        <v>-37.191859636628237</v>
      </c>
      <c r="J17" s="22">
        <f>+[1]GRUPO!O17</f>
        <v>-5.8302307275131113</v>
      </c>
      <c r="K17" s="23">
        <f>+[1]GRUPO!P17</f>
        <v>32.066474428180825</v>
      </c>
      <c r="L17" s="24" t="str">
        <f t="shared" si="1"/>
        <v>---</v>
      </c>
      <c r="O17" s="21" t="str">
        <f>+IF($B$3="esp","Internacional","International")</f>
        <v>International</v>
      </c>
      <c r="Q17" s="22">
        <f>+[1]SANTILLANA!K17</f>
        <v>58.833697987649259</v>
      </c>
      <c r="R17" s="23">
        <f>+[1]SANTILLANA!L17</f>
        <v>93.68025196394467</v>
      </c>
      <c r="S17" s="24">
        <f t="shared" si="2"/>
        <v>-37.197331610195747</v>
      </c>
      <c r="U17" s="22">
        <f>+[1]SANTILLANA!O17</f>
        <v>-22.353113816848477</v>
      </c>
      <c r="V17" s="23">
        <f>+[1]SANTILLANA!P17</f>
        <v>11.288022198664649</v>
      </c>
      <c r="W17" s="24" t="str">
        <f t="shared" si="3"/>
        <v>---</v>
      </c>
      <c r="Z17" s="21" t="str">
        <f>+IF($B$3="esp","España","Spain")</f>
        <v>Spain</v>
      </c>
      <c r="AB17" s="22">
        <f>+[1]RADIO!K17</f>
        <v>21.548639570000102</v>
      </c>
      <c r="AC17" s="23">
        <f>+[1]RADIO!L17</f>
        <v>17.377636469999899</v>
      </c>
      <c r="AD17" s="24">
        <f t="shared" si="4"/>
        <v>24.002131171295165</v>
      </c>
      <c r="AF17" s="22">
        <f>+[1]RADIO!O17</f>
        <v>15.294947170000132</v>
      </c>
      <c r="AG17" s="23">
        <f>+[1]RADIO!P17</f>
        <v>15.006569369999969</v>
      </c>
      <c r="AH17" s="24">
        <f t="shared" si="5"/>
        <v>1.9216770528290521</v>
      </c>
      <c r="AK17" s="25" t="str">
        <f>+IF($B$3="esp","EBITDA Comparable","PRESS Comparable EBITDA")</f>
        <v>PRESS Comparable EBITDA</v>
      </c>
      <c r="AL17" s="36"/>
      <c r="AM17" s="14">
        <f>+[1]NOTICIAS!K17</f>
        <v>2.6728670159620003</v>
      </c>
      <c r="AN17" s="15">
        <f>+[1]NOTICIAS!L17</f>
        <v>0.51899427865412007</v>
      </c>
      <c r="AO17" s="16" t="str">
        <f t="shared" si="6"/>
        <v>---</v>
      </c>
      <c r="AQ17" s="14">
        <f>+[1]NOTICIAS!O17</f>
        <v>4.7567255617410904</v>
      </c>
      <c r="AR17" s="15">
        <f>+[1]NOTICIAS!P17</f>
        <v>1.8368348194535895</v>
      </c>
      <c r="AS17" s="16">
        <f t="shared" si="7"/>
        <v>158.96316377300016</v>
      </c>
    </row>
    <row r="18" spans="4:56" ht="15" customHeight="1">
      <c r="D18" s="31" t="str">
        <f>+IF($B$3="esp","Latam","Latam")</f>
        <v>Latam</v>
      </c>
      <c r="F18" s="22">
        <f>+[1]GRUPO!K18</f>
        <v>62.456724118559023</v>
      </c>
      <c r="G18" s="23">
        <f>+[1]GRUPO!L18</f>
        <v>103.22173888036154</v>
      </c>
      <c r="H18" s="24">
        <f t="shared" si="0"/>
        <v>-39.492664242995303</v>
      </c>
      <c r="J18" s="22">
        <f>+[1]GRUPO!O18</f>
        <v>-18.911686902576406</v>
      </c>
      <c r="K18" s="23">
        <f>+[1]GRUPO!P18</f>
        <v>18.207262226748455</v>
      </c>
      <c r="L18" s="24" t="str">
        <f t="shared" si="1"/>
        <v>---</v>
      </c>
      <c r="O18" s="31" t="str">
        <f>+IF($B$3="esp","Latam","Latam")</f>
        <v>Latam</v>
      </c>
      <c r="Q18" s="22">
        <f>+[1]SANTILLANA!K18</f>
        <v>59.066393987649256</v>
      </c>
      <c r="R18" s="23">
        <f>+[1]SANTILLANA!L18</f>
        <v>95.441336963944664</v>
      </c>
      <c r="S18" s="24">
        <f t="shared" si="2"/>
        <v>-38.112356902582938</v>
      </c>
      <c r="U18" s="22">
        <f>+[1]SANTILLANA!O18</f>
        <v>-22.188124816848479</v>
      </c>
      <c r="V18" s="23">
        <f>+[1]SANTILLANA!P18</f>
        <v>12.267164198664645</v>
      </c>
      <c r="W18" s="24" t="str">
        <f t="shared" si="3"/>
        <v>---</v>
      </c>
      <c r="Z18" s="21" t="str">
        <f>+IF($B$3="esp","Latam","Latam")</f>
        <v>Latam</v>
      </c>
      <c r="AB18" s="22">
        <f>+[1]RADIO!K18</f>
        <v>6.7079379392941805</v>
      </c>
      <c r="AC18" s="23">
        <f>+[1]RADIO!L18</f>
        <v>10.514732974957349</v>
      </c>
      <c r="AD18" s="24">
        <f t="shared" si="4"/>
        <v>-36.204390969601491</v>
      </c>
      <c r="AF18" s="22">
        <f>+[1]RADIO!O18</f>
        <v>4.876718280086731</v>
      </c>
      <c r="AG18" s="23">
        <f>+[1]RADIO!P18</f>
        <v>6.8789290290974296</v>
      </c>
      <c r="AH18" s="24">
        <f t="shared" si="5"/>
        <v>-29.106431256107967</v>
      </c>
      <c r="AK18" s="26" t="str">
        <f>+IF($B$3="esp","Margen EBITDA ","EBITDA Margin")</f>
        <v>EBITDA Margin</v>
      </c>
      <c r="AL18" s="30"/>
      <c r="AM18" s="32">
        <f>+[1]NOTICIAS!K18</f>
        <v>2.8371575841227126E-2</v>
      </c>
      <c r="AN18" s="33">
        <f>+[1]NOTICIAS!L18</f>
        <v>5.1766206405814063E-3</v>
      </c>
      <c r="AO18" s="34"/>
      <c r="AQ18" s="32">
        <f>+[1]NOTICIAS!O18</f>
        <v>9.4442511779493893E-2</v>
      </c>
      <c r="AR18" s="33">
        <f>+[1]NOTICIAS!P18</f>
        <v>3.3637676752335047E-2</v>
      </c>
      <c r="AS18" s="34"/>
    </row>
    <row r="19" spans="4:56" ht="15" customHeight="1" thickBot="1">
      <c r="D19" s="31" t="str">
        <f>+IF($B$3="esp","Portugal","Portugal")</f>
        <v>Portugal</v>
      </c>
      <c r="F19" s="22">
        <f>+[1]GRUPO!K19</f>
        <v>14.038245622884601</v>
      </c>
      <c r="G19" s="23">
        <f>+[1]GRUPO!L19</f>
        <v>18.569750724151099</v>
      </c>
      <c r="H19" s="24">
        <f t="shared" si="0"/>
        <v>-24.402616753347143</v>
      </c>
      <c r="J19" s="22">
        <f>+[1]GRUPO!O19</f>
        <v>13.081456175063281</v>
      </c>
      <c r="K19" s="23">
        <f>+[1]GRUPO!P19</f>
        <v>13.85921220143238</v>
      </c>
      <c r="L19" s="24">
        <f t="shared" si="1"/>
        <v>-5.6118343168792544</v>
      </c>
      <c r="O19" s="31" t="str">
        <f>+IF($B$3="esp","Portugal","Portugal")</f>
        <v>Portugal</v>
      </c>
      <c r="Q19" s="22">
        <f>+[1]SANTILLANA!K19</f>
        <v>-0.23269599999999999</v>
      </c>
      <c r="R19" s="23">
        <f>+[1]SANTILLANA!L19</f>
        <v>-1.761085</v>
      </c>
      <c r="S19" s="24">
        <f t="shared" si="2"/>
        <v>86.786782012225416</v>
      </c>
      <c r="U19" s="22">
        <f>+[1]SANTILLANA!O19</f>
        <v>-0.164989</v>
      </c>
      <c r="V19" s="23">
        <f>+[1]SANTILLANA!P19</f>
        <v>-0.97914199999999996</v>
      </c>
      <c r="W19" s="24">
        <f t="shared" si="3"/>
        <v>83.149635088679673</v>
      </c>
      <c r="Z19" s="21" t="str">
        <f>+IF($B$3="esp","Música","Music")</f>
        <v>Music</v>
      </c>
      <c r="AB19" s="22">
        <f>+[1]RADIO!K19</f>
        <v>-4.7997129999999999E-2</v>
      </c>
      <c r="AC19" s="23">
        <f>+[1]RADIO!L19</f>
        <v>-0.32044012821669005</v>
      </c>
      <c r="AD19" s="24">
        <f t="shared" si="4"/>
        <v>85.021498316358475</v>
      </c>
      <c r="AF19" s="22">
        <f>+[1]RADIO!O19</f>
        <v>-3.9560089999999999E-2</v>
      </c>
      <c r="AG19" s="23">
        <f>+[1]RADIO!P19</f>
        <v>-3.7143525270039057E-2</v>
      </c>
      <c r="AH19" s="24">
        <f t="shared" si="5"/>
        <v>-6.5060187809104013</v>
      </c>
      <c r="AK19" s="25" t="str">
        <f>+IF($B$3="esp","PBS y Prisa Tecnología","PBS &amp; IT")</f>
        <v>PBS &amp; IT</v>
      </c>
      <c r="AL19" s="13"/>
      <c r="AM19" s="14">
        <f>+[1]NOTICIAS!K19</f>
        <v>-1.0280859232175803</v>
      </c>
      <c r="AN19" s="15">
        <f>+[1]NOTICIAS!L19</f>
        <v>-2.49448430917296</v>
      </c>
      <c r="AO19" s="16">
        <f>IF(AN19=0,"---",IF(OR(ABS((AM19-AN19)/ABS(AN19))&gt;2,(AM19*AN19)&lt;0),"---",IF(AN19="0","---",((AM19-AN19)/ABS(AN19))*100)))</f>
        <v>58.785632788428344</v>
      </c>
      <c r="AQ19" s="14">
        <f>+[1]NOTICIAS!O19</f>
        <v>-4.0234033533700364E-2</v>
      </c>
      <c r="AR19" s="15">
        <f>+[1]NOTICIAS!P19</f>
        <v>-0.73588581035112943</v>
      </c>
      <c r="AS19" s="16">
        <f>IF(AR19=0,"---",IF(OR(ABS((AQ19-AR19)/ABS(AR19))&gt;2,(AQ19*AR19)&lt;0),"---",IF(AR19="0","---",((AQ19-AR19)/ABS(AR19))*100)))</f>
        <v>94.532571090818749</v>
      </c>
      <c r="AV19" s="9"/>
      <c r="AX19" s="44"/>
      <c r="AY19" s="44"/>
      <c r="AZ19" s="44"/>
      <c r="BB19" s="44"/>
      <c r="BC19" s="44"/>
      <c r="BD19" s="44"/>
    </row>
    <row r="20" spans="4:56" s="30" customFormat="1" ht="15" customHeight="1" thickTop="1" thickBot="1">
      <c r="D20" s="26" t="str">
        <f>+IF($B$3="esp","Margen EBITDA","EBITDA Margin")</f>
        <v>EBITDA Margin</v>
      </c>
      <c r="F20" s="32">
        <f>+[1]GRUPO!K20</f>
        <v>0.17540092108041674</v>
      </c>
      <c r="G20" s="33">
        <f>+[1]GRUPO!L20</f>
        <v>0.20397529020893243</v>
      </c>
      <c r="H20" s="34"/>
      <c r="J20" s="32">
        <f>+[1]GRUPO!O20</f>
        <v>0.11674245095777848</v>
      </c>
      <c r="K20" s="33">
        <f>+[1]GRUPO!P20</f>
        <v>0.18413333894806894</v>
      </c>
      <c r="L20" s="34"/>
      <c r="O20" s="26" t="str">
        <f>+IF($B$3="esp","Margen EBITDA Ajustado","Adjusted EBITDA Margin")</f>
        <v>Adjusted EBITDA Margin</v>
      </c>
      <c r="Q20" s="32">
        <f>+[1]SANTILLANA!K20</f>
        <v>0.24163053290399175</v>
      </c>
      <c r="R20" s="33">
        <f>+[1]SANTILLANA!L20</f>
        <v>0.30204379898234107</v>
      </c>
      <c r="S20" s="34"/>
      <c r="U20" s="32">
        <f>+[1]SANTILLANA!O20</f>
        <v>-5.0469110715820324E-2</v>
      </c>
      <c r="V20" s="33">
        <f>+[1]SANTILLANA!P20</f>
        <v>0.17845436895358416</v>
      </c>
      <c r="W20" s="34"/>
      <c r="Z20" s="21" t="str">
        <f>+IF($B$3="esp","Ajustes y Otros","Adjustments &amp; others")</f>
        <v>Adjustments &amp; others</v>
      </c>
      <c r="AA20" s="1"/>
      <c r="AB20" s="22">
        <f>+[1]RADIO!K20</f>
        <v>-6.33930000000828E-2</v>
      </c>
      <c r="AC20" s="23">
        <f>+[1]RADIO!L20</f>
        <v>-0.42882999999995891</v>
      </c>
      <c r="AD20" s="24">
        <f t="shared" si="4"/>
        <v>85.217218944549387</v>
      </c>
      <c r="AE20" s="1"/>
      <c r="AF20" s="22">
        <f>+[1]RADIO!O20</f>
        <v>-3.1796000000052942E-2</v>
      </c>
      <c r="AG20" s="23">
        <f>+[1]RADIO!P20</f>
        <v>-0.42882999999993021</v>
      </c>
      <c r="AH20" s="24">
        <f t="shared" si="5"/>
        <v>92.585406804547702</v>
      </c>
      <c r="AK20" s="35" t="str">
        <f>+IF($B$3="esp","EBIT Comparable Noticias Gestión","Total Press Comparable EBIT")</f>
        <v>Total Press Comparable EBIT</v>
      </c>
      <c r="AL20" s="36"/>
      <c r="AM20" s="37">
        <f>+[1]NOTICIAS!K20</f>
        <v>-3.2178184927224303</v>
      </c>
      <c r="AN20" s="38">
        <f>+[1]NOTICIAS!L20</f>
        <v>-6.3109036007709447</v>
      </c>
      <c r="AO20" s="39">
        <f>IF(AN20=0,"---",IF(OR(ABS((AM20-AN20)/ABS(AN20))&gt;2,(AM20*AN20)&lt;0),"---",IF(AN20="0","---",((AM20-AN20)/ABS(AN20))*100)))</f>
        <v>49.011762874505969</v>
      </c>
      <c r="AQ20" s="37">
        <f>+[1]NOTICIAS!O20</f>
        <v>2.2010069286425793</v>
      </c>
      <c r="AR20" s="38">
        <f>+[1]NOTICIAS!P20</f>
        <v>-1.113293065964637</v>
      </c>
      <c r="AS20" s="39" t="str">
        <f>IF(AR20=0,"---",IF(OR(ABS((AQ20-AR20)/ABS(AR20))&gt;2,(AQ20*AR20)&lt;0),"---",IF(AR20="0","---",((AQ20-AR20)/ABS(AR20))*100)))</f>
        <v>---</v>
      </c>
      <c r="AV20" s="45"/>
      <c r="AX20" s="1"/>
      <c r="AY20" s="1"/>
      <c r="AZ20" s="1"/>
      <c r="BA20" s="1"/>
      <c r="BB20" s="1"/>
      <c r="BC20" s="1"/>
      <c r="BD20" s="1"/>
    </row>
    <row r="21" spans="4:56" s="13" customFormat="1" ht="15" customHeight="1" thickTop="1">
      <c r="D21" s="13" t="str">
        <f>+IF($B$3="esp","EBIT","EBIT")</f>
        <v>EBIT</v>
      </c>
      <c r="F21" s="14">
        <f>+[1]GRUPO!K21</f>
        <v>53.929919599763473</v>
      </c>
      <c r="G21" s="15">
        <f>+[1]GRUPO!L21</f>
        <v>84.203908791340822</v>
      </c>
      <c r="H21" s="16">
        <f>IF(G21=0,"---",IF(OR(ABS((F21-G21)/ABS(G21))&gt;2,(F21*G21)&lt;0),"---",IF(G21="0","---",((F21-G21)/ABS(G21))*100)))</f>
        <v>-35.95318747802667</v>
      </c>
      <c r="J21" s="14">
        <f>+[1]GRUPO!O21</f>
        <v>7.95766536114742</v>
      </c>
      <c r="K21" s="15">
        <f>+[1]GRUPO!P21</f>
        <v>36.954076111084056</v>
      </c>
      <c r="L21" s="16">
        <f>IF(K21=0,"---",IF(OR(ABS((J21-K21)/ABS(K21))&gt;2,(J21*K21)&lt;0),"---",IF(K21="0","---",((J21-K21)/ABS(K21))*100)))</f>
        <v>-78.466068703147513</v>
      </c>
      <c r="O21" s="13" t="str">
        <f>+IF($B$3="esp","EBIT Comparable","Comparable EBIT")</f>
        <v>Comparable EBIT</v>
      </c>
      <c r="Q21" s="14">
        <f>+[1]SANTILLANA!K21</f>
        <v>34.529992609979999</v>
      </c>
      <c r="R21" s="15">
        <f>+[1]SANTILLANA!L21</f>
        <v>65.056822378985814</v>
      </c>
      <c r="S21" s="16">
        <f>IF(R21=0,"---",IF(OR(ABS((Q21-R21)/ABS(R21))&gt;2,(Q21*R21)&lt;0),"---",IF(R21="0","---",((Q21-R21)/ABS(R21))*100)))</f>
        <v>-46.923333560887798</v>
      </c>
      <c r="U21" s="14">
        <f>+[1]SANTILLANA!O21</f>
        <v>-16.963152060353302</v>
      </c>
      <c r="V21" s="15">
        <f>+[1]SANTILLANA!P21</f>
        <v>12.137297462699237</v>
      </c>
      <c r="W21" s="16" t="str">
        <f>IF(V21=0,"---",IF(OR(ABS((U21-V21)/ABS(V21))&gt;2,(U21*V21)&lt;0),"---",IF(V21="0","---",((U21-V21)/ABS(V21))*100)))</f>
        <v>---</v>
      </c>
      <c r="Z21" s="26" t="str">
        <f>+IF($B$3="esp","Margen EBITDA Ajustado","Adjusted EBITDA Margin")</f>
        <v>Adjusted EBITDA Margin</v>
      </c>
      <c r="AA21" s="30"/>
      <c r="AB21" s="32">
        <f>+[1]RADIO!K21</f>
        <v>0.20925771745372021</v>
      </c>
      <c r="AC21" s="33">
        <f>+[1]RADIO!L21</f>
        <v>0.19961598724875629</v>
      </c>
      <c r="AD21" s="34"/>
      <c r="AE21" s="30"/>
      <c r="AF21" s="32">
        <f>+[1]RADIO!O21</f>
        <v>0.27002297872325337</v>
      </c>
      <c r="AG21" s="33">
        <f>+[1]RADIO!P21</f>
        <v>0.27765530845399938</v>
      </c>
      <c r="AH21" s="34"/>
      <c r="AK21" s="25" t="str">
        <f>+IF($B$3="esp","EBIT Comparable","PRESS Comparable EBIT")</f>
        <v>PRESS Comparable EBIT</v>
      </c>
      <c r="AL21" s="36"/>
      <c r="AM21" s="14">
        <f>+[1]NOTICIAS!K21</f>
        <v>-1.2584619106254498</v>
      </c>
      <c r="AN21" s="15">
        <f>+[1]NOTICIAS!L21</f>
        <v>-3.2196918547650384</v>
      </c>
      <c r="AO21" s="16">
        <f>IF(AN21=0,"---",IF(OR(ABS((AM21-AN21)/ABS(AN21))&gt;2,(AM21*AN21)&lt;0),"---",IF(AN21="0","---",((AM21-AN21)/ABS(AN21))*100)))</f>
        <v>60.913591505256406</v>
      </c>
      <c r="AQ21" s="14">
        <f>+[1]NOTICIAS!O21</f>
        <v>2.7411846502580102</v>
      </c>
      <c r="AR21" s="15">
        <f>+[1]NOTICIAS!P21</f>
        <v>-8.5296752512129537E-2</v>
      </c>
      <c r="AS21" s="16" t="str">
        <f>IF(AR21=0,"---",IF(OR(ABS((AQ21-AR21)/ABS(AR21))&gt;2,(AQ21*AR21)&lt;0),"---",IF(AR21="0","---",((AQ21-AR21)/ABS(AR21))*100)))</f>
        <v>---</v>
      </c>
      <c r="AX21" s="15"/>
      <c r="AY21" s="15"/>
      <c r="AZ21" s="16"/>
      <c r="BB21" s="15"/>
      <c r="BC21" s="15"/>
      <c r="BD21" s="16"/>
    </row>
    <row r="22" spans="4:56" ht="15" customHeight="1">
      <c r="D22" s="21" t="str">
        <f>+IF($B$3="esp","España","Spain")</f>
        <v>Spain</v>
      </c>
      <c r="F22" s="22">
        <f>+[1]GRUPO!K22</f>
        <v>8.4553444999997964</v>
      </c>
      <c r="G22" s="23">
        <f>+[1]GRUPO!L22</f>
        <v>-8.9004434840353213</v>
      </c>
      <c r="H22" s="24" t="str">
        <f>IF(G22=0,"---",IF(OR(ABS((F22-G22)/ABS(G22))&gt;2,(F22*G22)&lt;0),"---",IF(G22="0","---",((F22-G22)/ABS(G22))*100)))</f>
        <v>---</v>
      </c>
      <c r="J22" s="22">
        <f>+[1]GRUPO!O22</f>
        <v>28.486910410000071</v>
      </c>
      <c r="K22" s="23">
        <f>+[1]GRUPO!P22</f>
        <v>16.872625102982717</v>
      </c>
      <c r="L22" s="24">
        <f>IF(K22=0,"---",IF(OR(ABS((J22-K22)/ABS(K22))&gt;2,(J22*K22)&lt;0),"---",IF(K22="0","---",((J22-K22)/ABS(K22))*100)))</f>
        <v>68.835081892290717</v>
      </c>
      <c r="O22" s="21" t="str">
        <f>+IF($B$3="esp","España","Spain")</f>
        <v>Spain</v>
      </c>
      <c r="Q22" s="22">
        <f>+[1]SANTILLANA!K22</f>
        <v>-1.2862051999995714</v>
      </c>
      <c r="R22" s="23">
        <f>+[1]SANTILLANA!L22</f>
        <v>-7.0178352700001767</v>
      </c>
      <c r="S22" s="24">
        <f>IF(R22=0,"---",IF(OR(ABS((Q22-R22)/ABS(R22))&gt;2,(Q22*R22)&lt;0),"---",IF(R22="0","---",((Q22-R22)/ABS(R22))*100)))</f>
        <v>81.672336974083194</v>
      </c>
      <c r="U22" s="22">
        <f>+[1]SANTILLANA!O22</f>
        <v>15.800078810000564</v>
      </c>
      <c r="V22" s="23">
        <f>+[1]SANTILLANA!P22</f>
        <v>9.3004909699994869</v>
      </c>
      <c r="W22" s="24">
        <f>IF(V22=0,"---",IF(OR(ABS((U22-V22)/ABS(V22))&gt;2,(U22*V22)&lt;0),"---",IF(V22="0","---",((U22-V22)/ABS(V22))*100)))</f>
        <v>69.88435192256776</v>
      </c>
      <c r="Z22" s="46" t="str">
        <f>+IF($B$3="esp","EBITDA con MX y CR","EBITDA w/MX&amp;CR")</f>
        <v>EBITDA w/MX&amp;CR</v>
      </c>
      <c r="AA22" s="13"/>
      <c r="AB22" s="47">
        <f>+[1]RADIO!K22</f>
        <v>30.625742656992617</v>
      </c>
      <c r="AC22" s="48">
        <f>+[1]RADIO!L22</f>
        <v>31.425315534516486</v>
      </c>
      <c r="AD22" s="49">
        <f t="shared" ref="AD22:AD27" si="8">IF(AC22=0,"---",IF(OR(ABS((AB22-AC22)/ABS(AC22))&gt;2,(AB22*AC22)&lt;0),"---",IF(AC22="0","---",((AB22-AC22)/ABS(AC22))*100)))</f>
        <v>-2.5443591064205697</v>
      </c>
      <c r="AE22" s="13"/>
      <c r="AF22" s="47">
        <f>+[1]RADIO!O22</f>
        <v>21.787116123568779</v>
      </c>
      <c r="AG22" s="48">
        <f>+[1]RADIO!P22</f>
        <v>24.024968926084441</v>
      </c>
      <c r="AH22" s="49">
        <f t="shared" ref="AH22:AH27" si="9">IF(AG22=0,"---",IF(OR(ABS((AF22-AG22)/ABS(AG22))&gt;2,(AF22*AG22)&lt;0),"---",IF(AG22="0","---",((AF22-AG22)/ABS(AG22))*100)))</f>
        <v>-9.3146959290589333</v>
      </c>
      <c r="AK22" s="26" t="str">
        <f>+IF($B$3="esp","Margen EBIT ","EBIT Margin")</f>
        <v>EBIT Margin</v>
      </c>
      <c r="AL22" s="30"/>
      <c r="AM22" s="32">
        <f>+[1]NOTICIAS!K22</f>
        <v>-1.3358145888808839E-2</v>
      </c>
      <c r="AN22" s="33">
        <f>+[1]NOTICIAS!L22</f>
        <v>-3.2114271769836236E-2</v>
      </c>
      <c r="AO22" s="34"/>
      <c r="AQ22" s="32">
        <f>+[1]NOTICIAS!O22</f>
        <v>5.4424910636846006E-2</v>
      </c>
      <c r="AR22" s="33">
        <f>+[1]NOTICIAS!P22</f>
        <v>-1.5620264591240942E-3</v>
      </c>
      <c r="AS22" s="34"/>
      <c r="AV22" s="26"/>
      <c r="AX22" s="28"/>
      <c r="AY22" s="28"/>
      <c r="AZ22" s="29"/>
      <c r="BA22" s="30"/>
      <c r="BB22" s="28"/>
      <c r="BC22" s="28"/>
      <c r="BD22" s="29"/>
    </row>
    <row r="23" spans="4:56" ht="15" customHeight="1">
      <c r="D23" s="21" t="str">
        <f>+IF($B$3="esp","Internacional","International")</f>
        <v>International</v>
      </c>
      <c r="F23" s="22">
        <f>+[1]GRUPO!K23</f>
        <v>45.474575099763676</v>
      </c>
      <c r="G23" s="23">
        <f>+[1]GRUPO!L23</f>
        <v>93.104352275376144</v>
      </c>
      <c r="H23" s="24">
        <f>IF(G23=0,"---",IF(OR(ABS((F23-G23)/ABS(G23))&gt;2,(F23*G23)&lt;0),"---",IF(G23="0","---",((F23-G23)/ABS(G23))*100)))</f>
        <v>-51.157412098993134</v>
      </c>
      <c r="J23" s="22">
        <f>+[1]GRUPO!O23</f>
        <v>-20.529245048852651</v>
      </c>
      <c r="K23" s="23">
        <f>+[1]GRUPO!P23</f>
        <v>20.08145100810134</v>
      </c>
      <c r="L23" s="24" t="str">
        <f>IF(K23=0,"---",IF(OR(ABS((J23-K23)/ABS(K23))&gt;2,(J23*K23)&lt;0),"---",IF(K23="0","---",((J23-K23)/ABS(K23))*100)))</f>
        <v>---</v>
      </c>
      <c r="O23" s="21" t="str">
        <f>+IF($B$3="esp","Internacional","International")</f>
        <v>International</v>
      </c>
      <c r="Q23" s="22">
        <f>+[1]SANTILLANA!K23</f>
        <v>35.81619780997957</v>
      </c>
      <c r="R23" s="23">
        <f>+[1]SANTILLANA!L23</f>
        <v>72.07465764898599</v>
      </c>
      <c r="S23" s="24">
        <f>IF(R23=0,"---",IF(OR(ABS((Q23-R23)/ABS(R23))&gt;2,(Q23*R23)&lt;0),"---",IF(R23="0","---",((Q23-R23)/ABS(R23))*100)))</f>
        <v>-50.306808275927395</v>
      </c>
      <c r="U23" s="22">
        <f>+[1]SANTILLANA!O23</f>
        <v>-32.763230870353865</v>
      </c>
      <c r="V23" s="23">
        <f>+[1]SANTILLANA!P23</f>
        <v>2.8368064926997505</v>
      </c>
      <c r="W23" s="24" t="str">
        <f>IF(V23=0,"---",IF(OR(ABS((U23-V23)/ABS(V23))&gt;2,(U23*V23)&lt;0),"---",IF(V23="0","---",((U23-V23)/ABS(V23))*100)))</f>
        <v>---</v>
      </c>
      <c r="Z23" s="13" t="str">
        <f>+IF($B$3="esp","EBIT Comparable","Comparable EBIT")</f>
        <v>Comparable EBIT</v>
      </c>
      <c r="AA23" s="13"/>
      <c r="AB23" s="14">
        <f>+[1]RADIO!K23</f>
        <v>19.008089320751001</v>
      </c>
      <c r="AC23" s="15">
        <f>+[1]RADIO!L23</f>
        <v>18.355111376645201</v>
      </c>
      <c r="AD23" s="16">
        <f t="shared" si="8"/>
        <v>3.5574719799120373</v>
      </c>
      <c r="AE23" s="13"/>
      <c r="AF23" s="14">
        <f>+[1]RADIO!O23</f>
        <v>15.405782231817811</v>
      </c>
      <c r="AG23" s="15">
        <f>+[1]RADIO!P23</f>
        <v>17.038650034753353</v>
      </c>
      <c r="AH23" s="16">
        <f t="shared" si="9"/>
        <v>-9.5833167510631263</v>
      </c>
      <c r="AK23" s="50" t="str">
        <f>+IF($B$3="esp","PBS y Prisa Tecnología","PBS &amp; IT")</f>
        <v>PBS &amp; IT</v>
      </c>
      <c r="AL23" s="13"/>
      <c r="AM23" s="47">
        <f>+[1]NOTICIAS!K23</f>
        <v>-1.9593565820969805</v>
      </c>
      <c r="AN23" s="48">
        <f>+[1]NOTICIAS!L23</f>
        <v>-3.0912117460059063</v>
      </c>
      <c r="AO23" s="49">
        <f>IF(AN23=0,"---",IF(OR(ABS((AM23-AN23)/ABS(AN23))&gt;2,(AM23*AN23)&lt;0),"---",IF(AN23="0","---",((AM23-AN23)/ABS(AN23))*100)))</f>
        <v>36.615258251764004</v>
      </c>
      <c r="AQ23" s="47">
        <f>+[1]NOTICIAS!O23</f>
        <v>-0.54017772161543087</v>
      </c>
      <c r="AR23" s="48">
        <f>+[1]NOTICIAS!P23</f>
        <v>-1.0279963134525074</v>
      </c>
      <c r="AS23" s="49">
        <f>IF(AR23=0,"---",IF(OR(ABS((AQ23-AR23)/ABS(AR23))&gt;2,(AQ23*AR23)&lt;0),"---",IF(AR23="0","---",((AQ23-AR23)/ABS(AR23))*100)))</f>
        <v>47.453340586285414</v>
      </c>
      <c r="AV23" s="26"/>
      <c r="AX23" s="28"/>
      <c r="AY23" s="28"/>
      <c r="AZ23" s="29"/>
      <c r="BA23" s="30"/>
      <c r="BB23" s="28"/>
      <c r="BC23" s="28"/>
      <c r="BD23" s="29"/>
    </row>
    <row r="24" spans="4:56" ht="15" customHeight="1">
      <c r="D24" s="31" t="str">
        <f>+IF($B$3="esp","Latam","Latam")</f>
        <v>Latam</v>
      </c>
      <c r="F24" s="22">
        <f>+[1]GRUPO!K24</f>
        <v>35.642546876879081</v>
      </c>
      <c r="G24" s="23">
        <f>+[1]GRUPO!L24</f>
        <v>78.74814320388856</v>
      </c>
      <c r="H24" s="24">
        <f>IF(G24=0,"---",IF(OR(ABS((F24-G24)/ABS(G24))&gt;2,(F24*G24)&lt;0),"---",IF(G24="0","---",((F24-G24)/ABS(G24))*100)))</f>
        <v>-54.738555822711689</v>
      </c>
      <c r="J24" s="22">
        <f>+[1]GRUPO!O24</f>
        <v>-31.564472253915923</v>
      </c>
      <c r="K24" s="23">
        <f>+[1]GRUPO!P24</f>
        <v>8.3170967930007293</v>
      </c>
      <c r="L24" s="24" t="str">
        <f>IF(K24=0,"---",IF(OR(ABS((J24-K24)/ABS(K24))&gt;2,(J24*K24)&lt;0),"---",IF(K24="0","---",((J24-K24)/ABS(K24))*100)))</f>
        <v>---</v>
      </c>
      <c r="O24" s="31" t="str">
        <f>+IF($B$3="esp","Latam","Latam")</f>
        <v>Latam</v>
      </c>
      <c r="Q24" s="22">
        <f>+[1]SANTILLANA!K24</f>
        <v>35.865357809979571</v>
      </c>
      <c r="R24" s="23">
        <f>+[1]SANTILLANA!L24</f>
        <v>73.844314648985986</v>
      </c>
      <c r="S24" s="24">
        <f>IF(R24=0,"---",IF(OR(ABS((Q24-R24)/ABS(R24))&gt;2,(Q24*R24)&lt;0),"---",IF(R24="0","---",((Q24-R24)/ABS(R24))*100)))</f>
        <v>-51.431118319043044</v>
      </c>
      <c r="U24" s="22">
        <f>+[1]SANTILLANA!O24</f>
        <v>-32.786292870353861</v>
      </c>
      <c r="V24" s="23">
        <f>+[1]SANTILLANA!P24</f>
        <v>3.8202234926997392</v>
      </c>
      <c r="W24" s="24" t="str">
        <f>IF(V24=0,"---",IF(OR(ABS((U24-V24)/ABS(V24))&gt;2,(U24*V24)&lt;0),"---",IF(V24="0","---",((U24-V24)/ABS(V24))*100)))</f>
        <v>---</v>
      </c>
      <c r="Z24" s="21" t="str">
        <f>+IF($B$3="esp","España","Spain")</f>
        <v>Spain</v>
      </c>
      <c r="AB24" s="22">
        <f>+[1]RADIO!K24</f>
        <v>15.890000290000097</v>
      </c>
      <c r="AC24" s="23">
        <f>+[1]RADIO!L24</f>
        <v>11.381724659999998</v>
      </c>
      <c r="AD24" s="24">
        <f t="shared" si="8"/>
        <v>39.609775887867073</v>
      </c>
      <c r="AF24" s="22">
        <f>+[1]RADIO!O24</f>
        <v>12.553592210000108</v>
      </c>
      <c r="AG24" s="23">
        <f>+[1]RADIO!P24</f>
        <v>12.029667840000018</v>
      </c>
      <c r="AH24" s="24">
        <f t="shared" si="9"/>
        <v>4.3552687985114762</v>
      </c>
      <c r="AV24" s="13"/>
      <c r="AX24" s="15"/>
      <c r="AY24" s="15"/>
      <c r="AZ24" s="16"/>
      <c r="BA24" s="13"/>
      <c r="BB24" s="15"/>
      <c r="BC24" s="15"/>
      <c r="BD24" s="16"/>
    </row>
    <row r="25" spans="4:56" ht="15" customHeight="1">
      <c r="D25" s="31" t="str">
        <f>+IF($B$3="esp","Portugal","Portugal")</f>
        <v>Portugal</v>
      </c>
      <c r="F25" s="22">
        <f>+[1]GRUPO!K25</f>
        <v>9.832028222884599</v>
      </c>
      <c r="G25" s="23">
        <f>+[1]GRUPO!L25</f>
        <v>14.356209071487598</v>
      </c>
      <c r="H25" s="24">
        <f>IF(G25=0,"---",IF(OR(ABS((F25-G25)/ABS(G25))&gt;2,(F25*G25)&lt;0),"---",IF(G25="0","---",((F25-G25)/ABS(G25))*100)))</f>
        <v>-31.513757051562646</v>
      </c>
      <c r="J25" s="22">
        <f>+[1]GRUPO!O25</f>
        <v>11.035227205063268</v>
      </c>
      <c r="K25" s="23">
        <f>+[1]GRUPO!P25</f>
        <v>11.76435421510063</v>
      </c>
      <c r="L25" s="24">
        <f>IF(K25=0,"---",IF(OR(ABS((J25-K25)/ABS(K25))&gt;2,(J25*K25)&lt;0),"---",IF(K25="0","---",((J25-K25)/ABS(K25))*100)))</f>
        <v>-6.1977648471469831</v>
      </c>
      <c r="O25" s="31" t="str">
        <f>+IF($B$3="esp","Portugal","Portugal")</f>
        <v>Portugal</v>
      </c>
      <c r="Q25" s="22">
        <f>+[1]SANTILLANA!K25</f>
        <v>-4.9159999999999995E-2</v>
      </c>
      <c r="R25" s="23">
        <f>+[1]SANTILLANA!L25</f>
        <v>-1.769657</v>
      </c>
      <c r="S25" s="24">
        <f>IF(R25=0,"---",IF(OR(ABS((Q25-R25)/ABS(R25))&gt;2,(Q25*R25)&lt;0),"---",IF(R25="0","---",((Q25-R25)/ABS(R25))*100)))</f>
        <v>97.222060546196232</v>
      </c>
      <c r="U25" s="22">
        <f>+[1]SANTILLANA!O25</f>
        <v>2.3061999999999999E-2</v>
      </c>
      <c r="V25" s="23">
        <f>+[1]SANTILLANA!P25</f>
        <v>-0.98341699999999999</v>
      </c>
      <c r="W25" s="24" t="str">
        <f>IF(V25=0,"---",IF(OR(ABS((U25-V25)/ABS(V25))&gt;2,(U25*V25)&lt;0),"---",IF(V25="0","---",((U25-V25)/ABS(V25))*100)))</f>
        <v>---</v>
      </c>
      <c r="Z25" s="21" t="str">
        <f>+IF($B$3="esp","Latam","Latam")</f>
        <v>Latam</v>
      </c>
      <c r="AB25" s="22">
        <f>+[1]RADIO!K25</f>
        <v>3.22947916075083</v>
      </c>
      <c r="AC25" s="23">
        <f>+[1]RADIO!L25</f>
        <v>7.7253280523547199</v>
      </c>
      <c r="AD25" s="24">
        <f t="shared" si="8"/>
        <v>-58.196219773910208</v>
      </c>
      <c r="AF25" s="22">
        <f>+[1]RADIO!O25</f>
        <v>2.9235461118175441</v>
      </c>
      <c r="AG25" s="23">
        <f>+[1]RADIO!P25</f>
        <v>5.4763133362086904</v>
      </c>
      <c r="AH25" s="24">
        <f t="shared" si="9"/>
        <v>-46.61470349975361</v>
      </c>
      <c r="AV25" s="13"/>
      <c r="AX25" s="15"/>
      <c r="AY25" s="15"/>
      <c r="AZ25" s="16"/>
      <c r="BA25" s="13"/>
      <c r="BB25" s="15"/>
      <c r="BC25" s="15"/>
      <c r="BD25" s="16"/>
    </row>
    <row r="26" spans="4:56" s="30" customFormat="1" ht="15" customHeight="1">
      <c r="D26" s="40" t="str">
        <f>+IF($B$3="esp","Margen EBIT","EBIT Margin")</f>
        <v>EBIT Margin</v>
      </c>
      <c r="F26" s="41">
        <f>+[1]GRUPO!K26</f>
        <v>9.4293093929997698E-2</v>
      </c>
      <c r="G26" s="42">
        <f>+[1]GRUPO!L26</f>
        <v>0.13385165154518461</v>
      </c>
      <c r="H26" s="43"/>
      <c r="J26" s="41">
        <f>+[1]GRUPO!O26</f>
        <v>3.0651083708371475E-2</v>
      </c>
      <c r="K26" s="42">
        <f>+[1]GRUPO!P26</f>
        <v>0.11994817075737729</v>
      </c>
      <c r="L26" s="43"/>
      <c r="O26" s="40" t="str">
        <f>+IF($B$3="esp","Margen EBIT Ajustado","Adjusted EBIT Margin")</f>
        <v>Adjusted EBIT Margin</v>
      </c>
      <c r="Q26" s="41">
        <f>+[1]SANTILLANA!K26</f>
        <v>0.13489356275844747</v>
      </c>
      <c r="R26" s="42">
        <f>+[1]SANTILLANA!L26</f>
        <v>0.21589520491760486</v>
      </c>
      <c r="S26" s="43"/>
      <c r="U26" s="41">
        <f>+[1]SANTILLANA!O26</f>
        <v>-0.19483742561751827</v>
      </c>
      <c r="V26" s="42">
        <f>+[1]SANTILLANA!P26</f>
        <v>9.5129375329937316E-2</v>
      </c>
      <c r="W26" s="43"/>
      <c r="Z26" s="21" t="str">
        <f>+IF($B$3="esp","Música","Music")</f>
        <v>Music</v>
      </c>
      <c r="AA26" s="1"/>
      <c r="AB26" s="22">
        <f>+[1]RADIO!K26</f>
        <v>-4.7997129999999999E-2</v>
      </c>
      <c r="AC26" s="23">
        <f>+[1]RADIO!L26</f>
        <v>-0.323111335709587</v>
      </c>
      <c r="AD26" s="24">
        <f t="shared" si="8"/>
        <v>85.145327725939055</v>
      </c>
      <c r="AE26" s="1"/>
      <c r="AF26" s="22">
        <f>+[1]RADIO!O26</f>
        <v>-3.9560089999999999E-2</v>
      </c>
      <c r="AG26" s="23">
        <f>+[1]RADIO!P26</f>
        <v>-3.8501141455503041E-2</v>
      </c>
      <c r="AH26" s="24">
        <f t="shared" si="9"/>
        <v>-2.7504341545842688</v>
      </c>
      <c r="AV26" s="26"/>
      <c r="AX26" s="33"/>
      <c r="AY26" s="33"/>
      <c r="AZ26" s="34"/>
      <c r="BB26" s="33"/>
      <c r="BC26" s="33"/>
      <c r="BD26" s="34"/>
    </row>
    <row r="27" spans="4:56">
      <c r="Z27" s="21" t="str">
        <f>+IF($B$3="esp","Ajustes y Otros","Adjustments &amp; others")</f>
        <v>Adjustments &amp; others</v>
      </c>
      <c r="AB27" s="22">
        <f>+[1]RADIO!K27</f>
        <v>-6.339299999992648E-2</v>
      </c>
      <c r="AC27" s="23">
        <f>+[1]RADIO!L27</f>
        <v>-0.4288299999999296</v>
      </c>
      <c r="AD27" s="24">
        <f t="shared" si="8"/>
        <v>85.217218944584829</v>
      </c>
      <c r="AF27" s="22">
        <f>+[1]RADIO!O27</f>
        <v>-3.1795999999840556E-2</v>
      </c>
      <c r="AG27" s="23">
        <f>+[1]RADIO!P27</f>
        <v>-0.42882999999985233</v>
      </c>
      <c r="AH27" s="24">
        <f t="shared" si="9"/>
        <v>92.585406804595877</v>
      </c>
      <c r="AV27" s="13"/>
      <c r="AX27" s="15"/>
      <c r="AY27" s="15"/>
      <c r="AZ27" s="16"/>
      <c r="BA27" s="13"/>
      <c r="BB27" s="15"/>
      <c r="BC27" s="15"/>
      <c r="BD27" s="16"/>
    </row>
    <row r="28" spans="4:56">
      <c r="D28" s="9"/>
      <c r="F28" s="10">
        <v>2019</v>
      </c>
      <c r="G28" s="10">
        <v>2018</v>
      </c>
      <c r="H28" s="10" t="s">
        <v>5</v>
      </c>
      <c r="J28" s="10">
        <v>2019</v>
      </c>
      <c r="K28" s="10">
        <v>2018</v>
      </c>
      <c r="L28" s="10" t="s">
        <v>5</v>
      </c>
      <c r="O28" s="9"/>
      <c r="Q28" s="10">
        <v>2019</v>
      </c>
      <c r="R28" s="10">
        <v>2018</v>
      </c>
      <c r="S28" s="10" t="s">
        <v>5</v>
      </c>
      <c r="U28" s="10">
        <v>2019</v>
      </c>
      <c r="V28" s="10">
        <v>2018</v>
      </c>
      <c r="W28" s="10" t="s">
        <v>5</v>
      </c>
      <c r="Z28" s="26" t="str">
        <f>+IF($B$3="esp","Margen EBIT Ajustado","Adjusted EBIT Margin")</f>
        <v>Adjusted EBIT Margin</v>
      </c>
      <c r="AA28" s="30"/>
      <c r="AB28" s="32">
        <f>+[1]RADIO!K28</f>
        <v>0.14132396174214193</v>
      </c>
      <c r="AC28" s="33">
        <f>+[1]RADIO!L28</f>
        <v>0.13498729956199737</v>
      </c>
      <c r="AD28" s="34"/>
      <c r="AE28" s="30"/>
      <c r="AF28" s="32">
        <f>+[1]RADIO!O28</f>
        <v>0.20695777031459825</v>
      </c>
      <c r="AG28" s="33">
        <f>+[1]RADIO!P28</f>
        <v>0.22086725354117701</v>
      </c>
      <c r="AH28" s="34"/>
      <c r="AV28" s="26"/>
      <c r="AX28" s="33"/>
      <c r="AY28" s="33"/>
      <c r="AZ28" s="34"/>
      <c r="BA28" s="30"/>
      <c r="BB28" s="33"/>
      <c r="BC28" s="33"/>
      <c r="BD28" s="34"/>
    </row>
    <row r="29" spans="4:56" ht="15.75" customHeight="1">
      <c r="D29" s="11" t="str">
        <f>+IF($B$3="esp","Resultados Comparables a tipo constante","Comparable Results at constant currency")</f>
        <v>Comparable Results at constant currency</v>
      </c>
      <c r="F29" s="12"/>
      <c r="G29" s="12"/>
      <c r="H29" s="12"/>
      <c r="J29" s="12"/>
      <c r="K29" s="12"/>
      <c r="L29" s="12"/>
      <c r="O29" s="11" t="str">
        <f>+IF($B$3="esp","Resultados Comparables a tipo constante","Comparable Results at constant currency")</f>
        <v>Comparable Results at constant currency</v>
      </c>
      <c r="Q29" s="12"/>
      <c r="R29" s="12"/>
      <c r="S29" s="12"/>
      <c r="U29" s="12"/>
      <c r="V29" s="12"/>
      <c r="W29" s="12"/>
      <c r="Z29" s="46" t="str">
        <f>+IF($B$3="esp","EBIT con MX y CR","EBIT w/MX&amp;CR")</f>
        <v>EBIT w/MX&amp;CR</v>
      </c>
      <c r="AA29" s="13"/>
      <c r="AB29" s="47">
        <f>+[1]RADIO!K29</f>
        <v>20.982823523811625</v>
      </c>
      <c r="AC29" s="48">
        <f>+[1]RADIO!L29</f>
        <v>22.231375533482058</v>
      </c>
      <c r="AD29" s="49">
        <f>IF(AC29=0,"---",IF(OR(ABS((AB29-AC29)/ABS(AC29))&gt;2,(AB29*AC29)&lt;0),"---",IF(AC29="0","---",((AB29-AC29)/ABS(AC29))*100)))</f>
        <v>-5.6161707483642829</v>
      </c>
      <c r="AE29" s="13"/>
      <c r="AF29" s="47">
        <f>+[1]RADIO!O29</f>
        <v>16.836142731482184</v>
      </c>
      <c r="AG29" s="48">
        <f>+[1]RADIO!P29</f>
        <v>19.438264374644227</v>
      </c>
      <c r="AH29" s="49">
        <f>IF(AG29=0,"---",IF(OR(ABS((AF29-AG29)/ABS(AG29))&gt;2,(AF29*AG29)&lt;0),"---",IF(AG29="0","---",((AF29-AG29)/ABS(AG29))*100)))</f>
        <v>-13.386594569401563</v>
      </c>
    </row>
    <row r="30" spans="4:56" s="13" customFormat="1" ht="15" customHeight="1">
      <c r="D30" s="13" t="str">
        <f>+IF($B$3="esp","Ingresos de Explotación a tipo constante","Operating Revenues on constant currency")</f>
        <v>Operating Revenues on constant currency</v>
      </c>
      <c r="F30" s="14">
        <f>+[1]GRUPO!K30</f>
        <v>578.62365120000777</v>
      </c>
      <c r="G30" s="15">
        <f>+[1]GRUPO!L30</f>
        <v>629.08382391468604</v>
      </c>
      <c r="H30" s="16">
        <f t="shared" ref="H30:H39" si="10">IF(G30=0,"---",IF(OR(ABS((F30-G30)/ABS(G30))&gt;2,(F30*G30)&lt;0),"---",IF(G30="0","---",((F30-G30)/ABS(G30))*100)))</f>
        <v>-8.0212160599954458</v>
      </c>
      <c r="J30" s="14">
        <f>+[1]GRUPO!O30</f>
        <v>258.95300155048966</v>
      </c>
      <c r="K30" s="15">
        <f>+[1]GRUPO!P30</f>
        <v>308.08369879881002</v>
      </c>
      <c r="L30" s="16">
        <f t="shared" ref="L30:L39" si="11">IF(K30=0,"---",IF(OR(ABS((J30-K30)/ABS(K30))&gt;2,(J30*K30)&lt;0),"---",IF(K30="0","---",((J30-K30)/ABS(K30))*100)))</f>
        <v>-15.947191441766126</v>
      </c>
      <c r="O30" s="13" t="str">
        <f>+IF($B$3="esp","Ingresos de Explotación Ajustados a tipo constante","Operating Adjusted Revenues on constant currency")</f>
        <v>Operating Adjusted Revenues on constant currency</v>
      </c>
      <c r="Q30" s="14">
        <f>+[1]SANTILLANA!K30</f>
        <v>260.48136887844208</v>
      </c>
      <c r="R30" s="15">
        <f>+[1]SANTILLANA!L30</f>
        <v>301.33518900438003</v>
      </c>
      <c r="S30" s="16">
        <f t="shared" ref="S30:S39" si="12">IF(R30=0,"---",IF(OR(ABS((Q30-R30)/ABS(R30))&gt;2,(Q30*R30)&lt;0),"---",IF(R30="0","---",((Q30-R30)/ABS(R30))*100)))</f>
        <v>-13.557600179693621</v>
      </c>
      <c r="U30" s="14">
        <f>+[1]SANTILLANA!O30</f>
        <v>85.094676213750745</v>
      </c>
      <c r="V30" s="15">
        <f>+[1]SANTILLANA!P30</f>
        <v>127.58727176125603</v>
      </c>
      <c r="W30" s="16">
        <f t="shared" ref="W30:W39" si="13">IF(V30=0,"---",IF(OR(ABS((U30-V30)/ABS(V30))&gt;2,(U30*V30)&lt;0),"---",IF(V30="0","---",((U30-V30)/ABS(V30))*100)))</f>
        <v>-33.304729351857546</v>
      </c>
      <c r="Z30" s="1"/>
      <c r="AA30" s="1"/>
      <c r="AB30" s="1"/>
      <c r="AC30" s="1"/>
      <c r="AD30" s="1"/>
      <c r="AE30" s="1"/>
      <c r="AF30" s="1"/>
      <c r="AG30" s="1"/>
      <c r="AH30" s="1"/>
      <c r="AV30" s="1"/>
      <c r="AX30" s="1"/>
      <c r="AY30" s="1"/>
      <c r="AZ30" s="1"/>
      <c r="BA30" s="1"/>
      <c r="BB30" s="1"/>
      <c r="BC30" s="1"/>
      <c r="BD30" s="1"/>
    </row>
    <row r="31" spans="4:56" ht="15" customHeight="1">
      <c r="D31" s="21" t="str">
        <f>+IF($B$3="esp","España","Spain")</f>
        <v>Spain</v>
      </c>
      <c r="F31" s="22">
        <f>+[1]GRUPO!K31</f>
        <v>234.04000057000025</v>
      </c>
      <c r="G31" s="23">
        <f>+[1]GRUPO!L31</f>
        <v>229.43266784999997</v>
      </c>
      <c r="H31" s="24">
        <f t="shared" si="10"/>
        <v>2.0081415446088458</v>
      </c>
      <c r="J31" s="22">
        <f>+[1]GRUPO!O31</f>
        <v>146.37743343000025</v>
      </c>
      <c r="K31" s="23">
        <f>+[1]GRUPO!P31</f>
        <v>141.29014652999976</v>
      </c>
      <c r="L31" s="24">
        <f t="shared" si="11"/>
        <v>3.6005956713480529</v>
      </c>
      <c r="O31" s="21" t="str">
        <f>+IF($B$3="esp","España","Spain")</f>
        <v>Spain</v>
      </c>
      <c r="Q31" s="22">
        <f>+[1]SANTILLANA!K31</f>
        <v>46.650084337478688</v>
      </c>
      <c r="R31" s="23">
        <f>+[1]SANTILLANA!L31</f>
        <v>37.301114477915576</v>
      </c>
      <c r="S31" s="24">
        <f t="shared" si="12"/>
        <v>25.063513491261087</v>
      </c>
      <c r="U31" s="22">
        <f>+[1]SANTILLANA!O31</f>
        <v>44.165153492260316</v>
      </c>
      <c r="V31" s="23">
        <f>+[1]SANTILLANA!P31</f>
        <v>35.232237330981775</v>
      </c>
      <c r="W31" s="24">
        <f t="shared" si="13"/>
        <v>25.354382344101957</v>
      </c>
      <c r="Z31" s="9"/>
      <c r="AB31" s="10">
        <v>2019</v>
      </c>
      <c r="AC31" s="10">
        <v>2018</v>
      </c>
      <c r="AD31" s="10" t="s">
        <v>5</v>
      </c>
      <c r="AF31" s="10">
        <v>2019</v>
      </c>
      <c r="AG31" s="10">
        <v>2018</v>
      </c>
      <c r="AH31" s="10" t="s">
        <v>5</v>
      </c>
    </row>
    <row r="32" spans="4:56" ht="15" customHeight="1">
      <c r="D32" s="21" t="str">
        <f>+IF($B$3="esp","Internacional","International")</f>
        <v>International</v>
      </c>
      <c r="F32" s="22">
        <f>+[1]GRUPO!K32</f>
        <v>344.58365063000753</v>
      </c>
      <c r="G32" s="23">
        <f>+[1]GRUPO!L32</f>
        <v>399.65115606468606</v>
      </c>
      <c r="H32" s="24">
        <f t="shared" si="10"/>
        <v>-13.778893066873929</v>
      </c>
      <c r="J32" s="22">
        <f>+[1]GRUPO!O32</f>
        <v>112.57556812048941</v>
      </c>
      <c r="K32" s="23">
        <f>+[1]GRUPO!P32</f>
        <v>166.79355226881026</v>
      </c>
      <c r="L32" s="24">
        <f t="shared" si="11"/>
        <v>-32.50604319580728</v>
      </c>
      <c r="O32" s="21" t="str">
        <f>+IF($B$3="esp","Internacional","International")</f>
        <v>International</v>
      </c>
      <c r="Q32" s="22">
        <f>+[1]SANTILLANA!K32</f>
        <v>213.8312845409634</v>
      </c>
      <c r="R32" s="23">
        <f>+[1]SANTILLANA!L32</f>
        <v>264.03407452646445</v>
      </c>
      <c r="S32" s="24">
        <f t="shared" si="12"/>
        <v>-19.013754219237779</v>
      </c>
      <c r="U32" s="22">
        <f>+[1]SANTILLANA!O32</f>
        <v>40.929522721490429</v>
      </c>
      <c r="V32" s="23">
        <f>+[1]SANTILLANA!P32</f>
        <v>92.355034430274259</v>
      </c>
      <c r="W32" s="24">
        <f t="shared" si="13"/>
        <v>-55.682413011939062</v>
      </c>
      <c r="Z32" s="11" t="str">
        <f>+IF($B$3="esp","Resultados Comparables a tipo constante","Comparable Results at constant currency")</f>
        <v>Comparable Results at constant currency</v>
      </c>
      <c r="AB32" s="12"/>
      <c r="AC32" s="12"/>
      <c r="AD32" s="12"/>
      <c r="AF32" s="12"/>
      <c r="AG32" s="12"/>
      <c r="AH32" s="12"/>
    </row>
    <row r="33" spans="4:34" ht="15" customHeight="1">
      <c r="D33" s="31" t="str">
        <f>+IF($B$3="esp","Latam","Latam")</f>
        <v>Latam</v>
      </c>
      <c r="F33" s="22">
        <f>+[1]GRUPO!K33</f>
        <v>258.11084166000751</v>
      </c>
      <c r="G33" s="23">
        <f>+[1]GRUPO!L33</f>
        <v>313.1513859146861</v>
      </c>
      <c r="H33" s="24">
        <f t="shared" si="10"/>
        <v>-17.576337429869671</v>
      </c>
      <c r="J33" s="22">
        <f>+[1]GRUPO!O33</f>
        <v>65.609773240489403</v>
      </c>
      <c r="K33" s="23">
        <f>+[1]GRUPO!P33</f>
        <v>118.75017309881031</v>
      </c>
      <c r="L33" s="24">
        <f t="shared" si="11"/>
        <v>-44.749745176458433</v>
      </c>
      <c r="O33" s="31" t="str">
        <f>+IF($B$3="esp","Latam","Latam")</f>
        <v>Latam</v>
      </c>
      <c r="Q33" s="22">
        <f>+[1]SANTILLANA!K33</f>
        <v>213.61169554096338</v>
      </c>
      <c r="R33" s="23">
        <f>+[1]SANTILLANA!L33</f>
        <v>264.00426652646445</v>
      </c>
      <c r="S33" s="24">
        <f t="shared" si="12"/>
        <v>-19.087786590922228</v>
      </c>
      <c r="U33" s="22">
        <f>+[1]SANTILLANA!O33</f>
        <v>40.909772721490413</v>
      </c>
      <c r="V33" s="23">
        <f>+[1]SANTILLANA!P33</f>
        <v>92.354632430274251</v>
      </c>
      <c r="W33" s="24">
        <f t="shared" si="13"/>
        <v>-55.703605065640417</v>
      </c>
      <c r="Z33" s="13" t="str">
        <f>+IF($B$3="esp","Ingresos de Explotación Ajustados a tipo constante","Operating Adjusted Revenues on constant currency")</f>
        <v>Operating Adjusted Revenues on constant currency</v>
      </c>
      <c r="AA33" s="13"/>
      <c r="AB33" s="14">
        <f>+[1]RADIO!K33</f>
        <v>136.78244977375002</v>
      </c>
      <c r="AC33" s="15">
        <f>+[1]RADIO!L33</f>
        <v>135.97658028720701</v>
      </c>
      <c r="AD33" s="16">
        <f t="shared" ref="AD33:AD43" si="14">IF(AC33=0,"---",IF(OR(ABS((AB33-AC33)/ABS(AC33))&gt;2,(AB33*AC33)&lt;0),"---",IF(AC33="0","---",((AB33-AC33)/ABS(AC33))*100)))</f>
        <v>0.59265315015340236</v>
      </c>
      <c r="AE33" s="13"/>
      <c r="AF33" s="14">
        <f>+[1]RADIO!O33</f>
        <v>75.806046493391023</v>
      </c>
      <c r="AG33" s="15">
        <f>+[1]RADIO!P33</f>
        <v>77.144301663427811</v>
      </c>
      <c r="AH33" s="16">
        <f t="shared" ref="AH33:AH43" si="15">IF(AG33=0,"---",IF(OR(ABS((AF33-AG33)/ABS(AG33))&gt;2,(AF33*AG33)&lt;0),"---",IF(AG33="0","---",((AF33-AG33)/ABS(AG33))*100)))</f>
        <v>-1.7347427368977295</v>
      </c>
    </row>
    <row r="34" spans="4:34" ht="15" customHeight="1">
      <c r="D34" s="31" t="str">
        <f>+IF($B$3="esp","Portugal","Portugal")</f>
        <v>Portugal</v>
      </c>
      <c r="F34" s="22">
        <f>+[1]GRUPO!K34</f>
        <v>86.472808970000003</v>
      </c>
      <c r="G34" s="23">
        <f>+[1]GRUPO!L34</f>
        <v>86.499770150000003</v>
      </c>
      <c r="H34" s="24">
        <f t="shared" si="10"/>
        <v>-3.1169077042918242E-2</v>
      </c>
      <c r="J34" s="22">
        <f>+[1]GRUPO!O34</f>
        <v>46.965794879999997</v>
      </c>
      <c r="K34" s="23">
        <f>+[1]GRUPO!P34</f>
        <v>48.043379170000001</v>
      </c>
      <c r="L34" s="24">
        <f t="shared" si="11"/>
        <v>-2.2429402523644431</v>
      </c>
      <c r="O34" s="31" t="str">
        <f>+IF($B$3="esp","Portugal","Portugal")</f>
        <v>Portugal</v>
      </c>
      <c r="Q34" s="22">
        <f>+[1]SANTILLANA!K34</f>
        <v>0.21958900000000001</v>
      </c>
      <c r="R34" s="23">
        <f>+[1]SANTILLANA!L34</f>
        <v>2.9808000000000001E-2</v>
      </c>
      <c r="S34" s="24" t="str">
        <f t="shared" si="12"/>
        <v>---</v>
      </c>
      <c r="U34" s="22">
        <f>+[1]SANTILLANA!O34</f>
        <v>1.9750000000000018E-2</v>
      </c>
      <c r="V34" s="23">
        <f>+[1]SANTILLANA!P34</f>
        <v>4.0200000000000305E-4</v>
      </c>
      <c r="W34" s="24" t="str">
        <f t="shared" si="13"/>
        <v>---</v>
      </c>
      <c r="Z34" s="21" t="str">
        <f>+IF($B$3="esp","España","Spain")</f>
        <v>Spain</v>
      </c>
      <c r="AB34" s="22">
        <f>+[1]RADIO!K34</f>
        <v>96.001446800000011</v>
      </c>
      <c r="AC34" s="23">
        <f>+[1]RADIO!L34</f>
        <v>93.61553318</v>
      </c>
      <c r="AD34" s="24">
        <f t="shared" si="14"/>
        <v>2.5486300605824428</v>
      </c>
      <c r="AF34" s="22">
        <f>+[1]RADIO!O34</f>
        <v>52.887086470000007</v>
      </c>
      <c r="AG34" s="23">
        <f>+[1]RADIO!P34</f>
        <v>53.672095929999998</v>
      </c>
      <c r="AH34" s="24">
        <f t="shared" si="15"/>
        <v>-1.4626025803497826</v>
      </c>
    </row>
    <row r="35" spans="4:34" s="13" customFormat="1" ht="15" customHeight="1">
      <c r="D35" s="13" t="str">
        <f>+IF($B$3="esp","EBITDA a tipo constante","EBITDA on constant currency")</f>
        <v>EBITDA on constant currency</v>
      </c>
      <c r="F35" s="14">
        <f>+[1]GRUPO!K35</f>
        <v>101.7036792807959</v>
      </c>
      <c r="G35" s="15">
        <f>+[1]GRUPO!L35</f>
        <v>128.31755554874303</v>
      </c>
      <c r="H35" s="16">
        <f t="shared" si="10"/>
        <v>-20.740635335620556</v>
      </c>
      <c r="J35" s="14">
        <f>+[1]GRUPO!O35</f>
        <v>28.245173558168148</v>
      </c>
      <c r="K35" s="15">
        <f>+[1]GRUPO!P35</f>
        <v>56.728480135296067</v>
      </c>
      <c r="L35" s="16">
        <f t="shared" si="11"/>
        <v>-50.209888417944413</v>
      </c>
      <c r="O35" s="13" t="str">
        <f>+IF($B$3="esp","EBITDA Comparable a tipo constante","Comparable EBITDA on constant currency")</f>
        <v>Comparable EBITDA on constant currency</v>
      </c>
      <c r="Q35" s="14">
        <f>+[1]SANTILLANA!K35</f>
        <v>63.3742352862483</v>
      </c>
      <c r="R35" s="15">
        <f>+[1]SANTILLANA!L35</f>
        <v>91.016425253944718</v>
      </c>
      <c r="S35" s="16">
        <f t="shared" si="12"/>
        <v>-30.370551129174771</v>
      </c>
      <c r="U35" s="14">
        <f>+[1]SANTILLANA!O35</f>
        <v>-6.8922406834652108</v>
      </c>
      <c r="V35" s="15">
        <f>+[1]SANTILLANA!P35</f>
        <v>22.768506068664394</v>
      </c>
      <c r="W35" s="16" t="str">
        <f t="shared" si="13"/>
        <v>---</v>
      </c>
      <c r="Z35" s="21" t="str">
        <f>+IF($B$3="esp","Latam","Latam")</f>
        <v>Latam</v>
      </c>
      <c r="AA35" s="1"/>
      <c r="AB35" s="22">
        <f>+[1]RADIO!K35</f>
        <v>42.800874712669099</v>
      </c>
      <c r="AC35" s="23">
        <f>+[1]RADIO!L35</f>
        <v>43.849909448527704</v>
      </c>
      <c r="AD35" s="24">
        <f t="shared" si="14"/>
        <v>-2.3923304495987443</v>
      </c>
      <c r="AE35" s="1"/>
      <c r="AF35" s="22">
        <f>+[1]RADIO!O35</f>
        <v>24.007165442060401</v>
      </c>
      <c r="AG35" s="23">
        <f>+[1]RADIO!P35</f>
        <v>24.443895095250504</v>
      </c>
      <c r="AH35" s="24">
        <f t="shared" si="15"/>
        <v>-1.7866614608199656</v>
      </c>
    </row>
    <row r="36" spans="4:34" ht="15" customHeight="1">
      <c r="D36" s="21" t="str">
        <f>+IF($B$3="esp","España","Spain")</f>
        <v>Spain</v>
      </c>
      <c r="F36" s="22">
        <f>+[1]GRUPO!K36</f>
        <v>23.823698119999875</v>
      </c>
      <c r="G36" s="23">
        <f>+[1]GRUPO!L36</f>
        <v>6.5260659442303961</v>
      </c>
      <c r="H36" s="24" t="str">
        <f t="shared" si="10"/>
        <v>---</v>
      </c>
      <c r="J36" s="22">
        <f>+[1]GRUPO!O36</f>
        <v>36.13902394999991</v>
      </c>
      <c r="K36" s="23">
        <f>+[1]GRUPO!P36</f>
        <v>24.662005707115242</v>
      </c>
      <c r="L36" s="24">
        <f t="shared" si="11"/>
        <v>46.537245912539184</v>
      </c>
      <c r="O36" s="21" t="str">
        <f>+IF($B$3="esp","España","Spain")</f>
        <v>Spain</v>
      </c>
      <c r="Q36" s="22">
        <f>+[1]SANTILLANA!K36</f>
        <v>3.0187755100000331</v>
      </c>
      <c r="R36" s="23">
        <f>+[1]SANTILLANA!L36</f>
        <v>-2.6638267099999524</v>
      </c>
      <c r="S36" s="24" t="str">
        <f t="shared" si="12"/>
        <v>---</v>
      </c>
      <c r="U36" s="22">
        <f>+[1]SANTILLANA!O36</f>
        <v>17.959116119999969</v>
      </c>
      <c r="V36" s="23">
        <f>+[1]SANTILLANA!P36</f>
        <v>11.480483869999745</v>
      </c>
      <c r="W36" s="24">
        <f t="shared" si="13"/>
        <v>56.431700295576206</v>
      </c>
      <c r="Z36" s="21" t="str">
        <f>+IF($B$3="esp","Música","Music")</f>
        <v>Music</v>
      </c>
      <c r="AB36" s="22">
        <f>+[1]RADIO!K36</f>
        <v>2.5993120000000002E-2</v>
      </c>
      <c r="AC36" s="23">
        <f>+[1]RADIO!L36</f>
        <v>2.47896495329605</v>
      </c>
      <c r="AD36" s="24">
        <f t="shared" si="14"/>
        <v>-98.951452703458386</v>
      </c>
      <c r="AF36" s="22">
        <f>+[1]RADIO!O36</f>
        <v>2.0129280000000003E-2</v>
      </c>
      <c r="AG36" s="23">
        <f>+[1]RADIO!P36</f>
        <v>1.13066038428647</v>
      </c>
      <c r="AH36" s="24">
        <f t="shared" si="15"/>
        <v>-98.219688221171481</v>
      </c>
    </row>
    <row r="37" spans="4:34" ht="15" customHeight="1">
      <c r="D37" s="21" t="str">
        <f>+IF($B$3="esp","Internacional","International")</f>
        <v>International</v>
      </c>
      <c r="F37" s="22">
        <f>+[1]GRUPO!K37</f>
        <v>77.879981160796021</v>
      </c>
      <c r="G37" s="23">
        <f>+[1]GRUPO!L37</f>
        <v>121.79148960451263</v>
      </c>
      <c r="H37" s="24">
        <f t="shared" si="10"/>
        <v>-36.054660786487005</v>
      </c>
      <c r="J37" s="22">
        <f>+[1]GRUPO!O37</f>
        <v>-7.8938503918317622</v>
      </c>
      <c r="K37" s="23">
        <f>+[1]GRUPO!P37</f>
        <v>32.066474428180825</v>
      </c>
      <c r="L37" s="24" t="str">
        <f t="shared" si="11"/>
        <v>---</v>
      </c>
      <c r="O37" s="21" t="str">
        <f>+IF($B$3="esp","Internacional","International")</f>
        <v>International</v>
      </c>
      <c r="Q37" s="22">
        <f>+[1]SANTILLANA!K37</f>
        <v>60.355459776248267</v>
      </c>
      <c r="R37" s="23">
        <f>+[1]SANTILLANA!L37</f>
        <v>93.68025196394467</v>
      </c>
      <c r="S37" s="24">
        <f t="shared" si="12"/>
        <v>-35.572910500414039</v>
      </c>
      <c r="U37" s="22">
        <f>+[1]SANTILLANA!O37</f>
        <v>-24.85135680346518</v>
      </c>
      <c r="V37" s="23">
        <f>+[1]SANTILLANA!P37</f>
        <v>11.288022198664649</v>
      </c>
      <c r="W37" s="24" t="str">
        <f t="shared" si="13"/>
        <v>---</v>
      </c>
      <c r="Z37" s="21" t="str">
        <f>+IF($B$3="esp","Ajustes y Otros","Adjustments &amp; others")</f>
        <v>Adjustments &amp; others</v>
      </c>
      <c r="AB37" s="22">
        <f>+[1]RADIO!K37</f>
        <v>-2.0458648589190931</v>
      </c>
      <c r="AC37" s="23">
        <f>+[1]RADIO!L37</f>
        <v>-3.9678272946167401</v>
      </c>
      <c r="AD37" s="24">
        <f t="shared" si="14"/>
        <v>48.438661589561271</v>
      </c>
      <c r="AF37" s="22">
        <f>+[1]RADIO!O37</f>
        <v>-1.1083346986693927</v>
      </c>
      <c r="AG37" s="23">
        <f>+[1]RADIO!P37</f>
        <v>-2.1023497461091605</v>
      </c>
      <c r="AH37" s="24">
        <f t="shared" si="15"/>
        <v>47.281145740826489</v>
      </c>
    </row>
    <row r="38" spans="4:34" ht="15" customHeight="1">
      <c r="D38" s="31" t="str">
        <f>+IF($B$3="esp","Latam","Latam")</f>
        <v>Latam</v>
      </c>
      <c r="F38" s="22">
        <f>+[1]GRUPO!K38</f>
        <v>63.841735537911426</v>
      </c>
      <c r="G38" s="23">
        <f>+[1]GRUPO!L38</f>
        <v>103.22173888036154</v>
      </c>
      <c r="H38" s="24">
        <f t="shared" si="10"/>
        <v>-38.150881558092372</v>
      </c>
      <c r="J38" s="22">
        <f>+[1]GRUPO!O38</f>
        <v>-20.97530656689505</v>
      </c>
      <c r="K38" s="23">
        <f>+[1]GRUPO!P38</f>
        <v>18.207262226748455</v>
      </c>
      <c r="L38" s="24" t="str">
        <f t="shared" si="11"/>
        <v>---</v>
      </c>
      <c r="O38" s="31" t="str">
        <f>+IF($B$3="esp","Latam","Latam")</f>
        <v>Latam</v>
      </c>
      <c r="Q38" s="22">
        <f>+[1]SANTILLANA!K38</f>
        <v>60.588155776248264</v>
      </c>
      <c r="R38" s="23">
        <f>+[1]SANTILLANA!L38</f>
        <v>95.441336963944664</v>
      </c>
      <c r="S38" s="24">
        <f t="shared" si="12"/>
        <v>-36.517909635803882</v>
      </c>
      <c r="U38" s="22">
        <f>+[1]SANTILLANA!O38</f>
        <v>-24.686367803465181</v>
      </c>
      <c r="V38" s="23">
        <f>+[1]SANTILLANA!P38</f>
        <v>12.267164198664645</v>
      </c>
      <c r="W38" s="24" t="str">
        <f t="shared" si="13"/>
        <v>---</v>
      </c>
      <c r="Z38" s="13" t="str">
        <f>+IF($B$3="esp","Ingresos de Explotación a TC CTE con MX y CR","Operating Revenues on ctt ccy w/MX&amp;CR")</f>
        <v>Operating Revenues on ctt ccy w/MX&amp;CR</v>
      </c>
      <c r="AA38" s="13"/>
      <c r="AB38" s="14">
        <f>+[1]RADIO!K38</f>
        <v>144.91161044438408</v>
      </c>
      <c r="AC38" s="15">
        <f>+[1]RADIO!L38</f>
        <v>146.1803961684945</v>
      </c>
      <c r="AD38" s="16">
        <f t="shared" si="14"/>
        <v>-0.86795887640634972</v>
      </c>
      <c r="AE38" s="13"/>
      <c r="AF38" s="14">
        <f>+[1]RADIO!O38</f>
        <v>80.548951366026628</v>
      </c>
      <c r="AG38" s="15">
        <f>+[1]RADIO!P38</f>
        <v>82.837452444785612</v>
      </c>
      <c r="AH38" s="16">
        <f t="shared" si="15"/>
        <v>-2.7626405825123106</v>
      </c>
    </row>
    <row r="39" spans="4:34" ht="15" customHeight="1">
      <c r="D39" s="31" t="str">
        <f>+IF($B$3="esp","Portugal","Portugal")</f>
        <v>Portugal</v>
      </c>
      <c r="F39" s="22">
        <f>+[1]GRUPO!K39</f>
        <v>14.038245622884601</v>
      </c>
      <c r="G39" s="23">
        <f>+[1]GRUPO!L39</f>
        <v>18.569750724151099</v>
      </c>
      <c r="H39" s="24">
        <f t="shared" si="10"/>
        <v>-24.402616753347143</v>
      </c>
      <c r="J39" s="22">
        <f>+[1]GRUPO!O39</f>
        <v>13.081456175063281</v>
      </c>
      <c r="K39" s="23">
        <f>+[1]GRUPO!P39</f>
        <v>13.85921220143238</v>
      </c>
      <c r="L39" s="24">
        <f t="shared" si="11"/>
        <v>-5.6118343168792544</v>
      </c>
      <c r="O39" s="31" t="str">
        <f>+IF($B$3="esp","Portugal","Portugal")</f>
        <v>Portugal</v>
      </c>
      <c r="Q39" s="22">
        <f>+[1]SANTILLANA!K39</f>
        <v>-0.23269599999999999</v>
      </c>
      <c r="R39" s="23">
        <f>+[1]SANTILLANA!L39</f>
        <v>-1.761085</v>
      </c>
      <c r="S39" s="24">
        <f t="shared" si="12"/>
        <v>86.786782012225416</v>
      </c>
      <c r="U39" s="22">
        <f>+[1]SANTILLANA!O39</f>
        <v>-0.164989</v>
      </c>
      <c r="V39" s="23">
        <f>+[1]SANTILLANA!P39</f>
        <v>-0.97914199999999996</v>
      </c>
      <c r="W39" s="24">
        <f t="shared" si="13"/>
        <v>83.149635088679673</v>
      </c>
      <c r="Z39" s="13" t="str">
        <f>+IF($B$3="esp","EBITDA Comparable a tipo constante","Comparable EBITDA on constant currency")</f>
        <v>Comparable EBITDA on constant currency</v>
      </c>
      <c r="AA39" s="13"/>
      <c r="AB39" s="14">
        <f>+[1]RADIO!K39</f>
        <v>27.994319552314302</v>
      </c>
      <c r="AC39" s="15">
        <f>+[1]RADIO!L39</f>
        <v>27.143099316740599</v>
      </c>
      <c r="AD39" s="16">
        <f t="shared" si="14"/>
        <v>3.1360465716923835</v>
      </c>
      <c r="AE39" s="13"/>
      <c r="AF39" s="14">
        <f>+[1]RADIO!O39</f>
        <v>20.465372844569753</v>
      </c>
      <c r="AG39" s="15">
        <f>+[1]RADIO!P39</f>
        <v>21.419524873827427</v>
      </c>
      <c r="AH39" s="16">
        <f t="shared" si="15"/>
        <v>-4.4545900755415682</v>
      </c>
    </row>
    <row r="40" spans="4:34" s="30" customFormat="1" ht="15" customHeight="1">
      <c r="D40" s="26" t="str">
        <f>+IF($B$3="esp","Margen EBITDA","EBITDA Margin")</f>
        <v>EBITDA Margin</v>
      </c>
      <c r="F40" s="32">
        <f>+[1]GRUPO!K40</f>
        <v>0.17576827194994984</v>
      </c>
      <c r="G40" s="33">
        <f>+[1]GRUPO!L40</f>
        <v>0.20397529020893243</v>
      </c>
      <c r="H40" s="34"/>
      <c r="J40" s="32">
        <f>+[1]GRUPO!O40</f>
        <v>0.10907451695500434</v>
      </c>
      <c r="K40" s="33">
        <f>+[1]GRUPO!P40</f>
        <v>0.18413333894806894</v>
      </c>
      <c r="L40" s="34"/>
      <c r="O40" s="26" t="str">
        <f>+IF($B$3="esp","Margen EBITDA Ajustado","Adjusted EBITDA Margin")</f>
        <v>Adjusted EBITDA Margin</v>
      </c>
      <c r="Q40" s="32">
        <f>+[1]SANTILLANA!K40</f>
        <v>0.24329661487544982</v>
      </c>
      <c r="R40" s="33">
        <f>+[1]SANTILLANA!L40</f>
        <v>0.30204379898234107</v>
      </c>
      <c r="S40" s="34"/>
      <c r="U40" s="32">
        <f>+[1]SANTILLANA!O40</f>
        <v>-8.0994969252277033E-2</v>
      </c>
      <c r="V40" s="33">
        <f>+[1]SANTILLANA!P40</f>
        <v>0.17845436895358416</v>
      </c>
      <c r="W40" s="34"/>
      <c r="Z40" s="21" t="str">
        <f>+IF($B$3="esp","España","Spain")</f>
        <v>Spain</v>
      </c>
      <c r="AA40" s="1"/>
      <c r="AB40" s="22">
        <f>+[1]RADIO!K40</f>
        <v>21.548639570000102</v>
      </c>
      <c r="AC40" s="23">
        <f>+[1]RADIO!L40</f>
        <v>17.377636469999899</v>
      </c>
      <c r="AD40" s="24">
        <f t="shared" si="14"/>
        <v>24.002131171295165</v>
      </c>
      <c r="AE40" s="1"/>
      <c r="AF40" s="22">
        <f>+[1]RADIO!O40</f>
        <v>15.294947170000132</v>
      </c>
      <c r="AG40" s="23">
        <f>+[1]RADIO!P40</f>
        <v>15.006569369999969</v>
      </c>
      <c r="AH40" s="24">
        <f t="shared" si="15"/>
        <v>1.9216770528290521</v>
      </c>
    </row>
    <row r="41" spans="4:34" s="13" customFormat="1" ht="15" customHeight="1">
      <c r="D41" s="13" t="str">
        <f>+IF($B$3="esp","EBIT a tipo constante","EBIT on constant currency")</f>
        <v>EBIT on constant currency</v>
      </c>
      <c r="F41" s="14">
        <f>+[1]GRUPO!K41</f>
        <v>54.56554749147719</v>
      </c>
      <c r="G41" s="15">
        <f>+[1]GRUPO!L41</f>
        <v>84.203908791340822</v>
      </c>
      <c r="H41" s="16">
        <f>IF(G41=0,"---",IF(OR(ABS((F41-G41)/ABS(G41))&gt;2,(F41*G41)&lt;0),"---",IF(G41="0","---",((F41-G41)/ABS(G41))*100)))</f>
        <v>-35.198320036790875</v>
      </c>
      <c r="J41" s="14">
        <f>+[1]GRUPO!O41</f>
        <v>5.7379443985806589</v>
      </c>
      <c r="K41" s="15">
        <f>+[1]GRUPO!P41</f>
        <v>36.954076111084056</v>
      </c>
      <c r="L41" s="16">
        <f>IF(K41=0,"---",IF(OR(ABS((J41-K41)/ABS(K41))&gt;2,(J41*K41)&lt;0),"---",IF(K41="0","---",((J41-K41)/ABS(K41))*100)))</f>
        <v>-84.472769982579507</v>
      </c>
      <c r="O41" s="13" t="str">
        <f>+IF($B$3="esp","EBIT Comparable a tipo constante","Comparable EBIT on constant currency")</f>
        <v>Comparable EBIT on constant currency</v>
      </c>
      <c r="Q41" s="14">
        <f>+[1]SANTILLANA!K41</f>
        <v>35.446047686509836</v>
      </c>
      <c r="R41" s="15">
        <f>+[1]SANTILLANA!L41</f>
        <v>65.056822378985814</v>
      </c>
      <c r="S41" s="16">
        <f>IF(R41=0,"---",IF(OR(ABS((Q41-R41)/ABS(R41))&gt;2,(Q41*R41)&lt;0),"---",IF(R41="0","---",((Q41-R41)/ABS(R41))*100)))</f>
        <v>-45.515248992610864</v>
      </c>
      <c r="U41" s="14">
        <f>+[1]SANTILLANA!O41</f>
        <v>-19.517862940588657</v>
      </c>
      <c r="V41" s="15">
        <f>+[1]SANTILLANA!P41</f>
        <v>12.137297462699237</v>
      </c>
      <c r="W41" s="16" t="str">
        <f>IF(V41=0,"---",IF(OR(ABS((U41-V41)/ABS(V41))&gt;2,(U41*V41)&lt;0),"---",IF(V41="0","---",((U41-V41)/ABS(V41))*100)))</f>
        <v>---</v>
      </c>
      <c r="Z41" s="21" t="str">
        <f>+IF($B$3="esp","Latam","Latam")</f>
        <v>Latam</v>
      </c>
      <c r="AA41" s="1"/>
      <c r="AB41" s="22">
        <f>+[1]RADIO!K41</f>
        <v>6.5570701123141699</v>
      </c>
      <c r="AC41" s="23">
        <f>+[1]RADIO!L41</f>
        <v>10.514732974957349</v>
      </c>
      <c r="AD41" s="24">
        <f t="shared" si="14"/>
        <v>-37.63921415854341</v>
      </c>
      <c r="AE41" s="1"/>
      <c r="AF41" s="22">
        <f>+[1]RADIO!O41</f>
        <v>5.2417817645696099</v>
      </c>
      <c r="AG41" s="23">
        <f>+[1]RADIO!P41</f>
        <v>6.8789290290974296</v>
      </c>
      <c r="AH41" s="24">
        <f t="shared" si="15"/>
        <v>-23.799449850446074</v>
      </c>
    </row>
    <row r="42" spans="4:34" ht="15" customHeight="1">
      <c r="D42" s="21" t="str">
        <f>+IF($B$3="esp","España","Spain")</f>
        <v>Spain</v>
      </c>
      <c r="F42" s="22">
        <f>+[1]GRUPO!K42</f>
        <v>8.4553444999997964</v>
      </c>
      <c r="G42" s="23">
        <f>+[1]GRUPO!L42</f>
        <v>-8.9004434840353213</v>
      </c>
      <c r="H42" s="24" t="str">
        <f>IF(G42=0,"---",IF(OR(ABS((F42-G42)/ABS(G42))&gt;2,(F42*G42)&lt;0),"---",IF(G42="0","---",((F42-G42)/ABS(G42))*100)))</f>
        <v>---</v>
      </c>
      <c r="J42" s="22">
        <f>+[1]GRUPO!O42</f>
        <v>28.486910410000085</v>
      </c>
      <c r="K42" s="23">
        <f>+[1]GRUPO!P42</f>
        <v>16.872625102982717</v>
      </c>
      <c r="L42" s="24">
        <f>IF(K42=0,"---",IF(OR(ABS((J42-K42)/ABS(K42))&gt;2,(J42*K42)&lt;0),"---",IF(K42="0","---",((J42-K42)/ABS(K42))*100)))</f>
        <v>68.835081892290802</v>
      </c>
      <c r="O42" s="21" t="str">
        <f>+IF($B$3="esp","España","Spain")</f>
        <v>Spain</v>
      </c>
      <c r="Q42" s="22">
        <f>+[1]SANTILLANA!K42</f>
        <v>-1.2862051999995714</v>
      </c>
      <c r="R42" s="23">
        <f>+[1]SANTILLANA!L42</f>
        <v>-7.0178352700001767</v>
      </c>
      <c r="S42" s="24">
        <f>IF(R42=0,"---",IF(OR(ABS((Q42-R42)/ABS(R42))&gt;2,(Q42*R42)&lt;0),"---",IF(R42="0","---",((Q42-R42)/ABS(R42))*100)))</f>
        <v>81.672336974083194</v>
      </c>
      <c r="U42" s="22">
        <f>+[1]SANTILLANA!O42</f>
        <v>15.800078810000564</v>
      </c>
      <c r="V42" s="23">
        <f>+[1]SANTILLANA!P42</f>
        <v>9.3004909699994869</v>
      </c>
      <c r="W42" s="24">
        <f>IF(V42=0,"---",IF(OR(ABS((U42-V42)/ABS(V42))&gt;2,(U42*V42)&lt;0),"---",IF(V42="0","---",((U42-V42)/ABS(V42))*100)))</f>
        <v>69.88435192256776</v>
      </c>
      <c r="Z42" s="21" t="str">
        <f>+IF($B$3="esp","Música","Music")</f>
        <v>Music</v>
      </c>
      <c r="AB42" s="22">
        <f>+[1]RADIO!K42</f>
        <v>-4.7997129999999999E-2</v>
      </c>
      <c r="AC42" s="23">
        <f>+[1]RADIO!L42</f>
        <v>-0.32044012821669005</v>
      </c>
      <c r="AD42" s="24">
        <f t="shared" si="14"/>
        <v>85.021498316358475</v>
      </c>
      <c r="AF42" s="22">
        <f>+[1]RADIO!O42</f>
        <v>-3.9560089999999999E-2</v>
      </c>
      <c r="AG42" s="23">
        <f>+[1]RADIO!P42</f>
        <v>-3.7143525270039057E-2</v>
      </c>
      <c r="AH42" s="24">
        <f t="shared" si="15"/>
        <v>-6.5060187809104013</v>
      </c>
    </row>
    <row r="43" spans="4:34" ht="15" customHeight="1">
      <c r="D43" s="21" t="str">
        <f>+IF($B$3="esp","Internacional","International")</f>
        <v>International</v>
      </c>
      <c r="F43" s="22">
        <f>+[1]GRUPO!K43</f>
        <v>46.110202991477394</v>
      </c>
      <c r="G43" s="23">
        <f>+[1]GRUPO!L43</f>
        <v>93.104352275376144</v>
      </c>
      <c r="H43" s="24">
        <f>IF(G43=0,"---",IF(OR(ABS((F43-G43)/ABS(G43))&gt;2,(F43*G43)&lt;0),"---",IF(G43="0","---",((F43-G43)/ABS(G43))*100)))</f>
        <v>-50.474707288552366</v>
      </c>
      <c r="J43" s="22">
        <f>+[1]GRUPO!O43</f>
        <v>-22.748966011419427</v>
      </c>
      <c r="K43" s="23">
        <f>+[1]GRUPO!P43</f>
        <v>20.08145100810134</v>
      </c>
      <c r="L43" s="24" t="str">
        <f>IF(K43=0,"---",IF(OR(ABS((J43-K43)/ABS(K43))&gt;2,(J43*K43)&lt;0),"---",IF(K43="0","---",((J43-K43)/ABS(K43))*100)))</f>
        <v>---</v>
      </c>
      <c r="O43" s="21" t="str">
        <f>+IF($B$3="esp","Internacional","International")</f>
        <v>International</v>
      </c>
      <c r="Q43" s="22">
        <f>+[1]SANTILLANA!K43</f>
        <v>36.732252886509407</v>
      </c>
      <c r="R43" s="23">
        <f>+[1]SANTILLANA!L43</f>
        <v>72.07465764898599</v>
      </c>
      <c r="S43" s="24">
        <f>IF(R43=0,"---",IF(OR(ABS((Q43-R43)/ABS(R43))&gt;2,(Q43*R43)&lt;0),"---",IF(R43="0","---",((Q43-R43)/ABS(R43))*100)))</f>
        <v>-49.035827453526323</v>
      </c>
      <c r="U43" s="22">
        <f>+[1]SANTILLANA!O43</f>
        <v>-35.31794175058922</v>
      </c>
      <c r="V43" s="23">
        <f>+[1]SANTILLANA!P43</f>
        <v>2.8368064926997505</v>
      </c>
      <c r="W43" s="24" t="str">
        <f>IF(V43=0,"---",IF(OR(ABS((U43-V43)/ABS(V43))&gt;2,(U43*V43)&lt;0),"---",IF(V43="0","---",((U43-V43)/ABS(V43))*100)))</f>
        <v>---</v>
      </c>
      <c r="Z43" s="21" t="str">
        <f>+IF($B$3="esp","Ajustes y Otros","Adjustments &amp; others")</f>
        <v>Adjustments &amp; others</v>
      </c>
      <c r="AB43" s="22">
        <f>+[1]RADIO!K43</f>
        <v>-6.3392999999970001E-2</v>
      </c>
      <c r="AC43" s="23">
        <f>+[1]RADIO!L43</f>
        <v>-0.42882999999995891</v>
      </c>
      <c r="AD43" s="24">
        <f t="shared" si="14"/>
        <v>85.217218944575691</v>
      </c>
      <c r="AF43" s="22">
        <f>+[1]RADIO!O43</f>
        <v>-3.1795999999989437E-2</v>
      </c>
      <c r="AG43" s="23">
        <f>+[1]RADIO!P43</f>
        <v>-0.42882999999993021</v>
      </c>
      <c r="AH43" s="24">
        <f t="shared" si="15"/>
        <v>92.585406804562496</v>
      </c>
    </row>
    <row r="44" spans="4:34" ht="15" customHeight="1">
      <c r="D44" s="31" t="str">
        <f>+IF($B$3="esp","Latam","Latam")</f>
        <v>Latam</v>
      </c>
      <c r="F44" s="22">
        <f>+[1]GRUPO!K44</f>
        <v>36.278174768592798</v>
      </c>
      <c r="G44" s="23">
        <f>+[1]GRUPO!L44</f>
        <v>78.74814320388856</v>
      </c>
      <c r="H44" s="24">
        <f>IF(G44=0,"---",IF(OR(ABS((F44-G44)/ABS(G44))&gt;2,(F44*G44)&lt;0),"---",IF(G44="0","---",((F44-G44)/ABS(G44))*100)))</f>
        <v>-53.931390261908561</v>
      </c>
      <c r="J44" s="22">
        <f>+[1]GRUPO!O44</f>
        <v>-33.784193216482684</v>
      </c>
      <c r="K44" s="23">
        <f>+[1]GRUPO!P44</f>
        <v>8.3170967930007293</v>
      </c>
      <c r="L44" s="24" t="str">
        <f>IF(K44=0,"---",IF(OR(ABS((J44-K44)/ABS(K44))&gt;2,(J44*K44)&lt;0),"---",IF(K44="0","---",((J44-K44)/ABS(K44))*100)))</f>
        <v>---</v>
      </c>
      <c r="O44" s="31" t="str">
        <f>+IF($B$3="esp","Latam","Latam")</f>
        <v>Latam</v>
      </c>
      <c r="Q44" s="22">
        <f>+[1]SANTILLANA!K44</f>
        <v>36.781412886509408</v>
      </c>
      <c r="R44" s="23">
        <f>+[1]SANTILLANA!L44</f>
        <v>73.844314648985986</v>
      </c>
      <c r="S44" s="24">
        <f>IF(R44=0,"---",IF(OR(ABS((Q44-R44)/ABS(R44))&gt;2,(Q44*R44)&lt;0),"---",IF(R44="0","---",((Q44-R44)/ABS(R44))*100)))</f>
        <v>-50.19059617338533</v>
      </c>
      <c r="U44" s="22">
        <f>+[1]SANTILLANA!O44</f>
        <v>-35.341003750589216</v>
      </c>
      <c r="V44" s="23">
        <f>+[1]SANTILLANA!P44</f>
        <v>3.8202234926997392</v>
      </c>
      <c r="W44" s="24" t="str">
        <f>IF(V44=0,"---",IF(OR(ABS((U44-V44)/ABS(V44))&gt;2,(U44*V44)&lt;0),"---",IF(V44="0","---",((U44-V44)/ABS(V44))*100)))</f>
        <v>---</v>
      </c>
      <c r="Z44" s="26" t="str">
        <f>+IF($B$3="esp","Margen EBITDA Ajustado","Adjusted EBITDA Margin")</f>
        <v>Adjusted EBITDA Margin</v>
      </c>
      <c r="AA44" s="30"/>
      <c r="AB44" s="32">
        <f>+[1]RADIO!K44</f>
        <v>0.20466309529197146</v>
      </c>
      <c r="AC44" s="33">
        <f>+[1]RADIO!L44</f>
        <v>0.19961598724875629</v>
      </c>
      <c r="AD44" s="34"/>
      <c r="AE44" s="30"/>
      <c r="AF44" s="32">
        <f>+[1]RADIO!O44</f>
        <v>0.26997019091813446</v>
      </c>
      <c r="AG44" s="33">
        <f>+[1]RADIO!P44</f>
        <v>0.27765530845399938</v>
      </c>
      <c r="AH44" s="34"/>
    </row>
    <row r="45" spans="4:34" ht="15" customHeight="1">
      <c r="D45" s="31" t="str">
        <f>+IF($B$3="esp","Portugal","Portugal")</f>
        <v>Portugal</v>
      </c>
      <c r="F45" s="22">
        <f>+[1]GRUPO!K45</f>
        <v>9.832028222884599</v>
      </c>
      <c r="G45" s="23">
        <f>+[1]GRUPO!L45</f>
        <v>14.356209071487598</v>
      </c>
      <c r="H45" s="24">
        <f>IF(G45=0,"---",IF(OR(ABS((F45-G45)/ABS(G45))&gt;2,(F45*G45)&lt;0),"---",IF(G45="0","---",((F45-G45)/ABS(G45))*100)))</f>
        <v>-31.513757051562646</v>
      </c>
      <c r="J45" s="22">
        <f>+[1]GRUPO!O45</f>
        <v>11.035227205063268</v>
      </c>
      <c r="K45" s="23">
        <f>+[1]GRUPO!P45</f>
        <v>11.76435421510063</v>
      </c>
      <c r="L45" s="24">
        <f>IF(K45=0,"---",IF(OR(ABS((J45-K45)/ABS(K45))&gt;2,(J45*K45)&lt;0),"---",IF(K45="0","---",((J45-K45)/ABS(K45))*100)))</f>
        <v>-6.1977648471469831</v>
      </c>
      <c r="O45" s="31" t="str">
        <f>+IF($B$3="esp","Portugal","Portugal")</f>
        <v>Portugal</v>
      </c>
      <c r="Q45" s="22">
        <f>+[1]SANTILLANA!K45</f>
        <v>-4.9159999999999995E-2</v>
      </c>
      <c r="R45" s="23">
        <f>+[1]SANTILLANA!L45</f>
        <v>-1.769657</v>
      </c>
      <c r="S45" s="24">
        <f>IF(R45=0,"---",IF(OR(ABS((Q45-R45)/ABS(R45))&gt;2,(Q45*R45)&lt;0),"---",IF(R45="0","---",((Q45-R45)/ABS(R45))*100)))</f>
        <v>97.222060546196232</v>
      </c>
      <c r="U45" s="22">
        <f>+[1]SANTILLANA!O45</f>
        <v>2.3061999999999999E-2</v>
      </c>
      <c r="V45" s="23">
        <f>+[1]SANTILLANA!P45</f>
        <v>-0.98341699999999999</v>
      </c>
      <c r="W45" s="24" t="str">
        <f>IF(V45=0,"---",IF(OR(ABS((U45-V45)/ABS(V45))&gt;2,(U45*V45)&lt;0),"---",IF(V45="0","---",((U45-V45)/ABS(V45))*100)))</f>
        <v>---</v>
      </c>
      <c r="Z45" s="13" t="str">
        <f>+IF($B$3="esp","EBITDA a TC CTE con MX y CR","EBITDA on ctt ccy w/MX&amp;CR")</f>
        <v>EBITDA on ctt ccy w/MX&amp;CR</v>
      </c>
      <c r="AA45" s="13"/>
      <c r="AB45" s="14">
        <f>+[1]RADIO!K45</f>
        <v>30.311908417287707</v>
      </c>
      <c r="AC45" s="15">
        <f>+[1]RADIO!L45</f>
        <v>31.425315534516486</v>
      </c>
      <c r="AD45" s="16">
        <f t="shared" ref="AD45:AD50" si="16">IF(AC45=0,"---",IF(OR(ABS((AB45-AC45)/ABS(AC45))&gt;2,(AB45*AC45)&lt;0),"---",IF(AC45="0","---",((AB45-AC45)/ABS(AC45))*100)))</f>
        <v>-3.5430260549201176</v>
      </c>
      <c r="AE45" s="13"/>
      <c r="AF45" s="14">
        <f>+[1]RADIO!O45</f>
        <v>22.030909886325457</v>
      </c>
      <c r="AG45" s="15">
        <f>+[1]RADIO!P45</f>
        <v>24.024968926084441</v>
      </c>
      <c r="AH45" s="16">
        <f t="shared" ref="AH45:AH50" si="17">IF(AG45=0,"---",IF(OR(ABS((AF45-AG45)/ABS(AG45))&gt;2,(AF45*AG45)&lt;0),"---",IF(AG45="0","---",((AF45-AG45)/ABS(AG45))*100)))</f>
        <v>-8.2999443033368081</v>
      </c>
    </row>
    <row r="46" spans="4:34" s="30" customFormat="1" ht="15" customHeight="1">
      <c r="D46" s="40" t="str">
        <f>+IF($B$3="esp","Margen EBIT","EBIT Margin")</f>
        <v>EBIT Margin</v>
      </c>
      <c r="F46" s="41">
        <f>+[1]GRUPO!K46</f>
        <v>9.430231097244933E-2</v>
      </c>
      <c r="G46" s="42">
        <f>+[1]GRUPO!L46</f>
        <v>0.13385165154518461</v>
      </c>
      <c r="H46" s="43"/>
      <c r="J46" s="41">
        <f>+[1]GRUPO!O46</f>
        <v>2.2158246339005639E-2</v>
      </c>
      <c r="K46" s="42">
        <f>+[1]GRUPO!P46</f>
        <v>0.11994817075737729</v>
      </c>
      <c r="L46" s="43"/>
      <c r="O46" s="40" t="str">
        <f>+IF($B$3="esp","Margen EBIT Ajustado","Adjusted EBIT Margin")</f>
        <v>Adjusted EBIT Margin</v>
      </c>
      <c r="Q46" s="41">
        <f>+[1]SANTILLANA!K46</f>
        <v>0.13607901340172746</v>
      </c>
      <c r="R46" s="42">
        <f>+[1]SANTILLANA!L46</f>
        <v>0.21589520491760486</v>
      </c>
      <c r="S46" s="43"/>
      <c r="U46" s="41">
        <f>+[1]SANTILLANA!O46</f>
        <v>-0.22936643993522474</v>
      </c>
      <c r="V46" s="42">
        <f>+[1]SANTILLANA!P46</f>
        <v>9.5129375329937316E-2</v>
      </c>
      <c r="W46" s="43"/>
      <c r="Z46" s="13" t="str">
        <f>+IF($B$3="esp","EBIT Comparable a tipo constante","Comparable EBIT on constant currency")</f>
        <v>Comparable EBIT on constant currency</v>
      </c>
      <c r="AA46" s="13"/>
      <c r="AB46" s="14">
        <f>+[1]RADIO!K46</f>
        <v>18.7064853704833</v>
      </c>
      <c r="AC46" s="15">
        <f>+[1]RADIO!L46</f>
        <v>18.355111376645201</v>
      </c>
      <c r="AD46" s="16">
        <f t="shared" si="16"/>
        <v>1.9143114232757108</v>
      </c>
      <c r="AE46" s="13"/>
      <c r="AF46" s="14">
        <f>+[1]RADIO!O46</f>
        <v>15.665355173045089</v>
      </c>
      <c r="AG46" s="15">
        <f>+[1]RADIO!P46</f>
        <v>17.038650034753353</v>
      </c>
      <c r="AH46" s="16">
        <f t="shared" si="17"/>
        <v>-8.0598806766215905</v>
      </c>
    </row>
    <row r="47" spans="4:34">
      <c r="Z47" s="21" t="str">
        <f>+IF($B$3="esp","España","Spain")</f>
        <v>Spain</v>
      </c>
      <c r="AB47" s="22">
        <f>+[1]RADIO!K47</f>
        <v>15.890000290000097</v>
      </c>
      <c r="AC47" s="23">
        <f>+[1]RADIO!L47</f>
        <v>11.381724659999998</v>
      </c>
      <c r="AD47" s="24">
        <f t="shared" si="16"/>
        <v>39.609775887867073</v>
      </c>
      <c r="AF47" s="22">
        <f>+[1]RADIO!O47</f>
        <v>12.553592210000108</v>
      </c>
      <c r="AG47" s="23">
        <f>+[1]RADIO!P47</f>
        <v>12.029667840000018</v>
      </c>
      <c r="AH47" s="24">
        <f t="shared" si="17"/>
        <v>4.3552687985114762</v>
      </c>
    </row>
    <row r="48" spans="4:34">
      <c r="D48" s="9" t="s">
        <v>6</v>
      </c>
      <c r="F48" s="10">
        <v>2019</v>
      </c>
      <c r="G48" s="10">
        <v>2018</v>
      </c>
      <c r="H48" s="10" t="s">
        <v>5</v>
      </c>
      <c r="J48" s="10">
        <v>2019</v>
      </c>
      <c r="K48" s="10">
        <v>2018</v>
      </c>
      <c r="L48" s="10" t="s">
        <v>5</v>
      </c>
      <c r="O48" s="9"/>
      <c r="Q48" s="10">
        <v>2019</v>
      </c>
      <c r="R48" s="10">
        <v>2018</v>
      </c>
      <c r="S48" s="10" t="s">
        <v>5</v>
      </c>
      <c r="U48" s="10">
        <v>2019</v>
      </c>
      <c r="V48" s="10">
        <v>2018</v>
      </c>
      <c r="W48" s="10" t="s">
        <v>5</v>
      </c>
      <c r="Z48" s="21" t="str">
        <f>+IF($B$3="esp","Latam","Latam")</f>
        <v>Latam</v>
      </c>
      <c r="AB48" s="22">
        <f>+[1]RADIO!K48</f>
        <v>2.92787521048314</v>
      </c>
      <c r="AC48" s="23">
        <f>+[1]RADIO!L48</f>
        <v>7.7253280523547199</v>
      </c>
      <c r="AD48" s="24">
        <f t="shared" si="16"/>
        <v>-62.100312237346245</v>
      </c>
      <c r="AF48" s="22">
        <f>+[1]RADIO!O48</f>
        <v>3.1831190530449391</v>
      </c>
      <c r="AG48" s="23">
        <f>+[1]RADIO!P48</f>
        <v>5.4763133362086904</v>
      </c>
      <c r="AH48" s="24">
        <f t="shared" si="17"/>
        <v>-41.874782218932602</v>
      </c>
    </row>
    <row r="49" spans="4:57" ht="15.75" customHeight="1">
      <c r="D49" s="11" t="str">
        <f>+IF($B$3="esp","Resultados Reportados","Reported Results")</f>
        <v>Reported Results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Reported Results</v>
      </c>
      <c r="Q49" s="12"/>
      <c r="R49" s="12"/>
      <c r="S49" s="12"/>
      <c r="U49" s="12"/>
      <c r="V49" s="12"/>
      <c r="W49" s="12"/>
      <c r="Z49" s="21" t="str">
        <f>+IF($B$3="esp","Música","Music")</f>
        <v>Music</v>
      </c>
      <c r="AB49" s="22">
        <f>+[1]RADIO!K49</f>
        <v>-4.7997129999999999E-2</v>
      </c>
      <c r="AC49" s="23">
        <f>+[1]RADIO!L49</f>
        <v>-0.323111335709587</v>
      </c>
      <c r="AD49" s="24">
        <f t="shared" si="16"/>
        <v>85.145327725939055</v>
      </c>
      <c r="AF49" s="22">
        <f>+[1]RADIO!O49</f>
        <v>-3.9560089999999999E-2</v>
      </c>
      <c r="AG49" s="23">
        <f>+[1]RADIO!P49</f>
        <v>-3.8501141455503041E-2</v>
      </c>
      <c r="AH49" s="24">
        <f t="shared" si="17"/>
        <v>-2.7504341545842688</v>
      </c>
    </row>
    <row r="50" spans="4:57" s="13" customFormat="1" ht="15" customHeight="1">
      <c r="D50" s="13" t="str">
        <f>+IF($B$3="esp","Ingresos de Explotación","Operating Revenues")</f>
        <v>Operating Revenues</v>
      </c>
      <c r="F50" s="14">
        <f>+[1]GRUPO!K51</f>
        <v>571.93923066943307</v>
      </c>
      <c r="G50" s="15">
        <f>+[1]GRUPO!L51</f>
        <v>629.08382391468604</v>
      </c>
      <c r="H50" s="16">
        <f t="shared" ref="H50:H64" si="18">IF(G50=0,"---",IF(OR(ABS((F50-G50)/ABS(G50))&gt;2,(F50*G50)&lt;0),"---",IF(G50="0","---",((F50-G50)/ABS(G50))*100)))</f>
        <v>-9.0837804236725521</v>
      </c>
      <c r="J50" s="14">
        <f>+[1]GRUPO!O51</f>
        <v>259.62101166994006</v>
      </c>
      <c r="K50" s="15">
        <f>+[1]GRUPO!P51</f>
        <v>308.08369879881002</v>
      </c>
      <c r="L50" s="16">
        <f t="shared" ref="L50:L64" si="19">IF(K50=0,"---",IF(OR(ABS((J50-K50)/ABS(K50))&gt;2,(J50*K50)&lt;0),"---",IF(K50="0","---",((J50-K50)/ABS(K50))*100)))</f>
        <v>-15.730363962073135</v>
      </c>
      <c r="O50" s="13" t="str">
        <f>+IF($B$3="esp","Ingresos de Explotación","Operating Revenues")</f>
        <v>Operating Revenues</v>
      </c>
      <c r="Q50" s="14">
        <f>+[1]SANTILLANA!K51</f>
        <v>255.97954345540199</v>
      </c>
      <c r="R50" s="15">
        <f>+[1]SANTILLANA!L51</f>
        <v>301.33518900438003</v>
      </c>
      <c r="S50" s="16">
        <f t="shared" ref="S50:S64" si="20">IF(R50=0,"---",IF(OR(ABS((Q50-R50)/ABS(R50))&gt;2,(Q50*R50)&lt;0),"---",IF(R50="0","---",((Q50-R50)/ABS(R50))*100)))</f>
        <v>-15.051559593432936</v>
      </c>
      <c r="U50" s="14">
        <f>+[1]SANTILLANA!O51</f>
        <v>87.063109187520013</v>
      </c>
      <c r="V50" s="15">
        <f>+[1]SANTILLANA!P51</f>
        <v>127.58727176125603</v>
      </c>
      <c r="W50" s="16">
        <f t="shared" ref="W50:W64" si="21">IF(V50=0,"---",IF(OR(ABS((U50-V50)/ABS(V50))&gt;2,(U50*V50)&lt;0),"---",IF(V50="0","---",((U50-V50)/ABS(V50))*100)))</f>
        <v>-31.761916384234379</v>
      </c>
      <c r="Z50" s="21" t="str">
        <f>+IF($B$3="esp","Ajustes y Otros","Adjustments &amp; others")</f>
        <v>Adjustments &amp; others</v>
      </c>
      <c r="AA50" s="1"/>
      <c r="AB50" s="22">
        <f>+[1]RADIO!K50</f>
        <v>-6.3392999999937583E-2</v>
      </c>
      <c r="AC50" s="23">
        <f>+[1]RADIO!L50</f>
        <v>-0.4288299999999296</v>
      </c>
      <c r="AD50" s="24">
        <f t="shared" si="16"/>
        <v>85.217218944582243</v>
      </c>
      <c r="AE50" s="1"/>
      <c r="AF50" s="22">
        <f>+[1]RADIO!O50</f>
        <v>-3.1795999999956907E-2</v>
      </c>
      <c r="AG50" s="23">
        <f>+[1]RADIO!P50</f>
        <v>-0.42882999999985233</v>
      </c>
      <c r="AH50" s="24">
        <f t="shared" si="17"/>
        <v>92.585406804568734</v>
      </c>
      <c r="BE50" s="1"/>
    </row>
    <row r="51" spans="4:57" ht="15" customHeight="1">
      <c r="D51" s="21" t="str">
        <f>+IF($B$3="esp","España","Spain")</f>
        <v>Spain</v>
      </c>
      <c r="F51" s="22">
        <f>+[1]GRUPO!K52</f>
        <v>234.0400005700003</v>
      </c>
      <c r="G51" s="23">
        <f>+[1]GRUPO!L52</f>
        <v>229.43266784999997</v>
      </c>
      <c r="H51" s="24">
        <f t="shared" si="18"/>
        <v>2.0081415446088706</v>
      </c>
      <c r="J51" s="22">
        <f>+[1]GRUPO!O52</f>
        <v>146.37743343000028</v>
      </c>
      <c r="K51" s="23">
        <f>+[1]GRUPO!P52</f>
        <v>141.29014652999976</v>
      </c>
      <c r="L51" s="24">
        <f t="shared" si="19"/>
        <v>3.6005956713480733</v>
      </c>
      <c r="O51" s="21" t="str">
        <f>+IF($B$3="esp","España","Spain")</f>
        <v>Spain</v>
      </c>
      <c r="Q51" s="22">
        <f>+[1]SANTILLANA!K52</f>
        <v>46.650084337478717</v>
      </c>
      <c r="R51" s="23">
        <f>+[1]SANTILLANA!L52</f>
        <v>37.301114477915576</v>
      </c>
      <c r="S51" s="24">
        <f t="shared" si="20"/>
        <v>25.063513491261162</v>
      </c>
      <c r="U51" s="22">
        <f>+[1]SANTILLANA!O52</f>
        <v>44.165153492260373</v>
      </c>
      <c r="V51" s="23">
        <f>+[1]SANTILLANA!P52</f>
        <v>35.232237330981775</v>
      </c>
      <c r="W51" s="24">
        <f t="shared" si="21"/>
        <v>25.354382344102117</v>
      </c>
      <c r="Z51" s="26" t="str">
        <f>+IF($B$3="esp","Margen EBIT Ajustado","Adjusted EBIT Margin")</f>
        <v>Adjusted EBIT Margin</v>
      </c>
      <c r="AA51" s="30"/>
      <c r="AB51" s="32">
        <f>+[1]RADIO!K51</f>
        <v>0.13676085931656759</v>
      </c>
      <c r="AC51" s="33">
        <f>+[1]RADIO!L51</f>
        <v>0.13498729956199737</v>
      </c>
      <c r="AD51" s="34"/>
      <c r="AE51" s="30"/>
      <c r="AF51" s="32">
        <f>+[1]RADIO!O51</f>
        <v>0.20665047047943383</v>
      </c>
      <c r="AG51" s="33">
        <f>+[1]RADIO!P51</f>
        <v>0.22086725354117701</v>
      </c>
      <c r="AH51" s="34"/>
      <c r="BA51" s="30"/>
    </row>
    <row r="52" spans="4:57" ht="15" customHeight="1">
      <c r="D52" s="21" t="str">
        <f>+IF($B$3="esp","Internacional","International")</f>
        <v>International</v>
      </c>
      <c r="F52" s="22">
        <f>+[1]GRUPO!K53</f>
        <v>337.89923009943277</v>
      </c>
      <c r="G52" s="23">
        <f>+[1]GRUPO!L53</f>
        <v>399.65115606468606</v>
      </c>
      <c r="H52" s="24">
        <f t="shared" si="18"/>
        <v>-15.451456858855764</v>
      </c>
      <c r="J52" s="22">
        <f>+[1]GRUPO!O53</f>
        <v>113.24357823993978</v>
      </c>
      <c r="K52" s="23">
        <f>+[1]GRUPO!P53</f>
        <v>166.79355226881026</v>
      </c>
      <c r="L52" s="24">
        <f t="shared" si="19"/>
        <v>-32.105542031125694</v>
      </c>
      <c r="O52" s="21" t="str">
        <f>+IF($B$3="esp","Internacional","International")</f>
        <v>International</v>
      </c>
      <c r="Q52" s="22">
        <f>+[1]SANTILLANA!K53</f>
        <v>209.32945911792328</v>
      </c>
      <c r="R52" s="23">
        <f>+[1]SANTILLANA!L53</f>
        <v>264.03407452646445</v>
      </c>
      <c r="S52" s="24">
        <f t="shared" si="20"/>
        <v>-20.718771055081401</v>
      </c>
      <c r="U52" s="22">
        <f>+[1]SANTILLANA!O53</f>
        <v>42.89795569525964</v>
      </c>
      <c r="V52" s="23">
        <f>+[1]SANTILLANA!P53</f>
        <v>92.355034430274259</v>
      </c>
      <c r="W52" s="24">
        <f t="shared" si="21"/>
        <v>-53.551037082178212</v>
      </c>
      <c r="Z52" s="46" t="str">
        <f>+IF($B$3="esp","EBIT a TC CTE con MX y CR","EBIT on ctt ccy w/MX&amp;CR")</f>
        <v>EBIT on ctt ccy w/MX&amp;CR</v>
      </c>
      <c r="AA52" s="13"/>
      <c r="AB52" s="47">
        <f>+[1]RADIO!K52</f>
        <v>20.549425780310184</v>
      </c>
      <c r="AC52" s="48">
        <f>+[1]RADIO!L52</f>
        <v>22.231375533482058</v>
      </c>
      <c r="AD52" s="49">
        <f>IF(AC52=0,"---",IF(OR(ABS((AB52-AC52)/ABS(AC52))&gt;2,(AB52*AC52)&lt;0),"---",IF(AC52="0","---",((AB52-AC52)/ABS(AC52))*100)))</f>
        <v>-7.5656576024220215</v>
      </c>
      <c r="AE52" s="13"/>
      <c r="AF52" s="47">
        <f>+[1]RADIO!O52</f>
        <v>16.992446793874297</v>
      </c>
      <c r="AG52" s="48">
        <f>+[1]RADIO!P52</f>
        <v>19.438264374644227</v>
      </c>
      <c r="AH52" s="49">
        <f>IF(AG52=0,"---",IF(OR(ABS((AF52-AG52)/ABS(AG52))&gt;2,(AF52*AG52)&lt;0),"---",IF(AG52="0","---",((AF52-AG52)/ABS(AG52))*100)))</f>
        <v>-12.58248953522989</v>
      </c>
      <c r="BA52" s="30"/>
      <c r="BE52" s="13"/>
    </row>
    <row r="53" spans="4:57" ht="15" customHeight="1">
      <c r="D53" s="31" t="str">
        <f>+IF($B$3="esp","Latam","Latam")</f>
        <v>Latam</v>
      </c>
      <c r="F53" s="22">
        <f>+[1]GRUPO!K54</f>
        <v>251.42642112943275</v>
      </c>
      <c r="G53" s="23">
        <f>+[1]GRUPO!L54</f>
        <v>313.1513859146861</v>
      </c>
      <c r="H53" s="24">
        <f t="shared" si="18"/>
        <v>-19.710902637381107</v>
      </c>
      <c r="J53" s="22">
        <f>+[1]GRUPO!O54</f>
        <v>66.277783359939775</v>
      </c>
      <c r="K53" s="23">
        <f>+[1]GRUPO!P54</f>
        <v>118.75017309881031</v>
      </c>
      <c r="L53" s="24">
        <f t="shared" si="19"/>
        <v>-44.187211159017856</v>
      </c>
      <c r="O53" s="31" t="str">
        <f>+IF($B$3="esp","Latam","Latam")</f>
        <v>Latam</v>
      </c>
      <c r="Q53" s="22">
        <f>+[1]SANTILLANA!K54</f>
        <v>209.10987011792326</v>
      </c>
      <c r="R53" s="23">
        <f>+[1]SANTILLANA!L54</f>
        <v>264.00426652646445</v>
      </c>
      <c r="S53" s="24">
        <f t="shared" si="20"/>
        <v>-20.792995935555624</v>
      </c>
      <c r="U53" s="22">
        <f>+[1]SANTILLANA!O54</f>
        <v>42.878205695259624</v>
      </c>
      <c r="V53" s="23">
        <f>+[1]SANTILLANA!P54</f>
        <v>92.354632430274251</v>
      </c>
      <c r="W53" s="24">
        <f t="shared" si="21"/>
        <v>-53.572219858455142</v>
      </c>
      <c r="BA53" s="13"/>
    </row>
    <row r="54" spans="4:57" ht="15" customHeight="1">
      <c r="D54" s="31" t="str">
        <f>+IF($B$3="esp","Portugal","Portugal")</f>
        <v>Portugal</v>
      </c>
      <c r="F54" s="22">
        <f>+[1]GRUPO!K55</f>
        <v>86.472808970000003</v>
      </c>
      <c r="G54" s="23">
        <f>+[1]GRUPO!L55</f>
        <v>86.499770150000003</v>
      </c>
      <c r="H54" s="24">
        <f t="shared" si="18"/>
        <v>-3.1169077042918242E-2</v>
      </c>
      <c r="J54" s="22">
        <f>+[1]GRUPO!O55</f>
        <v>46.965794879999997</v>
      </c>
      <c r="K54" s="23">
        <f>+[1]GRUPO!P55</f>
        <v>48.043379170000001</v>
      </c>
      <c r="L54" s="24">
        <f t="shared" si="19"/>
        <v>-2.2429402523644431</v>
      </c>
      <c r="O54" s="31" t="str">
        <f>+IF($B$3="esp","Portugal","Portugal")</f>
        <v>Portugal</v>
      </c>
      <c r="Q54" s="22">
        <f>+[1]SANTILLANA!K55</f>
        <v>0.21958900000000001</v>
      </c>
      <c r="R54" s="23">
        <f>+[1]SANTILLANA!L55</f>
        <v>2.9808000000000001E-2</v>
      </c>
      <c r="S54" s="24" t="str">
        <f t="shared" si="20"/>
        <v>---</v>
      </c>
      <c r="U54" s="22">
        <f>+[1]SANTILLANA!O55</f>
        <v>1.9750000000000018E-2</v>
      </c>
      <c r="V54" s="23">
        <f>+[1]SANTILLANA!P55</f>
        <v>4.0200000000000305E-4</v>
      </c>
      <c r="W54" s="24" t="str">
        <f t="shared" si="21"/>
        <v>---</v>
      </c>
      <c r="Z54" s="9"/>
      <c r="AB54" s="10">
        <v>2019</v>
      </c>
      <c r="AC54" s="10">
        <v>2018</v>
      </c>
      <c r="AD54" s="10" t="s">
        <v>5</v>
      </c>
      <c r="AF54" s="10">
        <v>2019</v>
      </c>
      <c r="AG54" s="10">
        <v>2018</v>
      </c>
      <c r="AH54" s="10" t="s">
        <v>5</v>
      </c>
      <c r="AK54" s="9"/>
      <c r="AM54" s="10">
        <v>2019</v>
      </c>
      <c r="AN54" s="10">
        <v>2018</v>
      </c>
      <c r="AO54" s="10" t="str">
        <f>+IF($B$3="esp","Var.%","% Chg.")</f>
        <v>% Chg.</v>
      </c>
      <c r="AQ54" s="10">
        <v>2019</v>
      </c>
      <c r="AR54" s="10">
        <v>2018</v>
      </c>
      <c r="AS54" s="10" t="str">
        <f>+IF($B$3="esp","Var.%","% Chg.")</f>
        <v>% Chg.</v>
      </c>
      <c r="AV54" s="9"/>
      <c r="AX54" s="10">
        <v>2019</v>
      </c>
      <c r="AY54" s="10">
        <v>2018</v>
      </c>
      <c r="AZ54" s="10" t="str">
        <f>+IF($B$3="esp","Var.%","% Chg.")</f>
        <v>% Chg.</v>
      </c>
      <c r="BA54" s="13"/>
      <c r="BB54" s="10">
        <v>2019</v>
      </c>
      <c r="BC54" s="10">
        <v>2018</v>
      </c>
      <c r="BD54" s="10" t="str">
        <f>+IF($B$3="esp","Var.%","% Chg.")</f>
        <v>% Chg.</v>
      </c>
    </row>
    <row r="55" spans="4:57" s="13" customFormat="1" ht="15" customHeight="1">
      <c r="D55" s="13" t="str">
        <f>+IF($B$3="esp","Gastos de Explotación Contables","Reported Expenses")</f>
        <v>Reported Expenses</v>
      </c>
      <c r="F55" s="14">
        <f>+[1]GRUPO!K56</f>
        <v>522.65638830798957</v>
      </c>
      <c r="G55" s="15">
        <f>+[1]GRUPO!L56</f>
        <v>518.49812900938502</v>
      </c>
      <c r="H55" s="16">
        <f t="shared" si="18"/>
        <v>0.80198154360732166</v>
      </c>
      <c r="J55" s="14">
        <f>+[1]GRUPO!O56</f>
        <v>229.31221844745323</v>
      </c>
      <c r="K55" s="15">
        <f>+[1]GRUPO!P56</f>
        <v>260.22492151487734</v>
      </c>
      <c r="L55" s="16">
        <f t="shared" si="19"/>
        <v>-11.879224667440928</v>
      </c>
      <c r="O55" s="13" t="str">
        <f>+IF($B$3="esp","Gastos de Explotación","Operating Expenses")</f>
        <v>Operating Expenses</v>
      </c>
      <c r="Q55" s="14">
        <f>+[1]SANTILLANA!K56</f>
        <v>194.1270699577527</v>
      </c>
      <c r="R55" s="15">
        <f>+[1]SANTILLANA!L56</f>
        <v>217.14141359714682</v>
      </c>
      <c r="S55" s="16">
        <f t="shared" si="20"/>
        <v>-10.598781346285078</v>
      </c>
      <c r="U55" s="14">
        <f>+[1]SANTILLANA!O56</f>
        <v>91.457106884368514</v>
      </c>
      <c r="V55" s="15">
        <f>+[1]SANTILLANA!P56</f>
        <v>108.23386576558973</v>
      </c>
      <c r="W55" s="16">
        <f t="shared" si="21"/>
        <v>-15.500470913194498</v>
      </c>
      <c r="Z55" s="11" t="str">
        <f>+IF($B$3="esp","Resultados Reportados","Reported Results")</f>
        <v>Reported Results</v>
      </c>
      <c r="AA55" s="1"/>
      <c r="AB55" s="12"/>
      <c r="AC55" s="12"/>
      <c r="AD55" s="12"/>
      <c r="AE55" s="1"/>
      <c r="AF55" s="12"/>
      <c r="AG55" s="12"/>
      <c r="AH55" s="12"/>
      <c r="AK55" s="11" t="str">
        <f>+IF($B$3="esp","Resultados Reportados","Reported Results")</f>
        <v>Reported Results</v>
      </c>
      <c r="AL55" s="1"/>
      <c r="AM55" s="12"/>
      <c r="AN55" s="12"/>
      <c r="AO55" s="12"/>
      <c r="AQ55" s="12"/>
      <c r="AR55" s="12"/>
      <c r="AS55" s="12"/>
      <c r="AV55" s="11" t="str">
        <f>+IF($B$3="esp","Resultados Reportados","Reported Results")</f>
        <v>Reported Results</v>
      </c>
      <c r="AW55" s="1"/>
      <c r="AX55" s="12"/>
      <c r="AY55" s="12"/>
      <c r="AZ55" s="12"/>
      <c r="BA55" s="30"/>
      <c r="BB55" s="12"/>
      <c r="BC55" s="12"/>
      <c r="BD55" s="12"/>
      <c r="BE55" s="1"/>
    </row>
    <row r="56" spans="4:57" ht="15" customHeight="1">
      <c r="D56" s="21" t="str">
        <f>+IF($B$3="esp","España","Spain")</f>
        <v>Spain</v>
      </c>
      <c r="F56" s="22">
        <f>+[1]GRUPO!K57</f>
        <v>261.25212795000044</v>
      </c>
      <c r="G56" s="23">
        <f>+[1]GRUPO!L57</f>
        <v>232.7241014600001</v>
      </c>
      <c r="H56" s="24">
        <f t="shared" si="18"/>
        <v>12.258303420672419</v>
      </c>
      <c r="J56" s="22">
        <f>+[1]GRUPO!O57</f>
        <v>110.23840948000037</v>
      </c>
      <c r="K56" s="23">
        <f>+[1]GRUPO!P57</f>
        <v>121.50924797999978</v>
      </c>
      <c r="L56" s="24">
        <f t="shared" si="19"/>
        <v>-9.2757042672625012</v>
      </c>
      <c r="O56" s="21" t="str">
        <f>+IF($B$3="esp","España","Spain")</f>
        <v>Spain</v>
      </c>
      <c r="Q56" s="22">
        <f>+[1]SANTILLANA!K57</f>
        <v>43.631308827478676</v>
      </c>
      <c r="R56" s="23">
        <f>+[1]SANTILLANA!L57</f>
        <v>42.13088118791552</v>
      </c>
      <c r="S56" s="24">
        <f t="shared" si="20"/>
        <v>3.5613488188647873</v>
      </c>
      <c r="U56" s="22">
        <f>+[1]SANTILLANA!O57</f>
        <v>26.206037372260397</v>
      </c>
      <c r="V56" s="23">
        <f>+[1]SANTILLANA!P57</f>
        <v>24.807083460982014</v>
      </c>
      <c r="W56" s="24">
        <f t="shared" si="21"/>
        <v>5.6393324651756709</v>
      </c>
      <c r="Z56" s="13" t="str">
        <f>+IF($B$3="esp","Ingresos de Explotación","Operating Revenues")</f>
        <v>Operating Revenues</v>
      </c>
      <c r="AA56" s="13"/>
      <c r="AB56" s="14">
        <f>+[1]RADIO!K56</f>
        <v>134.50011651550599</v>
      </c>
      <c r="AC56" s="15">
        <f>+[1]RADIO!L56</f>
        <v>135.97658028720701</v>
      </c>
      <c r="AD56" s="16">
        <f t="shared" ref="AD56:AD71" si="22">IF(AC56=0,"---",IF(OR(ABS((AB56-AC56)/ABS(AC56))&gt;2,(AB56*AC56)&lt;0),"---",IF(AC56="0","---",((AB56-AC56)/ABS(AC56))*100)))</f>
        <v>-1.0858221089120368</v>
      </c>
      <c r="AE56" s="13"/>
      <c r="AF56" s="14">
        <f>+[1]RADIO!O56</f>
        <v>74.439254966843492</v>
      </c>
      <c r="AG56" s="15">
        <f>+[1]RADIO!P56</f>
        <v>77.144301663427811</v>
      </c>
      <c r="AH56" s="16">
        <f t="shared" ref="AH56:AH71" si="23">IF(AG56=0,"---",IF(OR(ABS((AF56-AG56)/ABS(AG56))&gt;2,(AF56*AG56)&lt;0),"---",IF(AG56="0","---",((AF56-AG56)/ABS(AG56))*100)))</f>
        <v>-3.5064763543860211</v>
      </c>
      <c r="AK56" s="17" t="str">
        <f>+IF($B$3="esp","Ingresos de Explotación Noticias Gestión","Total Press Operating Revenues")</f>
        <v>Total Press Operating Revenues</v>
      </c>
      <c r="AL56" s="13"/>
      <c r="AM56" s="18">
        <f>+[1]NOTICIAS!K28</f>
        <v>104.53132133614</v>
      </c>
      <c r="AN56" s="19">
        <f>+[1]NOTICIAS!L28</f>
        <v>109.560748706683</v>
      </c>
      <c r="AO56" s="20">
        <f t="shared" ref="AO56:AO66" si="24">IF(AN56=0,"---",IF(OR(ABS((AM56-AN56)/ABS(AN56))&gt;2,(AM56*AN56)&lt;0),"---",IF(AN56="0","---",((AM56-AN56)/ABS(AN56))*100)))</f>
        <v>-4.5905376057695912</v>
      </c>
      <c r="AQ56" s="18">
        <f>+[1]NOTICIAS!O28</f>
        <v>55.473781448534794</v>
      </c>
      <c r="AR56" s="19">
        <f>+[1]NOTICIAS!P28</f>
        <v>58.439421658123301</v>
      </c>
      <c r="AS56" s="20">
        <f t="shared" ref="AS56:AS60" si="25">IF(AR56=0,"---",IF(OR(ABS((AQ56-AR56)/ABS(AR56))&gt;2,(AQ56*AR56)&lt;0),"---",IF(AR56="0","---",((AQ56-AR56)/ABS(AR56))*100)))</f>
        <v>-5.0747254600461495</v>
      </c>
      <c r="AV56" s="13" t="str">
        <f>+IF($B$3="esp","Ingresos de Explotación","Operating Revenues")</f>
        <v>Operating Revenues</v>
      </c>
      <c r="AX56" s="14">
        <f>+'[1]MEDIA CAPITAL'!K22</f>
        <v>86.382826129999998</v>
      </c>
      <c r="AY56" s="15">
        <f>+'[1]MEDIA CAPITAL'!L22</f>
        <v>86.875861970000003</v>
      </c>
      <c r="AZ56" s="16">
        <f>IF(AY56=0,"---",IF(OR(ABS((AX56-AY56)/ABS(AY56))&gt;2,(AX56*AY56)&lt;0),"---",IF(AY56="0","---",((AX56-AY56)/ABS(AY56))*100)))</f>
        <v>-0.5675176381792445</v>
      </c>
      <c r="BA56" s="13"/>
      <c r="BB56" s="14">
        <f>+'[1]MEDIA CAPITAL'!O22</f>
        <v>47.075622589999995</v>
      </c>
      <c r="BC56" s="15">
        <f>+'[1]MEDIA CAPITAL'!P22</f>
        <v>48.148876989999998</v>
      </c>
      <c r="BD56" s="16">
        <f>IF(BC56=0,"---",IF(OR(ABS((BB56-BC56)/ABS(BC56))&gt;2,(BB56*BC56)&lt;0),"---",IF(BC56="0","---",((BB56-BC56)/ABS(BC56))*100)))</f>
        <v>-2.2290330888151488</v>
      </c>
    </row>
    <row r="57" spans="4:57" ht="15" customHeight="1">
      <c r="D57" s="21" t="str">
        <f>+IF($B$3="esp","Internacional","International")</f>
        <v>International</v>
      </c>
      <c r="F57" s="22">
        <f>+[1]GRUPO!K58</f>
        <v>261.40426035798913</v>
      </c>
      <c r="G57" s="23">
        <f>+[1]GRUPO!L58</f>
        <v>285.77402754938493</v>
      </c>
      <c r="H57" s="24">
        <f t="shared" si="18"/>
        <v>-8.5276354189270851</v>
      </c>
      <c r="J57" s="22">
        <f>+[1]GRUPO!O58</f>
        <v>119.07380896745286</v>
      </c>
      <c r="K57" s="23">
        <f>+[1]GRUPO!P58</f>
        <v>138.71567353487751</v>
      </c>
      <c r="L57" s="24">
        <f t="shared" si="19"/>
        <v>-14.159801893248972</v>
      </c>
      <c r="O57" s="21" t="str">
        <f>+IF($B$3="esp","Internacional","International")</f>
        <v>International</v>
      </c>
      <c r="Q57" s="22">
        <f>+[1]SANTILLANA!K58</f>
        <v>150.49576113027402</v>
      </c>
      <c r="R57" s="23">
        <f>+[1]SANTILLANA!L58</f>
        <v>175.0105324092313</v>
      </c>
      <c r="S57" s="24">
        <f t="shared" si="20"/>
        <v>-14.007597680826322</v>
      </c>
      <c r="U57" s="22">
        <f>+[1]SANTILLANA!O58</f>
        <v>65.251069512108117</v>
      </c>
      <c r="V57" s="23">
        <f>+[1]SANTILLANA!P58</f>
        <v>83.426782304607713</v>
      </c>
      <c r="W57" s="24">
        <f t="shared" si="21"/>
        <v>-21.786424323709941</v>
      </c>
      <c r="Z57" s="21" t="str">
        <f>+IF($B$3="esp","Publicidad","Advertising")</f>
        <v>Advertising</v>
      </c>
      <c r="AB57" s="22">
        <f>+[1]RADIO!K57</f>
        <v>126.357083399288</v>
      </c>
      <c r="AC57" s="23">
        <f>+[1]RADIO!L57</f>
        <v>127.833654843917</v>
      </c>
      <c r="AD57" s="24">
        <f t="shared" si="22"/>
        <v>-1.1550725405073288</v>
      </c>
      <c r="AF57" s="22">
        <f>+[1]RADIO!O57</f>
        <v>70.250714302505401</v>
      </c>
      <c r="AG57" s="23">
        <f>+[1]RADIO!P57</f>
        <v>73.236106748222312</v>
      </c>
      <c r="AH57" s="24">
        <f t="shared" si="23"/>
        <v>-4.0763942517867076</v>
      </c>
      <c r="AK57" s="25" t="str">
        <f>+IF($B$3="esp","Ingresos de Explotación PRENSA","PRESS Operating Revenues")</f>
        <v>PRESS Operating Revenues</v>
      </c>
      <c r="AL57" s="13"/>
      <c r="AM57" s="14">
        <f>+[1]NOTICIAS!K29</f>
        <v>94.209325238749003</v>
      </c>
      <c r="AN57" s="15">
        <f>+[1]NOTICIAS!L29</f>
        <v>100.257352177893</v>
      </c>
      <c r="AO57" s="16">
        <f t="shared" si="24"/>
        <v>-6.032502163444927</v>
      </c>
      <c r="AQ57" s="14">
        <f>+[1]NOTICIAS!O29</f>
        <v>50.366360149835707</v>
      </c>
      <c r="AR57" s="15">
        <f>+[1]NOTICIAS!P29</f>
        <v>54.606470981266</v>
      </c>
      <c r="AS57" s="16">
        <f t="shared" si="25"/>
        <v>-7.7648504934240483</v>
      </c>
      <c r="AV57" s="26" t="str">
        <f>+IF($B$3="esp","Publicidad","Advertising")</f>
        <v>Advertising</v>
      </c>
      <c r="AX57" s="27">
        <f>+'[1]MEDIA CAPITAL'!K23</f>
        <v>58.98630919</v>
      </c>
      <c r="AY57" s="28">
        <f>+'[1]MEDIA CAPITAL'!L23</f>
        <v>58.599776680000005</v>
      </c>
      <c r="AZ57" s="29">
        <f>IF(AY57=0,"---",IF(OR(ABS((AX57-AY57)/ABS(AY57))&gt;2,(AX57*AY57)&lt;0),"---",IF(AY57="0","---",((AX57-AY57)/ABS(AY57))*100)))</f>
        <v>0.6596143055472049</v>
      </c>
      <c r="BA57" s="30"/>
      <c r="BB57" s="27">
        <f>+'[1]MEDIA CAPITAL'!O23</f>
        <v>33.736567550000004</v>
      </c>
      <c r="BC57" s="28">
        <f>+'[1]MEDIA CAPITAL'!P23</f>
        <v>34.321687040000008</v>
      </c>
      <c r="BD57" s="29">
        <f>IF(BC57=0,"---",IF(OR(ABS((BB57-BC57)/ABS(BC57))&gt;2,(BB57*BC57)&lt;0),"---",IF(BC57="0","---",((BB57-BC57)/ABS(BC57))*100)))</f>
        <v>-1.7048098169477504</v>
      </c>
      <c r="BE57" s="30"/>
    </row>
    <row r="58" spans="4:57" ht="15" customHeight="1">
      <c r="D58" s="31" t="str">
        <f>+IF($B$3="esp","Latam","Latam")</f>
        <v>Latam</v>
      </c>
      <c r="F58" s="22">
        <f>+[1]GRUPO!K59</f>
        <v>188.96969701087374</v>
      </c>
      <c r="G58" s="23">
        <f>+[1]GRUPO!L59</f>
        <v>216.65750388103606</v>
      </c>
      <c r="H58" s="24">
        <f t="shared" si="18"/>
        <v>-12.779528229663972</v>
      </c>
      <c r="J58" s="22">
        <f>+[1]GRUPO!O59</f>
        <v>85.189470262516195</v>
      </c>
      <c r="K58" s="23">
        <f>+[1]GRUPO!P59</f>
        <v>103.93825444505995</v>
      </c>
      <c r="L58" s="24">
        <f t="shared" si="19"/>
        <v>-18.038386619677222</v>
      </c>
      <c r="O58" s="31" t="str">
        <f>+IF($B$3="esp","Latam","Latam")</f>
        <v>Latam</v>
      </c>
      <c r="Q58" s="22">
        <f>+[1]SANTILLANA!K59</f>
        <v>150.043476130274</v>
      </c>
      <c r="R58" s="23">
        <f>+[1]SANTILLANA!L59</f>
        <v>173.21227940923131</v>
      </c>
      <c r="S58" s="24">
        <f t="shared" si="20"/>
        <v>-13.37595888581242</v>
      </c>
      <c r="U58" s="22">
        <f>+[1]SANTILLANA!O59</f>
        <v>65.066330512108095</v>
      </c>
      <c r="V58" s="23">
        <f>+[1]SANTILLANA!P59</f>
        <v>82.44355830460772</v>
      </c>
      <c r="W58" s="24">
        <f t="shared" si="21"/>
        <v>-21.07772656815132</v>
      </c>
      <c r="Z58" s="51" t="str">
        <f>+IF($B$3="esp","España","Spain")</f>
        <v>Spain</v>
      </c>
      <c r="AA58" s="30"/>
      <c r="AB58" s="27">
        <f>+[1]RADIO!K58</f>
        <v>89.469159740000009</v>
      </c>
      <c r="AC58" s="28">
        <f>+[1]RADIO!L58</f>
        <v>86.049423189999999</v>
      </c>
      <c r="AD58" s="29">
        <f t="shared" si="22"/>
        <v>3.9741539492357987</v>
      </c>
      <c r="AF58" s="27">
        <f>+[1]RADIO!O58</f>
        <v>49.406603880000006</v>
      </c>
      <c r="AG58" s="28">
        <f>+[1]RADIO!P58</f>
        <v>49.673812570000003</v>
      </c>
      <c r="AH58" s="29">
        <f t="shared" si="23"/>
        <v>-0.53792667841520747</v>
      </c>
      <c r="AK58" s="26" t="str">
        <f>+IF($B$3="esp","Publicidad","Advertising")</f>
        <v>Advertising</v>
      </c>
      <c r="AL58" s="30"/>
      <c r="AM58" s="27">
        <f>+[1]NOTICIAS!K30</f>
        <v>51.4288907278384</v>
      </c>
      <c r="AN58" s="28">
        <f>+[1]NOTICIAS!L30</f>
        <v>49.822359904582001</v>
      </c>
      <c r="AO58" s="29">
        <f t="shared" si="24"/>
        <v>3.2245177192191812</v>
      </c>
      <c r="AQ58" s="27">
        <f>+[1]NOTICIAS!O30</f>
        <v>27.845975706348799</v>
      </c>
      <c r="AR58" s="28">
        <f>+[1]NOTICIAS!P30</f>
        <v>28.427429800497201</v>
      </c>
      <c r="AS58" s="29">
        <f t="shared" si="25"/>
        <v>-2.0453980476920646</v>
      </c>
      <c r="AV58" s="26" t="str">
        <f>+IF($B$3="esp","Otros","Others")</f>
        <v>Others</v>
      </c>
      <c r="AW58" s="13"/>
      <c r="AX58" s="27">
        <f>+'[1]MEDIA CAPITAL'!K24</f>
        <v>27.396516939999998</v>
      </c>
      <c r="AY58" s="28">
        <f>+'[1]MEDIA CAPITAL'!L24</f>
        <v>28.276085289999997</v>
      </c>
      <c r="AZ58" s="29">
        <f>IF(AY58=0,"---",IF(OR(ABS((AX58-AY58)/ABS(AY58))&gt;2,(AX58*AY58)&lt;0),"---",IF(AY58="0","---",((AX58-AY58)/ABS(AY58))*100)))</f>
        <v>-3.1106439982024812</v>
      </c>
      <c r="BB58" s="27">
        <f>+'[1]MEDIA CAPITAL'!O24</f>
        <v>13.339055039999995</v>
      </c>
      <c r="BC58" s="28">
        <f>+'[1]MEDIA CAPITAL'!P24</f>
        <v>13.82718994999999</v>
      </c>
      <c r="BD58" s="29">
        <f>IF(BC58=0,"---",IF(OR(ABS((BB58-BC58)/ABS(BC58))&gt;2,(BB58*BC58)&lt;0),"---",IF(BC58="0","---",((BB58-BC58)/ABS(BC58))*100)))</f>
        <v>-3.5302538821345708</v>
      </c>
      <c r="BE58" s="13"/>
    </row>
    <row r="59" spans="4:57" ht="15" customHeight="1">
      <c r="D59" s="31" t="str">
        <f>+IF($B$3="esp","Portugal","Portugal")</f>
        <v>Portugal</v>
      </c>
      <c r="F59" s="22">
        <f>+[1]GRUPO!K60</f>
        <v>72.4345633471154</v>
      </c>
      <c r="G59" s="23">
        <f>+[1]GRUPO!L60</f>
        <v>69.116523668348904</v>
      </c>
      <c r="H59" s="24">
        <f t="shared" si="18"/>
        <v>4.8006460722589166</v>
      </c>
      <c r="J59" s="22">
        <f>+[1]GRUPO!O60</f>
        <v>33.884338704936717</v>
      </c>
      <c r="K59" s="23">
        <f>+[1]GRUPO!P60</f>
        <v>34.77741908981762</v>
      </c>
      <c r="L59" s="24">
        <f t="shared" si="19"/>
        <v>-2.5679892535279762</v>
      </c>
      <c r="O59" s="31" t="str">
        <f>+IF($B$3="esp","Portugal","Portugal")</f>
        <v>Portugal</v>
      </c>
      <c r="Q59" s="22">
        <f>+[1]SANTILLANA!K60</f>
        <v>0.45228499999999999</v>
      </c>
      <c r="R59" s="23">
        <f>+[1]SANTILLANA!L60</f>
        <v>1.7982530000000001</v>
      </c>
      <c r="S59" s="24">
        <f t="shared" si="20"/>
        <v>-74.848644768005386</v>
      </c>
      <c r="U59" s="22">
        <f>+[1]SANTILLANA!O60</f>
        <v>0.18473900000000004</v>
      </c>
      <c r="V59" s="23">
        <f>+[1]SANTILLANA!P60</f>
        <v>0.98322399999999999</v>
      </c>
      <c r="W59" s="24">
        <f t="shared" si="21"/>
        <v>-81.210893957023018</v>
      </c>
      <c r="Z59" s="51" t="str">
        <f>+IF($B$3="esp","Latam","Latam")</f>
        <v>Latam</v>
      </c>
      <c r="AA59" s="30"/>
      <c r="AB59" s="27">
        <f>+[1]RADIO!K59</f>
        <v>37.029808383883399</v>
      </c>
      <c r="AC59" s="28">
        <f>+[1]RADIO!L59</f>
        <v>41.902090466366602</v>
      </c>
      <c r="AD59" s="29">
        <f t="shared" si="22"/>
        <v>-11.627778061321354</v>
      </c>
      <c r="AF59" s="27">
        <f>+[1]RADIO!O59</f>
        <v>20.9775079871009</v>
      </c>
      <c r="AG59" s="28">
        <f>+[1]RADIO!P59</f>
        <v>23.645575246632202</v>
      </c>
      <c r="AH59" s="29">
        <f t="shared" si="23"/>
        <v>-11.283579408419383</v>
      </c>
      <c r="AK59" s="26" t="str">
        <f>+IF($B$3="esp","Circulación","Circulation")</f>
        <v>Circulation</v>
      </c>
      <c r="AL59" s="30"/>
      <c r="AM59" s="27">
        <f>+[1]NOTICIAS!K31</f>
        <v>30.714250829344298</v>
      </c>
      <c r="AN59" s="28">
        <f>+[1]NOTICIAS!L31</f>
        <v>35.218538424773598</v>
      </c>
      <c r="AO59" s="29">
        <f t="shared" si="24"/>
        <v>-12.78953584360239</v>
      </c>
      <c r="AQ59" s="27">
        <f>+[1]NOTICIAS!O31</f>
        <v>15.494425023075399</v>
      </c>
      <c r="AR59" s="28">
        <f>+[1]NOTICIAS!P31</f>
        <v>17.859490229428197</v>
      </c>
      <c r="AS59" s="29">
        <f t="shared" si="25"/>
        <v>-13.242624374886871</v>
      </c>
      <c r="AV59" s="13" t="str">
        <f>+IF($B$3="esp","Gastos de Explotación","Operating Expenses")</f>
        <v>Operating Expenses</v>
      </c>
      <c r="AX59" s="14">
        <f>+'[1]MEDIA CAPITAL'!K25</f>
        <v>72.141582797115404</v>
      </c>
      <c r="AY59" s="15">
        <f>+'[1]MEDIA CAPITAL'!L25</f>
        <v>67.448863858348901</v>
      </c>
      <c r="AZ59" s="16">
        <f>IF(AY59=0,"---",IF(OR(ABS((AX59-AY59)/ABS(AY59))&gt;2,(AX59*AY59)&lt;0),"---",IF(AY59="0","---",((AX59-AY59)/ABS(AY59))*100)))</f>
        <v>6.957446975862787</v>
      </c>
      <c r="BB59" s="14">
        <f>+'[1]MEDIA CAPITAL'!O25</f>
        <v>33.837660784936723</v>
      </c>
      <c r="BC59" s="15">
        <f>+'[1]MEDIA CAPITAL'!P25</f>
        <v>33.921297259817614</v>
      </c>
      <c r="BD59" s="16">
        <f>IF(BC59=0,"---",IF(OR(ABS((BB59-BC59)/ABS(BC59))&gt;2,(BB59*BC59)&lt;0),"---",IF(BC59="0","---",((BB59-BC59)/ABS(BC59))*100)))</f>
        <v>-0.24656036660474148</v>
      </c>
    </row>
    <row r="60" spans="4:57" s="13" customFormat="1" ht="15" customHeight="1">
      <c r="D60" s="13" t="str">
        <f>+IF($B$3="esp","EBITDA Contable","Reported EBITDA")</f>
        <v>Reported EBITDA</v>
      </c>
      <c r="F60" s="14">
        <f>+[1]GRUPO!K61</f>
        <v>49.2828423614435</v>
      </c>
      <c r="G60" s="15">
        <f>+[1]GRUPO!L61</f>
        <v>110.585694905301</v>
      </c>
      <c r="H60" s="16">
        <f t="shared" si="18"/>
        <v>-55.434703915686036</v>
      </c>
      <c r="J60" s="14">
        <f>+[1]GRUPO!O61</f>
        <v>30.308793222486798</v>
      </c>
      <c r="K60" s="15">
        <f>+[1]GRUPO!P61</f>
        <v>47.858777283932696</v>
      </c>
      <c r="L60" s="16">
        <f t="shared" si="19"/>
        <v>-36.670356113209422</v>
      </c>
      <c r="O60" s="13" t="str">
        <f>+IF($B$3="esp","EBITDA","EBITDA")</f>
        <v>EBITDA</v>
      </c>
      <c r="Q60" s="14">
        <f>+[1]SANTILLANA!K61</f>
        <v>61.852473497649299</v>
      </c>
      <c r="R60" s="15">
        <f>+[1]SANTILLANA!L61</f>
        <v>84.193775407233204</v>
      </c>
      <c r="S60" s="16">
        <f t="shared" si="20"/>
        <v>-26.535574395520612</v>
      </c>
      <c r="U60" s="14">
        <f>+[1]SANTILLANA!O61</f>
        <v>-4.3939976968485013</v>
      </c>
      <c r="V60" s="15">
        <f>+[1]SANTILLANA!P61</f>
        <v>19.353405995666307</v>
      </c>
      <c r="W60" s="16" t="str">
        <f t="shared" si="21"/>
        <v>---</v>
      </c>
      <c r="Z60" s="51" t="str">
        <f>+IF($B$3="esp","Otros","Others")</f>
        <v>Others</v>
      </c>
      <c r="AA60" s="30"/>
      <c r="AB60" s="27">
        <f>+[1]RADIO!K60</f>
        <v>-0.14188472459540691</v>
      </c>
      <c r="AC60" s="28">
        <f>+[1]RADIO!L60</f>
        <v>-0.11785881244959739</v>
      </c>
      <c r="AD60" s="29">
        <f t="shared" si="22"/>
        <v>-20.385333643238816</v>
      </c>
      <c r="AE60" s="1"/>
      <c r="AF60" s="27">
        <f>+[1]RADIO!O60</f>
        <v>-0.1333975645954979</v>
      </c>
      <c r="AG60" s="28">
        <f>+[1]RADIO!P60</f>
        <v>-8.3281068409899461E-2</v>
      </c>
      <c r="AH60" s="29">
        <f t="shared" si="23"/>
        <v>-60.1775375154063</v>
      </c>
      <c r="AK60" s="26" t="str">
        <f>+IF($B$3="esp","Promociones y Otros","Add-ons and Others")</f>
        <v>Add-ons and Others</v>
      </c>
      <c r="AL60" s="30"/>
      <c r="AM60" s="27">
        <f>+[1]NOTICIAS!K32</f>
        <v>12.066183681566304</v>
      </c>
      <c r="AN60" s="28">
        <f>+[1]NOTICIAS!L32</f>
        <v>15.216453848537398</v>
      </c>
      <c r="AO60" s="29">
        <f t="shared" si="24"/>
        <v>-20.703050778640495</v>
      </c>
      <c r="AQ60" s="27">
        <f>+[1]NOTICIAS!O32</f>
        <v>7.0259594204115086</v>
      </c>
      <c r="AR60" s="28">
        <f>+[1]NOTICIAS!P32</f>
        <v>8.3195509513406023</v>
      </c>
      <c r="AS60" s="29">
        <f t="shared" si="25"/>
        <v>-15.548814334992997</v>
      </c>
      <c r="AV60" s="13" t="str">
        <f>+IF($B$3="esp","EBITDA","EBITDA")</f>
        <v>EBITDA</v>
      </c>
      <c r="AW60" s="1"/>
      <c r="AX60" s="14">
        <f>+'[1]MEDIA CAPITAL'!K26</f>
        <v>14.241243332884601</v>
      </c>
      <c r="AY60" s="15">
        <f>+'[1]MEDIA CAPITAL'!L26</f>
        <v>19.426998111651102</v>
      </c>
      <c r="AZ60" s="16">
        <f>IF(AY60=0,"---",IF(OR(ABS((AX60-AY60)/ABS(AY60))&gt;2,(AX60*AY60)&lt;0),"---",IF(AY60="0","---",((AX60-AY60)/ABS(AY60))*100)))</f>
        <v>-26.693546522024981</v>
      </c>
      <c r="BB60" s="14">
        <f>+'[1]MEDIA CAPITAL'!O26</f>
        <v>13.23796180506328</v>
      </c>
      <c r="BC60" s="15">
        <f>+'[1]MEDIA CAPITAL'!P26</f>
        <v>14.227579730182381</v>
      </c>
      <c r="BD60" s="16">
        <f>IF(BC60=0,"---",IF(OR(ABS((BB60-BC60)/ABS(BC60))&gt;2,(BB60*BC60)&lt;0),"---",IF(BC60="0","---",((BB60-BC60)/ABS(BC60))*100)))</f>
        <v>-6.9556308513929839</v>
      </c>
    </row>
    <row r="61" spans="4:57" ht="15" customHeight="1" thickBot="1">
      <c r="D61" s="21" t="str">
        <f>+IF($B$3="esp","España","Spain")</f>
        <v>Spain</v>
      </c>
      <c r="F61" s="22">
        <f>+[1]GRUPO!K62</f>
        <v>-27.212127380000126</v>
      </c>
      <c r="G61" s="23">
        <f>+[1]GRUPO!L62</f>
        <v>-3.2914336100001265</v>
      </c>
      <c r="H61" s="24" t="str">
        <f t="shared" si="18"/>
        <v>---</v>
      </c>
      <c r="J61" s="22">
        <f>+[1]GRUPO!O62</f>
        <v>36.13902394999991</v>
      </c>
      <c r="K61" s="23">
        <f>+[1]GRUPO!P62</f>
        <v>19.780898549999975</v>
      </c>
      <c r="L61" s="24">
        <f t="shared" si="19"/>
        <v>82.696573963269003</v>
      </c>
      <c r="O61" s="21" t="str">
        <f>+IF($B$3="esp","España","Spain")</f>
        <v>Spain</v>
      </c>
      <c r="Q61" s="22">
        <f>+[1]SANTILLANA!K62</f>
        <v>3.0187755100000402</v>
      </c>
      <c r="R61" s="23">
        <f>+[1]SANTILLANA!L62</f>
        <v>-4.8297667099999444</v>
      </c>
      <c r="S61" s="24" t="str">
        <f t="shared" si="20"/>
        <v>---</v>
      </c>
      <c r="U61" s="22">
        <f>+[1]SANTILLANA!O62</f>
        <v>17.959116119999976</v>
      </c>
      <c r="V61" s="23">
        <f>+[1]SANTILLANA!P62</f>
        <v>10.425153869999761</v>
      </c>
      <c r="W61" s="24">
        <f t="shared" si="21"/>
        <v>72.267156379154599</v>
      </c>
      <c r="Z61" s="21" t="str">
        <f>+IF($B$3="esp","Otros","Others")</f>
        <v>Others</v>
      </c>
      <c r="AB61" s="22">
        <f>+[1]RADIO!K61</f>
        <v>8.1430331162179925</v>
      </c>
      <c r="AC61" s="23">
        <f>+[1]RADIO!L61</f>
        <v>8.1429254432900109</v>
      </c>
      <c r="AD61" s="24">
        <f t="shared" si="22"/>
        <v>1.3222880245129158E-3</v>
      </c>
      <c r="AE61" s="13"/>
      <c r="AF61" s="22">
        <f>+[1]RADIO!O61</f>
        <v>4.1885406643380847</v>
      </c>
      <c r="AG61" s="23">
        <f>+[1]RADIO!P61</f>
        <v>3.908194915205506</v>
      </c>
      <c r="AH61" s="24">
        <f t="shared" si="23"/>
        <v>7.173279614121733</v>
      </c>
      <c r="AK61" s="25" t="str">
        <f>+IF($B$3="esp","PBS y Prisa Tecnología","PBS &amp; IT")</f>
        <v>PBS &amp; IT</v>
      </c>
      <c r="AL61" s="13"/>
      <c r="AM61" s="14">
        <f>+[1]NOTICIAS!K33</f>
        <v>10.321996097390993</v>
      </c>
      <c r="AN61" s="15">
        <f>+[1]NOTICIAS!L33</f>
        <v>9.3033965287900031</v>
      </c>
      <c r="AO61" s="16">
        <f>IF(AN61=0,"---",IF(OR(ABS((AM61-AN61)/ABS(AN61))&gt;2,(AM61*AN61)&lt;0),"---",IF(AN61="0","---",((AM61-AN61)/ABS(AN61))*100)))</f>
        <v>10.948684874914916</v>
      </c>
      <c r="AQ61" s="14">
        <f>+[1]NOTICIAS!O33</f>
        <v>5.1074212986990872</v>
      </c>
      <c r="AR61" s="15">
        <f>+[1]NOTICIAS!P33</f>
        <v>3.8329506768573012</v>
      </c>
      <c r="AS61" s="16">
        <f>IF(AR61=0,"---",IF(OR(ABS((AQ61-AR61)/ABS(AR61))&gt;2,(AQ61*AR61)&lt;0),"---",IF(AR61="0","---",((AQ61-AR61)/ABS(AR61))*100)))</f>
        <v>33.25037886703894</v>
      </c>
      <c r="AV61" s="26" t="str">
        <f>+IF($B$3="esp","Margen EBITDA ","EBITDA Margin")</f>
        <v>EBITDA Margin</v>
      </c>
      <c r="AX61" s="32">
        <f>+'[1]MEDIA CAPITAL'!K27</f>
        <v>0.16486197512746972</v>
      </c>
      <c r="AY61" s="33">
        <f>+'[1]MEDIA CAPITAL'!L27</f>
        <v>0.22361790342131671</v>
      </c>
      <c r="AZ61" s="34"/>
      <c r="BB61" s="32">
        <f>+'[1]MEDIA CAPITAL'!O27</f>
        <v>0.28120630332089003</v>
      </c>
      <c r="BC61" s="33">
        <f>+'[1]MEDIA CAPITAL'!P27</f>
        <v>0.29549141370705895</v>
      </c>
      <c r="BD61" s="34"/>
    </row>
    <row r="62" spans="4:57" ht="15" customHeight="1" thickTop="1">
      <c r="D62" s="21" t="str">
        <f>+IF($B$3="esp","Internacional","International")</f>
        <v>International</v>
      </c>
      <c r="F62" s="22">
        <f>+[1]GRUPO!K63</f>
        <v>76.494969741443626</v>
      </c>
      <c r="G62" s="23">
        <f>+[1]GRUPO!L63</f>
        <v>113.87712851530112</v>
      </c>
      <c r="H62" s="24">
        <f t="shared" si="18"/>
        <v>-32.82674867309693</v>
      </c>
      <c r="J62" s="22">
        <f>+[1]GRUPO!O63</f>
        <v>-5.8302307275131113</v>
      </c>
      <c r="K62" s="23">
        <f>+[1]GRUPO!P63</f>
        <v>28.077878733932721</v>
      </c>
      <c r="L62" s="24" t="str">
        <f t="shared" si="19"/>
        <v>---</v>
      </c>
      <c r="O62" s="21" t="str">
        <f>+IF($B$3="esp","Internacional","International")</f>
        <v>International</v>
      </c>
      <c r="Q62" s="22">
        <f>+[1]SANTILLANA!K63</f>
        <v>58.833697987649259</v>
      </c>
      <c r="R62" s="23">
        <f>+[1]SANTILLANA!L63</f>
        <v>89.023542117233148</v>
      </c>
      <c r="S62" s="24">
        <f t="shared" si="20"/>
        <v>-33.912202785446958</v>
      </c>
      <c r="U62" s="22">
        <f>+[1]SANTILLANA!O63</f>
        <v>-22.353113816848477</v>
      </c>
      <c r="V62" s="23">
        <f>+[1]SANTILLANA!P63</f>
        <v>8.9282521256665461</v>
      </c>
      <c r="W62" s="24" t="str">
        <f t="shared" si="21"/>
        <v>---</v>
      </c>
      <c r="Z62" s="13" t="str">
        <f>+IF($B$3="esp","Gastos de Explotación","Operating Expenses")</f>
        <v>Operating Expenses</v>
      </c>
      <c r="AA62" s="13"/>
      <c r="AB62" s="14">
        <f>+[1]RADIO!K62</f>
        <v>106.35492913621179</v>
      </c>
      <c r="AC62" s="15">
        <f>+[1]RADIO!L62</f>
        <v>115.21398797046641</v>
      </c>
      <c r="AD62" s="16">
        <f t="shared" si="22"/>
        <v>-7.6892215869877836</v>
      </c>
      <c r="AF62" s="14">
        <f>+[1]RADIO!O62</f>
        <v>54.338945606756681</v>
      </c>
      <c r="AG62" s="15">
        <f>+[1]RADIO!P62</f>
        <v>58.915030289600374</v>
      </c>
      <c r="AH62" s="16">
        <f t="shared" si="23"/>
        <v>-7.7672618690844644</v>
      </c>
      <c r="AK62" s="35" t="str">
        <f>+IF($B$3="esp","Gastos de Explotación Contables Noticias Gestión","Total Press Reported Expenses")</f>
        <v>Total Press Reported Expenses</v>
      </c>
      <c r="AL62" s="36"/>
      <c r="AM62" s="52">
        <f>+[1]NOTICIAS!K34</f>
        <v>101.858454320178</v>
      </c>
      <c r="AN62" s="38">
        <f>+[1]NOTICIAS!L34</f>
        <v>111.30975080265608</v>
      </c>
      <c r="AO62" s="39">
        <f t="shared" ref="AO62" si="26">IF(AN62=0,"---",IF(OR(ABS((AM62-AN62)/ABS(AN62))&gt;2,(AM62*AN62)&lt;0),"---",IF(AN62="0","---",((AM62-AN62)/ABS(AN62))*100)))</f>
        <v>-8.4909870108635239</v>
      </c>
      <c r="AQ62" s="52">
        <f>+[1]NOTICIAS!O34</f>
        <v>50.717055886793709</v>
      </c>
      <c r="AR62" s="38">
        <f>+[1]NOTICIAS!P34</f>
        <v>57.736585025983317</v>
      </c>
      <c r="AS62" s="39">
        <f t="shared" ref="AS62:AS66" si="27">IF(AR62=0,"---",IF(OR(ABS((AQ62-AR62)/ABS(AR62))&gt;2,(AQ62*AR62)&lt;0),"---",IF(AR62="0","---",((AQ62-AR62)/ABS(AR62))*100)))</f>
        <v>-12.15785300781228</v>
      </c>
      <c r="AV62" s="13" t="str">
        <f>+IF($B$3="esp","EBIT","EBIT")</f>
        <v>EBIT</v>
      </c>
      <c r="AX62" s="14">
        <f>+'[1]MEDIA CAPITAL'!K28</f>
        <v>9.842636722884599</v>
      </c>
      <c r="AY62" s="15">
        <f>+'[1]MEDIA CAPITAL'!L28</f>
        <v>16.3987185016511</v>
      </c>
      <c r="AZ62" s="16">
        <f>IF(AY62=0,"---",IF(OR(ABS((AX62-AY62)/ABS(AY62))&gt;2,(AX62*AY62)&lt;0),"---",IF(AY62="0","---",((AX62-AY62)/ABS(AY62))*100)))</f>
        <v>-39.979232390057817</v>
      </c>
      <c r="BB62" s="14">
        <f>+'[1]MEDIA CAPITAL'!O28</f>
        <v>10.999255225063269</v>
      </c>
      <c r="BC62" s="15">
        <f>+'[1]MEDIA CAPITAL'!P28</f>
        <v>12.72655088018238</v>
      </c>
      <c r="BD62" s="16">
        <f>IF(BC62=0,"---",IF(OR(ABS((BB62-BC62)/ABS(BC62))&gt;2,(BB62*BC62)&lt;0),"---",IF(BC62="0","---",((BB62-BC62)/ABS(BC62))*100)))</f>
        <v>-13.572378497373025</v>
      </c>
    </row>
    <row r="63" spans="4:57" ht="15" customHeight="1">
      <c r="D63" s="31" t="str">
        <f>+IF($B$3="esp","Latam","Latam")</f>
        <v>Latam</v>
      </c>
      <c r="F63" s="22">
        <f>+[1]GRUPO!K64</f>
        <v>62.456724118559023</v>
      </c>
      <c r="G63" s="23">
        <f>+[1]GRUPO!L64</f>
        <v>96.493882033650038</v>
      </c>
      <c r="H63" s="24">
        <f t="shared" si="18"/>
        <v>-35.273902549823141</v>
      </c>
      <c r="J63" s="22">
        <f>+[1]GRUPO!O64</f>
        <v>-18.911686902576406</v>
      </c>
      <c r="K63" s="23">
        <f>+[1]GRUPO!P64</f>
        <v>14.811918653750354</v>
      </c>
      <c r="L63" s="24" t="str">
        <f t="shared" si="19"/>
        <v>---</v>
      </c>
      <c r="O63" s="31" t="str">
        <f>+IF($B$3="esp","Latam","Latam")</f>
        <v>Latam</v>
      </c>
      <c r="Q63" s="22">
        <f>+[1]SANTILLANA!K64</f>
        <v>59.066393987649256</v>
      </c>
      <c r="R63" s="23">
        <f>+[1]SANTILLANA!L64</f>
        <v>90.791987117233148</v>
      </c>
      <c r="S63" s="24">
        <f t="shared" si="20"/>
        <v>-34.943164189829794</v>
      </c>
      <c r="U63" s="22">
        <f>+[1]SANTILLANA!O64</f>
        <v>-22.188124816848479</v>
      </c>
      <c r="V63" s="23">
        <f>+[1]SANTILLANA!P64</f>
        <v>9.9110741256665449</v>
      </c>
      <c r="W63" s="24" t="str">
        <f t="shared" si="21"/>
        <v>---</v>
      </c>
      <c r="Z63" s="21" t="str">
        <f>+IF($B$3="esp","España","Spain")</f>
        <v>Spain</v>
      </c>
      <c r="AB63" s="22">
        <f>+[1]RADIO!K63</f>
        <v>74.452807229999905</v>
      </c>
      <c r="AC63" s="23">
        <f>+[1]RADIO!L63</f>
        <v>80.539896710000107</v>
      </c>
      <c r="AD63" s="24">
        <f t="shared" si="22"/>
        <v>-7.5578560795998744</v>
      </c>
      <c r="AF63" s="22">
        <f>+[1]RADIO!O63</f>
        <v>37.592139299999872</v>
      </c>
      <c r="AG63" s="23">
        <f>+[1]RADIO!P63</f>
        <v>40.816526560000035</v>
      </c>
      <c r="AH63" s="24">
        <f t="shared" si="23"/>
        <v>-7.8997100727332477</v>
      </c>
      <c r="AK63" s="25" t="str">
        <f>+IF($B$3="esp","Gastos de Explotación Contables PRENSA","PRESS Reported Expenses")</f>
        <v>PRESS Reported Expenses</v>
      </c>
      <c r="AL63" s="13"/>
      <c r="AM63" s="14">
        <f>+[1]NOTICIAS!K35</f>
        <v>91.536458222787005</v>
      </c>
      <c r="AN63" s="15">
        <f>+[1]NOTICIAS!L35</f>
        <v>102.00635427386608</v>
      </c>
      <c r="AO63" s="16">
        <f t="shared" si="24"/>
        <v>-10.26396455947201</v>
      </c>
      <c r="AQ63" s="14">
        <f>+[1]NOTICIAS!O35</f>
        <v>45.609634588094622</v>
      </c>
      <c r="AR63" s="15">
        <f>+[1]NOTICIAS!P35</f>
        <v>53.903634349126015</v>
      </c>
      <c r="AS63" s="16">
        <f t="shared" si="27"/>
        <v>-15.386717168850547</v>
      </c>
      <c r="AV63" s="26" t="str">
        <f>+IF($B$3="esp","Margen EBIT ","EBIT Margin")</f>
        <v>EBIT Margin</v>
      </c>
      <c r="AW63" s="30"/>
      <c r="AX63" s="32">
        <f>+'[1]MEDIA CAPITAL'!K29</f>
        <v>0.1139420549643992</v>
      </c>
      <c r="AY63" s="33">
        <f>+'[1]MEDIA CAPITAL'!L29</f>
        <v>0.18876035448504569</v>
      </c>
      <c r="AZ63" s="34"/>
      <c r="BB63" s="32">
        <f>+'[1]MEDIA CAPITAL'!O29</f>
        <v>0.23365076487378794</v>
      </c>
      <c r="BC63" s="33">
        <f>+'[1]MEDIA CAPITAL'!P29</f>
        <v>0.26431667103732343</v>
      </c>
      <c r="BD63" s="34"/>
    </row>
    <row r="64" spans="4:57" ht="15" customHeight="1" thickBot="1">
      <c r="D64" s="31" t="str">
        <f>+IF($B$3="esp","Portugal","Portugal")</f>
        <v>Portugal</v>
      </c>
      <c r="F64" s="22">
        <f>+[1]GRUPO!K65</f>
        <v>14.038245622884601</v>
      </c>
      <c r="G64" s="23">
        <f>+[1]GRUPO!L65</f>
        <v>17.383246481651099</v>
      </c>
      <c r="H64" s="24">
        <f t="shared" si="18"/>
        <v>-19.242670592615234</v>
      </c>
      <c r="J64" s="22">
        <f>+[1]GRUPO!O65</f>
        <v>13.081456175063281</v>
      </c>
      <c r="K64" s="23">
        <f>+[1]GRUPO!P65</f>
        <v>13.265960080182378</v>
      </c>
      <c r="L64" s="24">
        <f t="shared" si="19"/>
        <v>-1.3908070279415523</v>
      </c>
      <c r="O64" s="31" t="str">
        <f>+IF($B$3="esp","Portugal","Portugal")</f>
        <v>Portugal</v>
      </c>
      <c r="Q64" s="22">
        <f>+[1]SANTILLANA!K65</f>
        <v>-0.23269599999999999</v>
      </c>
      <c r="R64" s="23">
        <f>+[1]SANTILLANA!L65</f>
        <v>-1.768445</v>
      </c>
      <c r="S64" s="24">
        <f t="shared" si="20"/>
        <v>86.841773422413468</v>
      </c>
      <c r="U64" s="22">
        <f>+[1]SANTILLANA!O65</f>
        <v>-0.164989</v>
      </c>
      <c r="V64" s="23">
        <f>+[1]SANTILLANA!P65</f>
        <v>-0.98282199999999997</v>
      </c>
      <c r="W64" s="24">
        <f t="shared" si="21"/>
        <v>83.21272824580646</v>
      </c>
      <c r="Z64" s="21" t="str">
        <f>+IF($B$3="esp","Latam","Latam")</f>
        <v>Latam</v>
      </c>
      <c r="AB64" s="22">
        <f>+[1]RADIO!K64</f>
        <v>33.824881311227315</v>
      </c>
      <c r="AC64" s="23">
        <f>+[1]RADIO!L64</f>
        <v>35.413683473570359</v>
      </c>
      <c r="AD64" s="24">
        <f t="shared" si="22"/>
        <v>-4.4864075309443159</v>
      </c>
      <c r="AF64" s="22">
        <f>+[1]RADIO!O64</f>
        <v>17.763433100372463</v>
      </c>
      <c r="AG64" s="23">
        <f>+[1]RADIO!P64</f>
        <v>18.604219566153077</v>
      </c>
      <c r="AH64" s="24">
        <f t="shared" si="23"/>
        <v>-4.5193320944796227</v>
      </c>
      <c r="AK64" s="25" t="str">
        <f>+IF($B$3="esp","Gastos de Explotación Contables PBS y Tecnología","PBS &amp; IT Reported Expenses")</f>
        <v>PBS &amp; IT Reported Expenses</v>
      </c>
      <c r="AL64" s="13"/>
      <c r="AM64" s="14">
        <f>+[1]NOTICIAS!K36</f>
        <v>10.321996097390993</v>
      </c>
      <c r="AN64" s="15">
        <f>+[1]NOTICIAS!L36</f>
        <v>9.3033965287900031</v>
      </c>
      <c r="AO64" s="16">
        <f t="shared" si="24"/>
        <v>10.948684874914916</v>
      </c>
      <c r="AQ64" s="14">
        <f>+[1]NOTICIAS!O36</f>
        <v>5.1074212986990872</v>
      </c>
      <c r="AR64" s="15">
        <f>+[1]NOTICIAS!P36</f>
        <v>3.8329506768573012</v>
      </c>
      <c r="AS64" s="16">
        <f t="shared" si="27"/>
        <v>33.25037886703894</v>
      </c>
      <c r="AV64" s="53"/>
      <c r="AW64" s="13"/>
      <c r="AX64" s="53"/>
      <c r="AY64" s="53"/>
      <c r="AZ64" s="53"/>
      <c r="BB64" s="53"/>
      <c r="BC64" s="53"/>
      <c r="BD64" s="53"/>
    </row>
    <row r="65" spans="4:45" s="30" customFormat="1" ht="15" customHeight="1" thickTop="1">
      <c r="D65" s="26" t="str">
        <f>+IF($B$3="esp","Margen EBITDA ","EBITDA Margin")</f>
        <v>EBITDA Margin</v>
      </c>
      <c r="F65" s="32">
        <f>+[1]GRUPO!K66</f>
        <v>9.4293006770639981E-2</v>
      </c>
      <c r="G65" s="33">
        <f>+[1]GRUPO!L66</f>
        <v>0.21328079836388253</v>
      </c>
      <c r="H65" s="34"/>
      <c r="J65" s="32">
        <f>+[1]GRUPO!O66</f>
        <v>0.11674245095777842</v>
      </c>
      <c r="K65" s="33">
        <f>+[1]GRUPO!P66</f>
        <v>0.15534342605769036</v>
      </c>
      <c r="L65" s="34"/>
      <c r="O65" s="26" t="str">
        <f>+IF($B$3="esp","Margen EBITDA ","EBITDA Margin")</f>
        <v>EBITDA Margin</v>
      </c>
      <c r="Q65" s="32">
        <f>+[1]SANTILLANA!K66</f>
        <v>0.24163053290399175</v>
      </c>
      <c r="R65" s="33">
        <f>+[1]SANTILLANA!L66</f>
        <v>0.279402401310686</v>
      </c>
      <c r="S65" s="34"/>
      <c r="U65" s="32">
        <f>+[1]SANTILLANA!O66</f>
        <v>-5.0469110715820324E-2</v>
      </c>
      <c r="V65" s="33">
        <f>+[1]SANTILLANA!P66</f>
        <v>0.15168759178329955</v>
      </c>
      <c r="W65" s="34"/>
      <c r="Z65" s="21" t="str">
        <f>+IF($B$3="esp","Música","Music")</f>
        <v>Music</v>
      </c>
      <c r="AA65" s="1"/>
      <c r="AB65" s="22">
        <f>+[1]RADIO!K65</f>
        <v>7.3990250000000007E-2</v>
      </c>
      <c r="AC65" s="23">
        <f>+[1]RADIO!L65</f>
        <v>2.7994050815127403</v>
      </c>
      <c r="AD65" s="24">
        <f t="shared" si="22"/>
        <v>-97.356929495890711</v>
      </c>
      <c r="AE65" s="1"/>
      <c r="AF65" s="22">
        <f>+[1]RADIO!O65</f>
        <v>5.9689370000000005E-2</v>
      </c>
      <c r="AG65" s="23">
        <f>+[1]RADIO!P65</f>
        <v>1.1678039095565091</v>
      </c>
      <c r="AH65" s="24">
        <f t="shared" si="23"/>
        <v>-94.888750627434703</v>
      </c>
      <c r="AK65" s="35" t="str">
        <f>+IF($B$3="esp","EBITDA Contable Noticias Gestión","Total Press Reported EBITDA")</f>
        <v>Total Press Reported EBITDA</v>
      </c>
      <c r="AL65" s="36"/>
      <c r="AM65" s="52">
        <f>+[1]NOTICIAS!K37</f>
        <v>1.64478109274442</v>
      </c>
      <c r="AN65" s="38">
        <f>+[1]NOTICIAS!L37</f>
        <v>-4.7032608451460405</v>
      </c>
      <c r="AO65" s="39" t="str">
        <f t="shared" si="24"/>
        <v>---</v>
      </c>
      <c r="AQ65" s="52">
        <f>+[1]NOTICIAS!O37</f>
        <v>4.7164915282073903</v>
      </c>
      <c r="AR65" s="38">
        <f>+[1]NOTICIAS!P37</f>
        <v>-0.26293377821114028</v>
      </c>
      <c r="AS65" s="39" t="str">
        <f t="shared" si="27"/>
        <v>---</v>
      </c>
    </row>
    <row r="66" spans="4:45" s="13" customFormat="1" ht="15" customHeight="1">
      <c r="D66" s="13" t="str">
        <f>+IF($B$3="esp","EBIT Contable","Reported EBIT")</f>
        <v>Reported EBIT</v>
      </c>
      <c r="F66" s="14">
        <f>+[1]GRUPO!K67</f>
        <v>2.8940940997634756</v>
      </c>
      <c r="G66" s="15">
        <f>+[1]GRUPO!L67</f>
        <v>80.507991685650424</v>
      </c>
      <c r="H66" s="16">
        <f>IF(G66=0,"---",IF(OR(ABS((F66-G66)/ABS(G66))&gt;2,(F66*G66)&lt;0),"---",IF(G66="0","---",((F66-G66)/ABS(G66))*100)))</f>
        <v>-96.405208925017419</v>
      </c>
      <c r="J66" s="14">
        <f>+[1]GRUPO!O67</f>
        <v>7.957665361147428</v>
      </c>
      <c r="K66" s="15">
        <f>+[1]GRUPO!P67</f>
        <v>35.102339752278723</v>
      </c>
      <c r="L66" s="16">
        <f>IF(K66=0,"---",IF(OR(ABS((J66-K66)/ABS(K66))&gt;2,(J66*K66)&lt;0),"---",IF(K66="0","---",((J66-K66)/ABS(K66))*100)))</f>
        <v>-77.330099881359487</v>
      </c>
      <c r="O66" s="13" t="str">
        <f>+IF($B$3="esp","EBIT","EBIT")</f>
        <v>EBIT</v>
      </c>
      <c r="Q66" s="14">
        <f>+[1]SANTILLANA!K67</f>
        <v>34.529992609979999</v>
      </c>
      <c r="R66" s="15">
        <f>+[1]SANTILLANA!L67</f>
        <v>63.755181769096403</v>
      </c>
      <c r="S66" s="16">
        <f>IF(R66=0,"---",IF(OR(ABS((Q66-R66)/ABS(R66))&gt;2,(Q66*R66)&lt;0),"---",IF(R66="0","---",((Q66-R66)/ABS(R66))*100)))</f>
        <v>-45.839708002028665</v>
      </c>
      <c r="U66" s="14">
        <f>+[1]SANTILLANA!O67</f>
        <v>-16.963152060353302</v>
      </c>
      <c r="V66" s="15">
        <f>+[1]SANTILLANA!P67</f>
        <v>11.482696731794398</v>
      </c>
      <c r="W66" s="16" t="str">
        <f>IF(V66=0,"---",IF(OR(ABS((U66-V66)/ABS(V66))&gt;2,(U66*V66)&lt;0),"---",IF(V66="0","---",((U66-V66)/ABS(V66))*100)))</f>
        <v>---</v>
      </c>
      <c r="Z66" s="21" t="str">
        <f>+IF($B$3="esp","Ajustes y Otros","Adjustments &amp; others")</f>
        <v>Adjustments &amp; others</v>
      </c>
      <c r="AA66" s="1"/>
      <c r="AB66" s="22">
        <f>+[1]RADIO!K66</f>
        <v>-1.9967496550154267</v>
      </c>
      <c r="AC66" s="23">
        <f>+[1]RADIO!L66</f>
        <v>-3.5389972946168009</v>
      </c>
      <c r="AD66" s="24">
        <f t="shared" si="22"/>
        <v>43.578661163355513</v>
      </c>
      <c r="AF66" s="22">
        <f>+[1]RADIO!O66</f>
        <v>-1.0763161636156537</v>
      </c>
      <c r="AG66" s="23">
        <f>+[1]RADIO!P66</f>
        <v>-1.6735197461092477</v>
      </c>
      <c r="AH66" s="24">
        <f t="shared" si="23"/>
        <v>35.685481685054967</v>
      </c>
      <c r="AK66" s="25" t="str">
        <f>+IF($B$3="esp","EBITDA Contable PRENSA","PRESS Reported EBITDA")</f>
        <v>PRESS Reported EBITDA</v>
      </c>
      <c r="AM66" s="14">
        <f>+[1]NOTICIAS!K38</f>
        <v>2.6728670159620003</v>
      </c>
      <c r="AN66" s="15">
        <f>+[1]NOTICIAS!L38</f>
        <v>-1.7490020959730801</v>
      </c>
      <c r="AO66" s="16" t="str">
        <f t="shared" si="24"/>
        <v>---</v>
      </c>
      <c r="AQ66" s="14">
        <f>+[1]NOTICIAS!O38</f>
        <v>4.7567255617410904</v>
      </c>
      <c r="AR66" s="15">
        <f>+[1]NOTICIAS!P38</f>
        <v>0.7028366321399897</v>
      </c>
      <c r="AS66" s="16" t="str">
        <f t="shared" si="27"/>
        <v>---</v>
      </c>
    </row>
    <row r="67" spans="4:45" ht="15" customHeight="1">
      <c r="D67" s="21" t="str">
        <f>+IF($B$3="esp","España","Spain")</f>
        <v>Spain</v>
      </c>
      <c r="F67" s="22">
        <f>+[1]GRUPO!K68</f>
        <v>-42.580481000000198</v>
      </c>
      <c r="G67" s="23">
        <f>+[1]GRUPO!L68</f>
        <v>-10.984602649999815</v>
      </c>
      <c r="H67" s="24" t="str">
        <f>IF(G67=0,"---",IF(OR(ABS((F67-G67)/ABS(G67))&gt;2,(F67*G67)&lt;0),"---",IF(G67="0","---",((F67-G67)/ABS(G67))*100)))</f>
        <v>---</v>
      </c>
      <c r="J67" s="22">
        <f>+[1]GRUPO!O68</f>
        <v>28.486910410000085</v>
      </c>
      <c r="K67" s="23">
        <f>+[1]GRUPO!P68</f>
        <v>15.858183140000477</v>
      </c>
      <c r="L67" s="24">
        <f>IF(K67=0,"---",IF(OR(ABS((J67-K67)/ABS(K67))&gt;2,(J67*K67)&lt;0),"---",IF(K67="0","---",((J67-K67)/ABS(K67))*100)))</f>
        <v>79.635398068679564</v>
      </c>
      <c r="O67" s="21" t="str">
        <f>+IF($B$3="esp","España","Spain")</f>
        <v>Spain</v>
      </c>
      <c r="Q67" s="22">
        <f>+[1]SANTILLANA!K68</f>
        <v>-1.2862051999995714</v>
      </c>
      <c r="R67" s="23">
        <f>+[1]SANTILLANA!L68</f>
        <v>-7.2354852700001757</v>
      </c>
      <c r="S67" s="24">
        <f>IF(R67=0,"---",IF(OR(ABS((Q67-R67)/ABS(R67))&gt;2,(Q67*R67)&lt;0),"---",IF(R67="0","---",((Q67-R67)/ABS(R67))*100)))</f>
        <v>82.223649803663548</v>
      </c>
      <c r="U67" s="22">
        <f>+[1]SANTILLANA!O68</f>
        <v>15.800078810000564</v>
      </c>
      <c r="V67" s="23">
        <f>+[1]SANTILLANA!P68</f>
        <v>9.2193009699994874</v>
      </c>
      <c r="W67" s="24">
        <f>IF(V67=0,"---",IF(OR(ABS((U67-V67)/ABS(V67))&gt;2,(U67*V67)&lt;0),"---",IF(V67="0","---",((U67-V67)/ABS(V67))*100)))</f>
        <v>71.380442632424902</v>
      </c>
      <c r="Z67" s="13" t="str">
        <f>+IF($B$3="esp","EBITDA","EBITDA")</f>
        <v>EBITDA</v>
      </c>
      <c r="AA67" s="13"/>
      <c r="AB67" s="14">
        <f>+[1]RADIO!K67</f>
        <v>28.1451873792942</v>
      </c>
      <c r="AC67" s="15">
        <f>+[1]RADIO!L67</f>
        <v>20.762592316740601</v>
      </c>
      <c r="AD67" s="16">
        <f t="shared" si="22"/>
        <v>35.557193195962867</v>
      </c>
      <c r="AF67" s="14">
        <f>+[1]RADIO!O67</f>
        <v>20.100309360086811</v>
      </c>
      <c r="AG67" s="15">
        <f>+[1]RADIO!P67</f>
        <v>18.22927137382743</v>
      </c>
      <c r="AH67" s="16">
        <f t="shared" si="23"/>
        <v>10.263920855036</v>
      </c>
      <c r="AK67" s="26" t="str">
        <f>+IF($B$3="esp","Margen EBITDA ","EBITDA Margin")</f>
        <v>EBITDA Margin</v>
      </c>
      <c r="AL67" s="30"/>
      <c r="AM67" s="32">
        <f>+[1]NOTICIAS!K39</f>
        <v>2.8371575841227126E-2</v>
      </c>
      <c r="AN67" s="33">
        <f>+[1]NOTICIAS!L39</f>
        <v>-1.7445125549193783E-2</v>
      </c>
      <c r="AO67" s="34"/>
      <c r="AQ67" s="32">
        <f>+[1]NOTICIAS!O39</f>
        <v>9.4442511779493893E-2</v>
      </c>
      <c r="AR67" s="33">
        <f>+[1]NOTICIAS!P39</f>
        <v>1.287094037593299E-2</v>
      </c>
      <c r="AS67" s="34"/>
    </row>
    <row r="68" spans="4:45" ht="15" customHeight="1" thickBot="1">
      <c r="D68" s="21" t="str">
        <f>+IF($B$3="esp","Internacional","International")</f>
        <v>International</v>
      </c>
      <c r="F68" s="22">
        <f>+[1]GRUPO!K69</f>
        <v>45.474575099763676</v>
      </c>
      <c r="G68" s="23">
        <f>+[1]GRUPO!L69</f>
        <v>91.492594335650239</v>
      </c>
      <c r="H68" s="24">
        <f>IF(G68=0,"---",IF(OR(ABS((F68-G68)/ABS(G68))&gt;2,(F68*G68)&lt;0),"---",IF(G68="0","---",((F68-G68)/ABS(G68))*100)))</f>
        <v>-50.296988045900861</v>
      </c>
      <c r="J68" s="22">
        <f>+[1]GRUPO!O69</f>
        <v>-20.529245048852651</v>
      </c>
      <c r="K68" s="23">
        <f>+[1]GRUPO!P69</f>
        <v>19.244156612278246</v>
      </c>
      <c r="L68" s="24" t="str">
        <f>IF(K68=0,"---",IF(OR(ABS((J68-K68)/ABS(K68))&gt;2,(J68*K68)&lt;0),"---",IF(K68="0","---",((J68-K68)/ABS(K68))*100)))</f>
        <v>---</v>
      </c>
      <c r="O68" s="21" t="str">
        <f>+IF($B$3="esp","Internacional","International")</f>
        <v>International</v>
      </c>
      <c r="Q68" s="22">
        <f>+[1]SANTILLANA!K69</f>
        <v>35.81619780997957</v>
      </c>
      <c r="R68" s="23">
        <f>+[1]SANTILLANA!L69</f>
        <v>70.990667039096579</v>
      </c>
      <c r="S68" s="24">
        <f>IF(R68=0,"---",IF(OR(ABS((Q68-R68)/ABS(R68))&gt;2,(Q68*R68)&lt;0),"---",IF(R68="0","---",((Q68-R68)/ABS(R68))*100)))</f>
        <v>-49.548019051216166</v>
      </c>
      <c r="U68" s="22">
        <f>+[1]SANTILLANA!O69</f>
        <v>-32.763230870353865</v>
      </c>
      <c r="V68" s="23">
        <f>+[1]SANTILLANA!P69</f>
        <v>2.2633957617949108</v>
      </c>
      <c r="W68" s="24" t="str">
        <f>IF(V68=0,"---",IF(OR(ABS((U68-V68)/ABS(V68))&gt;2,(U68*V68)&lt;0),"---",IF(V68="0","---",((U68-V68)/ABS(V68))*100)))</f>
        <v>---</v>
      </c>
      <c r="Z68" s="21" t="str">
        <f>+IF($B$3="esp","España","Spain")</f>
        <v>Spain</v>
      </c>
      <c r="AB68" s="22">
        <f>+[1]RADIO!K68</f>
        <v>21.548639570000102</v>
      </c>
      <c r="AC68" s="23">
        <f>+[1]RADIO!L68</f>
        <v>13.0756364699999</v>
      </c>
      <c r="AD68" s="24">
        <f t="shared" si="22"/>
        <v>64.799928626344467</v>
      </c>
      <c r="AF68" s="22">
        <f>+[1]RADIO!O68</f>
        <v>15.294947170000132</v>
      </c>
      <c r="AG68" s="23">
        <f>+[1]RADIO!P68</f>
        <v>12.855569369999969</v>
      </c>
      <c r="AH68" s="24">
        <f t="shared" si="23"/>
        <v>18.975260681123519</v>
      </c>
      <c r="AK68" s="25" t="str">
        <f>+IF($B$3="esp","PBS y Prisa Tecnología","PBS &amp; IT")</f>
        <v>PBS &amp; IT</v>
      </c>
      <c r="AL68" s="13"/>
      <c r="AM68" s="14">
        <f>+[1]NOTICIAS!K40</f>
        <v>-1.0280859232175803</v>
      </c>
      <c r="AN68" s="15">
        <f>+[1]NOTICIAS!L40</f>
        <v>-2.9542587491729604</v>
      </c>
      <c r="AO68" s="16">
        <f>IF(AN68=0,"---",IF(OR(ABS((AM68-AN68)/ABS(AN68))&gt;2,(AM68*AN68)&lt;0),"---",IF(AN68="0","---",((AM68-AN68)/ABS(AN68))*100)))</f>
        <v>65.199868714770119</v>
      </c>
      <c r="AQ68" s="14">
        <f>+[1]NOTICIAS!O40</f>
        <v>-4.0234033533700364E-2</v>
      </c>
      <c r="AR68" s="15">
        <f>+[1]NOTICIAS!P40</f>
        <v>-0.96577041035112998</v>
      </c>
      <c r="AS68" s="16">
        <f>IF(AR68=0,"---",IF(OR(ABS((AQ68-AR68)/ABS(AR68))&gt;2,(AQ68*AR68)&lt;0),"---",IF(AR68="0","---",((AQ68-AR68)/ABS(AR68))*100)))</f>
        <v>95.833996040624996</v>
      </c>
    </row>
    <row r="69" spans="4:45" ht="15" customHeight="1" thickTop="1">
      <c r="D69" s="31" t="str">
        <f>+IF($B$3="esp","Latam","Latam")</f>
        <v>Latam</v>
      </c>
      <c r="F69" s="22">
        <f>+[1]GRUPO!K70</f>
        <v>35.642546876879081</v>
      </c>
      <c r="G69" s="23">
        <f>+[1]GRUPO!L70</f>
        <v>77.125835593999142</v>
      </c>
      <c r="H69" s="24">
        <f>IF(G69=0,"---",IF(OR(ABS((F69-G69)/ABS(G69))&gt;2,(F69*G69)&lt;0),"---",IF(G69="0","---",((F69-G69)/ABS(G69))*100)))</f>
        <v>-53.786501498011276</v>
      </c>
      <c r="J69" s="22">
        <f>+[1]GRUPO!O70</f>
        <v>-31.564472253915923</v>
      </c>
      <c r="K69" s="23">
        <f>+[1]GRUPO!P70</f>
        <v>7.4745325620958738</v>
      </c>
      <c r="L69" s="24" t="str">
        <f>IF(K69=0,"---",IF(OR(ABS((J69-K69)/ABS(K69))&gt;2,(J69*K69)&lt;0),"---",IF(K69="0","---",((J69-K69)/ABS(K69))*100)))</f>
        <v>---</v>
      </c>
      <c r="O69" s="31" t="str">
        <f>+IF($B$3="esp","Latam","Latam")</f>
        <v>Latam</v>
      </c>
      <c r="Q69" s="22">
        <f>+[1]SANTILLANA!K70</f>
        <v>35.865357809979571</v>
      </c>
      <c r="R69" s="23">
        <f>+[1]SANTILLANA!L70</f>
        <v>72.76101403909658</v>
      </c>
      <c r="S69" s="24">
        <f>IF(R69=0,"---",IF(OR(ABS((Q69-R69)/ABS(R69))&gt;2,(Q69*R69)&lt;0),"---",IF(R69="0","---",((Q69-R69)/ABS(R69))*100)))</f>
        <v>-50.708001690701998</v>
      </c>
      <c r="U69" s="22">
        <f>+[1]SANTILLANA!O70</f>
        <v>-32.786292870353861</v>
      </c>
      <c r="V69" s="23">
        <f>+[1]SANTILLANA!P70</f>
        <v>3.247162761794911</v>
      </c>
      <c r="W69" s="24" t="str">
        <f>IF(V69=0,"---",IF(OR(ABS((U69-V69)/ABS(V69))&gt;2,(U69*V69)&lt;0),"---",IF(V69="0","---",((U69-V69)/ABS(V69))*100)))</f>
        <v>---</v>
      </c>
      <c r="Z69" s="21" t="str">
        <f>+IF($B$3="esp","Latam","Latam")</f>
        <v>Latam</v>
      </c>
      <c r="AB69" s="22">
        <f>+[1]RADIO!K69</f>
        <v>6.7079379392941805</v>
      </c>
      <c r="AC69" s="23">
        <f>+[1]RADIO!L69</f>
        <v>8.4362259749573489</v>
      </c>
      <c r="AD69" s="24">
        <f t="shared" si="22"/>
        <v>-20.48650712763661</v>
      </c>
      <c r="AF69" s="22">
        <f>+[1]RADIO!O69</f>
        <v>4.876718280086731</v>
      </c>
      <c r="AG69" s="23">
        <f>+[1]RADIO!P69</f>
        <v>5.8396755290974287</v>
      </c>
      <c r="AH69" s="24">
        <f t="shared" si="23"/>
        <v>-16.48991017073736</v>
      </c>
      <c r="AK69" s="35" t="str">
        <f>+IF($B$3="esp","EBIT Contable Noticias Gestión","Total Press Reported EBIT")</f>
        <v>Total Press Reported EBIT</v>
      </c>
      <c r="AL69" s="36"/>
      <c r="AM69" s="52">
        <f>+[1]NOTICIAS!K41</f>
        <v>-3.2178184927224303</v>
      </c>
      <c r="AN69" s="38">
        <f>+[1]NOTICIAS!L41</f>
        <v>-7.0530621877385906</v>
      </c>
      <c r="AO69" s="39">
        <f>IF(AN69=0,"---",IF(OR(ABS((AM69-AN69)/ABS(AN69))&gt;2,(AM69*AN69)&lt;0),"---",IF(AN69="0","---",((AM69-AN69)/ABS(AN69))*100)))</f>
        <v>54.377000980985926</v>
      </c>
      <c r="AQ69" s="52">
        <f>+[1]NOTICIAS!O41</f>
        <v>2.2010069286425793</v>
      </c>
      <c r="AR69" s="38">
        <f>+[1]NOTICIAS!P41</f>
        <v>-1.4843697394484598</v>
      </c>
      <c r="AS69" s="39" t="str">
        <f>IF(AR69=0,"---",IF(OR(ABS((AQ69-AR69)/ABS(AR69))&gt;2,(AQ69*AR69)&lt;0),"---",IF(AR69="0","---",((AQ69-AR69)/ABS(AR69))*100)))</f>
        <v>---</v>
      </c>
    </row>
    <row r="70" spans="4:45" ht="15" customHeight="1">
      <c r="D70" s="31" t="str">
        <f>+IF($B$3="esp","Portugal","Portugal")</f>
        <v>Portugal</v>
      </c>
      <c r="F70" s="22">
        <f>+[1]GRUPO!K71</f>
        <v>9.832028222884599</v>
      </c>
      <c r="G70" s="23">
        <f>+[1]GRUPO!L71</f>
        <v>14.366758741651102</v>
      </c>
      <c r="H70" s="24">
        <f>IF(G70=0,"---",IF(OR(ABS((F70-G70)/ABS(G70))&gt;2,(F70*G70)&lt;0),"---",IF(G70="0","---",((F70-G70)/ABS(G70))*100)))</f>
        <v>-31.56404725875802</v>
      </c>
      <c r="J70" s="22">
        <f>+[1]GRUPO!O71</f>
        <v>11.035227205063268</v>
      </c>
      <c r="K70" s="23">
        <f>+[1]GRUPO!P71</f>
        <v>11.769624050182383</v>
      </c>
      <c r="L70" s="24">
        <f>IF(K70=0,"---",IF(OR(ABS((J70-K70)/ABS(K70))&gt;2,(J70*K70)&lt;0),"---",IF(K70="0","---",((J70-K70)/ABS(K70))*100)))</f>
        <v>-6.2397646856675451</v>
      </c>
      <c r="O70" s="31" t="str">
        <f>+IF($B$3="esp","Portugal","Portugal")</f>
        <v>Portugal</v>
      </c>
      <c r="Q70" s="22">
        <f>+[1]SANTILLANA!K71</f>
        <v>-4.9159999999999995E-2</v>
      </c>
      <c r="R70" s="23">
        <f>+[1]SANTILLANA!L71</f>
        <v>-1.7703469999999999</v>
      </c>
      <c r="S70" s="24">
        <f>IF(R70=0,"---",IF(OR(ABS((Q70-R70)/ABS(R70))&gt;2,(Q70*R70)&lt;0),"---",IF(R70="0","---",((Q70-R70)/ABS(R70))*100)))</f>
        <v>97.223143259485283</v>
      </c>
      <c r="U70" s="22">
        <f>+[1]SANTILLANA!O71</f>
        <v>2.3061999999999999E-2</v>
      </c>
      <c r="V70" s="23">
        <f>+[1]SANTILLANA!P71</f>
        <v>-0.98376699999999984</v>
      </c>
      <c r="W70" s="24" t="str">
        <f>IF(V70=0,"---",IF(OR(ABS((U70-V70)/ABS(V70))&gt;2,(U70*V70)&lt;0),"---",IF(V70="0","---",((U70-V70)/ABS(V70))*100)))</f>
        <v>---</v>
      </c>
      <c r="Z70" s="21" t="str">
        <f>+IF($B$3="esp","Música","Music")</f>
        <v>Music</v>
      </c>
      <c r="AB70" s="22">
        <f>+[1]RADIO!K70</f>
        <v>-4.7997129999999999E-2</v>
      </c>
      <c r="AC70" s="23">
        <f>+[1]RADIO!L70</f>
        <v>-0.32044012821669005</v>
      </c>
      <c r="AD70" s="24">
        <f t="shared" si="22"/>
        <v>85.021498316358475</v>
      </c>
      <c r="AF70" s="22">
        <f>+[1]RADIO!O70</f>
        <v>-3.9560089999999999E-2</v>
      </c>
      <c r="AG70" s="23">
        <f>+[1]RADIO!P70</f>
        <v>-3.7143525270039057E-2</v>
      </c>
      <c r="AH70" s="24">
        <f t="shared" si="23"/>
        <v>-6.5060187809104013</v>
      </c>
      <c r="AK70" s="25" t="str">
        <f>+IF($B$3="esp","EBIT Contable PRENSA","PRESS Reported EBIT")</f>
        <v>PRESS Reported EBIT</v>
      </c>
      <c r="AL70" s="13"/>
      <c r="AM70" s="14">
        <f>+[1]NOTICIAS!K42</f>
        <v>-1.2584619106254498</v>
      </c>
      <c r="AN70" s="15">
        <f>+[1]NOTICIAS!L42</f>
        <v>-3.8402095417194402</v>
      </c>
      <c r="AO70" s="16">
        <f>IF(AN70=0,"---",IF(OR(ABS((AM70-AN70)/ABS(AN70))&gt;2,(AM70*AN70)&lt;0),"---",IF(AN70="0","---",((AM70-AN70)/ABS(AN70))*100)))</f>
        <v>67.229342645141756</v>
      </c>
      <c r="AQ70" s="14">
        <f>+[1]NOTICIAS!O42</f>
        <v>2.7411846502580102</v>
      </c>
      <c r="AR70" s="15">
        <f>+[1]NOTICIAS!P42</f>
        <v>-0.39555559598933021</v>
      </c>
      <c r="AS70" s="16" t="str">
        <f>IF(AR70=0,"---",IF(OR(ABS((AQ70-AR70)/ABS(AR70))&gt;2,(AQ70*AR70)&lt;0),"---",IF(AR70="0","---",((AQ70-AR70)/ABS(AR70))*100)))</f>
        <v>---</v>
      </c>
    </row>
    <row r="71" spans="4:45" s="30" customFormat="1" ht="15" customHeight="1">
      <c r="D71" s="26" t="str">
        <f>+IF($B$3="esp","Margen EBIT ","EBIT Margin")</f>
        <v>EBIT Margin</v>
      </c>
      <c r="F71" s="32">
        <f>+[1]GRUPO!K72</f>
        <v>5.0601426595200489E-3</v>
      </c>
      <c r="G71" s="33">
        <f>+[1]GRUPO!L72</f>
        <v>0.12797657263647685</v>
      </c>
      <c r="H71" s="34"/>
      <c r="J71" s="32">
        <f>+[1]GRUPO!O72</f>
        <v>3.0651083708371503E-2</v>
      </c>
      <c r="K71" s="33">
        <f>+[1]GRUPO!P72</f>
        <v>0.11393767307111514</v>
      </c>
      <c r="L71" s="34"/>
      <c r="O71" s="26" t="str">
        <f>+IF($B$3="esp","Margen EBIT ","EBIT Margin")</f>
        <v>EBIT Margin</v>
      </c>
      <c r="Q71" s="32">
        <f>+[1]SANTILLANA!K72</f>
        <v>0.13489356275844747</v>
      </c>
      <c r="R71" s="33">
        <f>+[1]SANTILLANA!L72</f>
        <v>0.21157562772454597</v>
      </c>
      <c r="S71" s="34"/>
      <c r="U71" s="32">
        <f>+[1]SANTILLANA!O72</f>
        <v>-0.19483742561751827</v>
      </c>
      <c r="V71" s="33">
        <f>+[1]SANTILLANA!P72</f>
        <v>8.9998763773874405E-2</v>
      </c>
      <c r="W71" s="34"/>
      <c r="Z71" s="21" t="str">
        <f>+IF($B$3="esp","Ajustes y Otros","Adjustments &amp; others")</f>
        <v>Adjustments &amp; others</v>
      </c>
      <c r="AA71" s="1"/>
      <c r="AB71" s="22">
        <f>+[1]RADIO!K71</f>
        <v>-6.33930000000828E-2</v>
      </c>
      <c r="AC71" s="23">
        <f>+[1]RADIO!L71</f>
        <v>-0.42882999999995713</v>
      </c>
      <c r="AD71" s="24">
        <f t="shared" si="22"/>
        <v>85.217218944549316</v>
      </c>
      <c r="AF71" s="22">
        <f>+[1]RADIO!O71</f>
        <v>-3.1796000000052942E-2</v>
      </c>
      <c r="AG71" s="23">
        <f>+[1]RADIO!P71</f>
        <v>-0.42882999999992799</v>
      </c>
      <c r="AH71" s="24">
        <f t="shared" si="23"/>
        <v>92.585406804547659</v>
      </c>
      <c r="AK71" s="26" t="str">
        <f>+IF($B$3="esp","Margen EBIT ","EBIT Margin")</f>
        <v>EBIT Margin</v>
      </c>
      <c r="AM71" s="32">
        <f>+[1]NOTICIAS!K43</f>
        <v>-1.3358145888808839E-2</v>
      </c>
      <c r="AN71" s="33">
        <f>+[1]NOTICIAS!L43</f>
        <v>-3.8303520473047324E-2</v>
      </c>
      <c r="AO71" s="34"/>
      <c r="AQ71" s="32">
        <f>+[1]NOTICIAS!O43</f>
        <v>5.4424910636846006E-2</v>
      </c>
      <c r="AR71" s="33">
        <f>+[1]NOTICIAS!P43</f>
        <v>-7.2437494839216882E-3</v>
      </c>
      <c r="AS71" s="34"/>
    </row>
    <row r="72" spans="4:45" s="13" customFormat="1" ht="15" customHeight="1">
      <c r="D72" s="13" t="str">
        <f>+IF($B$3="esp","Resultado Financiero","Financial Result")</f>
        <v>Financial Result</v>
      </c>
      <c r="F72" s="14">
        <f>+[1]GRUPO!K73</f>
        <v>-40.842281814048995</v>
      </c>
      <c r="G72" s="15">
        <f>+[1]GRUPO!L73</f>
        <v>-44.122654576175307</v>
      </c>
      <c r="H72" s="16">
        <f t="shared" ref="H72:H83" si="28">IF(G72=0,"---",IF(OR(ABS((F72-G72)/ABS(G72))&gt;2,(F72*G72)&lt;0),"---",IF(G72="0","---",((F72-G72)/ABS(G72))*100)))</f>
        <v>7.4346677316590988</v>
      </c>
      <c r="J72" s="14">
        <f>+[1]GRUPO!O73</f>
        <v>-20.524795732143296</v>
      </c>
      <c r="K72" s="15">
        <f>+[1]GRUPO!P73</f>
        <v>-28.486220128665405</v>
      </c>
      <c r="L72" s="16">
        <f t="shared" ref="L72:L83" si="29">IF(K72=0,"---",IF(OR(ABS((J72-K72)/ABS(K72))&gt;2,(J72*K72)&lt;0),"---",IF(K72="0","---",((J72-K72)/ABS(K72))*100)))</f>
        <v>27.948335583177652</v>
      </c>
      <c r="O72" s="1"/>
      <c r="P72" s="1"/>
      <c r="Q72" s="1"/>
      <c r="R72" s="1"/>
      <c r="S72" s="1"/>
      <c r="U72" s="1"/>
      <c r="V72" s="1"/>
      <c r="W72" s="1"/>
      <c r="Z72" s="26" t="str">
        <f>+IF($B$3="esp","Margen EBITDA ","EBITDA Margin")</f>
        <v>EBITDA Margin</v>
      </c>
      <c r="AA72" s="30"/>
      <c r="AB72" s="32">
        <f>+[1]RADIO!K72</f>
        <v>0.20925771745372021</v>
      </c>
      <c r="AC72" s="33">
        <f>+[1]RADIO!L72</f>
        <v>0.15269241418548893</v>
      </c>
      <c r="AD72" s="34"/>
      <c r="AF72" s="32">
        <f>+[1]RADIO!O72</f>
        <v>0.27002297872325337</v>
      </c>
      <c r="AG72" s="33">
        <f>+[1]RADIO!P72</f>
        <v>0.23630094486252215</v>
      </c>
      <c r="AH72" s="34"/>
      <c r="AK72" s="25" t="str">
        <f>+IF($B$3="esp","PBS y Prisa Tecnología","PBS &amp; IT")</f>
        <v>PBS &amp; IT</v>
      </c>
      <c r="AM72" s="14">
        <f>+[1]NOTICIAS!K44</f>
        <v>-1.9593565820969805</v>
      </c>
      <c r="AN72" s="15">
        <f>+[1]NOTICIAS!L44</f>
        <v>-3.2128526460191504</v>
      </c>
      <c r="AO72" s="16">
        <f>IF(AN72=0,"---",IF(OR(ABS((AM72-AN72)/ABS(AN72))&gt;2,(AM72*AN72)&lt;0),"---",IF(AN72="0","---",((AM72-AN72)/ABS(AN72))*100)))</f>
        <v>39.015049926902201</v>
      </c>
      <c r="AQ72" s="14">
        <f>+[1]NOTICIAS!O44</f>
        <v>-0.54017772161543087</v>
      </c>
      <c r="AR72" s="15">
        <f>+[1]NOTICIAS!P44</f>
        <v>-1.0888141434591296</v>
      </c>
      <c r="AS72" s="16">
        <f>IF(AR72=0,"---",IF(OR(ABS((AQ72-AR72)/ABS(AR72))&gt;2,(AQ72*AR72)&lt;0),"---",IF(AR72="0","---",((AQ72-AR72)/ABS(AR72))*100)))</f>
        <v>50.388436368092847</v>
      </c>
    </row>
    <row r="73" spans="4:45" ht="15" customHeight="1">
      <c r="D73" s="21" t="str">
        <f>+IF($B$3="esp","Gastos por intereses de financiación","Interests on debt")</f>
        <v>Interests on debt</v>
      </c>
      <c r="F73" s="22">
        <f>+[1]GRUPO!K74</f>
        <v>-29.625903631697401</v>
      </c>
      <c r="G73" s="23">
        <f>+[1]GRUPO!L74</f>
        <v>-25.2197837047325</v>
      </c>
      <c r="H73" s="24">
        <f t="shared" si="28"/>
        <v>-17.470887056569371</v>
      </c>
      <c r="J73" s="22">
        <f>+[1]GRUPO!O74</f>
        <v>-14.914051288899801</v>
      </c>
      <c r="K73" s="23">
        <f>+[1]GRUPO!P74</f>
        <v>-12.579188114936901</v>
      </c>
      <c r="L73" s="24">
        <f t="shared" si="29"/>
        <v>-18.561318525719585</v>
      </c>
      <c r="Z73" s="13" t="str">
        <f>+IF($B$3="esp","EBIT","EBIT")</f>
        <v>EBIT</v>
      </c>
      <c r="AA73" s="13"/>
      <c r="AB73" s="14">
        <f>+[1]RADIO!K73</f>
        <v>19.008089320751001</v>
      </c>
      <c r="AC73" s="15">
        <f>+[1]RADIO!L73</f>
        <v>16.7521043766452</v>
      </c>
      <c r="AD73" s="16">
        <f>IF(AC73=0,"---",IF(OR(ABS((AB73-AC73)/ABS(AC73))&gt;2,(AB73*AC73)&lt;0),"---",IF(AC73="0","---",((AB73-AC73)/ABS(AC73))*100)))</f>
        <v>13.466874927373082</v>
      </c>
      <c r="AF73" s="14">
        <f>+[1]RADIO!O73</f>
        <v>15.405782231817811</v>
      </c>
      <c r="AG73" s="15">
        <f>+[1]RADIO!P73</f>
        <v>16.23714653475335</v>
      </c>
      <c r="AH73" s="16">
        <f>IF(AG73=0,"---",IF(OR(ABS((AF73-AG73)/ABS(AG73))&gt;2,(AF73*AG73)&lt;0),"---",IF(AG73="0","---",((AF73-AG73)/ABS(AG73))*100)))</f>
        <v>-5.1201379574675832</v>
      </c>
    </row>
    <row r="74" spans="4:45" ht="15" customHeight="1">
      <c r="D74" s="21" t="str">
        <f>+IF($B$3="esp","Otros resultados financieros","Other financial results")</f>
        <v>Other financial results</v>
      </c>
      <c r="F74" s="22">
        <f>+[1]GRUPO!K75</f>
        <v>-11.216378182351594</v>
      </c>
      <c r="G74" s="23">
        <f>+[1]GRUPO!L75</f>
        <v>-18.902870871442808</v>
      </c>
      <c r="H74" s="24">
        <f t="shared" si="28"/>
        <v>40.663096845799508</v>
      </c>
      <c r="J74" s="22">
        <f>+[1]GRUPO!O75</f>
        <v>-5.6107444432434956</v>
      </c>
      <c r="K74" s="23">
        <f>+[1]GRUPO!P75</f>
        <v>-15.907032013728504</v>
      </c>
      <c r="L74" s="24">
        <f t="shared" si="29"/>
        <v>64.727898715479014</v>
      </c>
      <c r="Z74" s="21" t="str">
        <f>+IF($B$3="esp","España","Spain")</f>
        <v>Spain</v>
      </c>
      <c r="AB74" s="22">
        <f>+[1]RADIO!K74</f>
        <v>15.890000290000097</v>
      </c>
      <c r="AC74" s="23">
        <f>+[1]RADIO!L74</f>
        <v>10.317724659999998</v>
      </c>
      <c r="AD74" s="24">
        <f>IF(AC74=0,"---",IF(OR(ABS((AB74-AC74)/ABS(AC74))&gt;2,(AB74*AC74)&lt;0),"---",IF(AC74="0","---",((AB74-AC74)/ABS(AC74))*100)))</f>
        <v>54.006826249229455</v>
      </c>
      <c r="AF74" s="22">
        <f>+[1]RADIO!O74</f>
        <v>12.553592210000108</v>
      </c>
      <c r="AG74" s="23">
        <f>+[1]RADIO!P74</f>
        <v>11.497667840000018</v>
      </c>
      <c r="AH74" s="24">
        <f>IF(AG74=0,"---",IF(OR(ABS((AF74-AG74)/ABS(AG74))&gt;2,(AF74*AG74)&lt;0),"---",IF(AG74="0","---",((AF74-AG74)/ABS(AG74))*100)))</f>
        <v>9.1838134889108822</v>
      </c>
    </row>
    <row r="75" spans="4:45" s="13" customFormat="1" ht="15" customHeight="1">
      <c r="D75" s="13" t="str">
        <f>+IF($B$3="esp","Resultado puesta en equivalencia","Result from associates")</f>
        <v>Result from associates</v>
      </c>
      <c r="F75" s="14">
        <f>+[1]GRUPO!K76</f>
        <v>0.59615163651938097</v>
      </c>
      <c r="G75" s="15">
        <f>+[1]GRUPO!L76</f>
        <v>2.4392733227744401</v>
      </c>
      <c r="H75" s="16">
        <f t="shared" si="28"/>
        <v>-75.560277277934745</v>
      </c>
      <c r="J75" s="14">
        <f>+[1]GRUPO!O76</f>
        <v>0.24758809737724097</v>
      </c>
      <c r="K75" s="15">
        <f>+[1]GRUPO!P76</f>
        <v>1.6528902442129052</v>
      </c>
      <c r="L75" s="16">
        <f t="shared" si="29"/>
        <v>-85.020899104214848</v>
      </c>
      <c r="Z75" s="21" t="str">
        <f>+IF($B$3="esp","Latam","Latam")</f>
        <v>Latam</v>
      </c>
      <c r="AA75" s="1"/>
      <c r="AB75" s="22">
        <f>+[1]RADIO!K75</f>
        <v>3.22947916075083</v>
      </c>
      <c r="AC75" s="23">
        <f>+[1]RADIO!L75</f>
        <v>7.1863210523547201</v>
      </c>
      <c r="AD75" s="24">
        <f>IF(AC75=0,"---",IF(OR(ABS((AB75-AC75)/ABS(AC75))&gt;2,(AB75*AC75)&lt;0),"---",IF(AC75="0","---",((AB75-AC75)/ABS(AC75))*100)))</f>
        <v>-55.060744750714463</v>
      </c>
      <c r="AE75" s="1"/>
      <c r="AF75" s="22">
        <f>+[1]RADIO!O75</f>
        <v>2.9235461118175441</v>
      </c>
      <c r="AG75" s="23">
        <f>+[1]RADIO!P75</f>
        <v>5.2068098362086896</v>
      </c>
      <c r="AH75" s="24">
        <f>IF(AG75=0,"---",IF(OR(ABS((AF75-AG75)/ABS(AG75))&gt;2,(AF75*AG75)&lt;0),"---",IF(AG75="0","---",((AF75-AG75)/ABS(AG75))*100)))</f>
        <v>-43.851490571310968</v>
      </c>
    </row>
    <row r="76" spans="4:45" s="13" customFormat="1" ht="15" customHeight="1">
      <c r="D76" s="13" t="str">
        <f>+IF($B$3="esp","Resultado antes de impuestos","Profit before tax")</f>
        <v>Profit before tax</v>
      </c>
      <c r="F76" s="14">
        <f>+[1]GRUPO!K77</f>
        <v>-37.352036077766137</v>
      </c>
      <c r="G76" s="15">
        <f>+[1]GRUPO!L77</f>
        <v>38.824610432249557</v>
      </c>
      <c r="H76" s="16" t="str">
        <f t="shared" si="28"/>
        <v>---</v>
      </c>
      <c r="J76" s="14">
        <f>+[1]GRUPO!O77</f>
        <v>-12.319542273618627</v>
      </c>
      <c r="K76" s="15">
        <f>+[1]GRUPO!P77</f>
        <v>8.2690098678262238</v>
      </c>
      <c r="L76" s="16" t="str">
        <f t="shared" si="29"/>
        <v>---</v>
      </c>
      <c r="Z76" s="21" t="str">
        <f>+IF($B$3="esp","Música","Music")</f>
        <v>Music</v>
      </c>
      <c r="AA76" s="1"/>
      <c r="AB76" s="22">
        <f>+[1]RADIO!K76</f>
        <v>-4.7997129999999999E-2</v>
      </c>
      <c r="AC76" s="23">
        <f>+[1]RADIO!L76</f>
        <v>-0.323111335709587</v>
      </c>
      <c r="AD76" s="24">
        <f>IF(AC76=0,"---",IF(OR(ABS((AB76-AC76)/ABS(AC76))&gt;2,(AB76*AC76)&lt;0),"---",IF(AC76="0","---",((AB76-AC76)/ABS(AC76))*100)))</f>
        <v>85.145327725939055</v>
      </c>
      <c r="AE76" s="1"/>
      <c r="AF76" s="22">
        <f>+[1]RADIO!O76</f>
        <v>-3.9560089999999999E-2</v>
      </c>
      <c r="AG76" s="23">
        <f>+[1]RADIO!P76</f>
        <v>-3.8501141455503041E-2</v>
      </c>
      <c r="AH76" s="24">
        <f>IF(AG76=0,"---",IF(OR(ABS((AF76-AG76)/ABS(AG76))&gt;2,(AF76*AG76)&lt;0),"---",IF(AG76="0","---",((AF76-AG76)/ABS(AG76))*100)))</f>
        <v>-2.7504341545842688</v>
      </c>
    </row>
    <row r="77" spans="4:45" ht="15" customHeight="1">
      <c r="D77" s="21" t="str">
        <f>+IF($B$3="esp","Impuesto sobre sociedades","Income tax expense")</f>
        <v>Income tax expense</v>
      </c>
      <c r="F77" s="22">
        <f>+[1]GRUPO!K78</f>
        <v>15.686561914006361</v>
      </c>
      <c r="G77" s="23">
        <f>+[1]GRUPO!L78</f>
        <v>22.799579094973041</v>
      </c>
      <c r="H77" s="24">
        <f t="shared" si="28"/>
        <v>-31.198019714912149</v>
      </c>
      <c r="J77" s="22">
        <f>+[1]GRUPO!O78</f>
        <v>-5.0760614352303079</v>
      </c>
      <c r="K77" s="23">
        <f>+[1]GRUPO!P78</f>
        <v>9.4397398380166102</v>
      </c>
      <c r="L77" s="24" t="str">
        <f t="shared" si="29"/>
        <v>---</v>
      </c>
      <c r="Z77" s="21" t="str">
        <f>+IF($B$3="esp","Ajustes y Otros","Adjustments &amp; others")</f>
        <v>Adjustments &amp; others</v>
      </c>
      <c r="AB77" s="22">
        <f>+[1]RADIO!K77</f>
        <v>-6.339299999992648E-2</v>
      </c>
      <c r="AC77" s="23">
        <f>+[1]RADIO!L77</f>
        <v>-0.42882999999993138</v>
      </c>
      <c r="AD77" s="24">
        <f>IF(AC77=0,"---",IF(OR(ABS((AB77-AC77)/ABS(AC77))&gt;2,(AB77*AC77)&lt;0),"---",IF(AC77="0","---",((AB77-AC77)/ABS(AC77))*100)))</f>
        <v>85.217218944584886</v>
      </c>
      <c r="AE77" s="30"/>
      <c r="AF77" s="22">
        <f>+[1]RADIO!O77</f>
        <v>-3.1795999999840556E-2</v>
      </c>
      <c r="AG77" s="23">
        <f>+[1]RADIO!P77</f>
        <v>-0.42882999999985344</v>
      </c>
      <c r="AH77" s="24">
        <f>IF(AG77=0,"---",IF(OR(ABS((AF77-AG77)/ABS(AG77))&gt;2,(AF77*AG77)&lt;0),"---",IF(AG77="0","---",((AF77-AG77)/ABS(AG77))*100)))</f>
        <v>92.585406804595891</v>
      </c>
    </row>
    <row r="78" spans="4:45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+[1]GRUPO!K79</f>
        <v>0.73281494000000003</v>
      </c>
      <c r="G78" s="15">
        <f>+[1]GRUPO!L79</f>
        <v>0</v>
      </c>
      <c r="H78" s="16" t="str">
        <f t="shared" si="28"/>
        <v>---</v>
      </c>
      <c r="J78" s="14">
        <f>+[1]GRUPO!O79</f>
        <v>0.32386416000000001</v>
      </c>
      <c r="K78" s="15">
        <f>+[1]GRUPO!P79</f>
        <v>0</v>
      </c>
      <c r="L78" s="16" t="str">
        <f t="shared" si="29"/>
        <v>---</v>
      </c>
      <c r="Z78" s="26" t="str">
        <f>+IF($B$3="esp","Margen EBIT ","EBIT Margin")</f>
        <v>EBIT Margin</v>
      </c>
      <c r="AA78" s="30"/>
      <c r="AB78" s="32">
        <f>+[1]RADIO!K78</f>
        <v>0.14132396174214193</v>
      </c>
      <c r="AC78" s="33">
        <f>+[1]RADIO!L78</f>
        <v>0.12319845330175049</v>
      </c>
      <c r="AD78" s="34"/>
      <c r="AF78" s="32">
        <f>+[1]RADIO!O78</f>
        <v>0.20695777031459825</v>
      </c>
      <c r="AG78" s="33">
        <f>+[1]RADIO!P78</f>
        <v>0.21047758790525128</v>
      </c>
      <c r="AH78" s="34"/>
    </row>
    <row r="79" spans="4:45" s="13" customFormat="1" ht="15" customHeight="1">
      <c r="D79" s="13" t="str">
        <f>+IF($B$3="esp","Resultado atribuido a socios externos","Minority interest")</f>
        <v>Minority interest</v>
      </c>
      <c r="F79" s="14">
        <f>+[1]GRUPO!K80</f>
        <v>-0.75772584072498717</v>
      </c>
      <c r="G79" s="15">
        <f>+[1]GRUPO!L80</f>
        <v>15.6226513776197</v>
      </c>
      <c r="H79" s="16" t="str">
        <f t="shared" si="28"/>
        <v>---</v>
      </c>
      <c r="J79" s="14">
        <f>+[1]GRUPO!O80</f>
        <v>4.0389778952587037</v>
      </c>
      <c r="K79" s="15">
        <f>+[1]GRUPO!P80</f>
        <v>10.23246706558502</v>
      </c>
      <c r="L79" s="16">
        <f t="shared" si="29"/>
        <v>-60.527819250520267</v>
      </c>
      <c r="Z79" s="1"/>
      <c r="AA79" s="1"/>
      <c r="AB79" s="1"/>
      <c r="AC79" s="1"/>
      <c r="AD79" s="1"/>
      <c r="AE79" s="1"/>
      <c r="AF79" s="1"/>
      <c r="AG79" s="1"/>
      <c r="AH79" s="1"/>
    </row>
    <row r="80" spans="4:45" s="13" customFormat="1" ht="15" customHeight="1">
      <c r="D80" s="13" t="str">
        <f>+IF($B$3="esp","Resultado Neto","Net Profit")</f>
        <v>Net Profit</v>
      </c>
      <c r="F80" s="14">
        <f>+[1]GRUPO!K81</f>
        <v>-51.548057211047805</v>
      </c>
      <c r="G80" s="15">
        <f>+[1]GRUPO!L81</f>
        <v>0.40237995965570189</v>
      </c>
      <c r="H80" s="16" t="str">
        <f t="shared" si="28"/>
        <v>---</v>
      </c>
      <c r="J80" s="14">
        <f>+[1]GRUPO!O81</f>
        <v>-10.958594573647702</v>
      </c>
      <c r="K80" s="15">
        <f>+[1]GRUPO!P81</f>
        <v>-11.403197035777328</v>
      </c>
      <c r="L80" s="16">
        <f t="shared" si="29"/>
        <v>3.8989281754467133</v>
      </c>
    </row>
    <row r="81" spans="4:57">
      <c r="D81" s="21" t="str">
        <f>+IF($A$1="esp","Sentencia Mediapro","Mediapro sentence")</f>
        <v>Mediapro sentence</v>
      </c>
      <c r="F81" s="22">
        <f>+[1]GRUPO!K82</f>
        <v>-40.828660400000004</v>
      </c>
      <c r="G81" s="23">
        <f>+[1]GRUPO!L82</f>
        <v>0</v>
      </c>
      <c r="H81" s="24" t="str">
        <f t="shared" si="28"/>
        <v>---</v>
      </c>
      <c r="J81" s="22">
        <f>+[1]GRUPO!O82</f>
        <v>0</v>
      </c>
      <c r="K81" s="23">
        <f>+[1]GRUPO!P82</f>
        <v>0</v>
      </c>
      <c r="L81" s="24" t="str">
        <f t="shared" si="29"/>
        <v>---</v>
      </c>
      <c r="Z81" s="13"/>
      <c r="AA81" s="13"/>
      <c r="AB81" s="13"/>
      <c r="AC81" s="13"/>
      <c r="AD81" s="13"/>
      <c r="AE81" s="13"/>
      <c r="AF81" s="13"/>
      <c r="AG81" s="13"/>
      <c r="AH81" s="13"/>
    </row>
    <row r="82" spans="4:57">
      <c r="D82" s="21" t="str">
        <f>+IF($A$1="esp","NIIF16","IFRS16")</f>
        <v>IFRS16</v>
      </c>
      <c r="F82" s="22">
        <f>+[1]GRUPO!K83</f>
        <v>0</v>
      </c>
      <c r="G82" s="23">
        <f>+[1]GRUPO!L83</f>
        <v>-2.7573046599743063</v>
      </c>
      <c r="H82" s="24">
        <f t="shared" si="28"/>
        <v>100</v>
      </c>
      <c r="J82" s="22">
        <f>+[1]GRUPO!O83</f>
        <v>0</v>
      </c>
      <c r="K82" s="23">
        <f>+[1]GRUPO!P83</f>
        <v>-1.3533352772084979</v>
      </c>
      <c r="L82" s="24">
        <f t="shared" si="29"/>
        <v>100</v>
      </c>
      <c r="Z82" s="13"/>
      <c r="AA82" s="13"/>
      <c r="AB82" s="13"/>
      <c r="AC82" s="13"/>
      <c r="AD82" s="13"/>
      <c r="AE82" s="13"/>
      <c r="AF82" s="13"/>
      <c r="AG82" s="13"/>
      <c r="AH82" s="13"/>
    </row>
    <row r="83" spans="4:57">
      <c r="D83" s="13" t="str">
        <f>+IF($B$3="esp","Resultado Neto Comparable","Comparable Net Profit")</f>
        <v>Comparable Net Profit</v>
      </c>
      <c r="F83" s="14">
        <f>+[1]GRUPO!K84</f>
        <v>-10.719396811047169</v>
      </c>
      <c r="G83" s="15">
        <f>+[1]GRUPO!L84</f>
        <v>-2.3549247003186045</v>
      </c>
      <c r="H83" s="16" t="str">
        <f t="shared" si="28"/>
        <v>---</v>
      </c>
      <c r="J83" s="14">
        <f>+[1]GRUPO!O84</f>
        <v>0</v>
      </c>
      <c r="K83" s="15">
        <f>+[1]GRUPO!P84</f>
        <v>0</v>
      </c>
      <c r="L83" s="16" t="str">
        <f t="shared" si="29"/>
        <v>---</v>
      </c>
      <c r="Z83" s="13"/>
      <c r="AA83" s="13"/>
      <c r="AB83" s="13"/>
      <c r="AC83" s="13"/>
      <c r="AD83" s="13"/>
      <c r="AE83" s="13"/>
      <c r="AF83" s="13"/>
      <c r="AG83" s="13"/>
      <c r="AH83" s="13"/>
    </row>
    <row r="84" spans="4:57">
      <c r="Z84" s="13"/>
      <c r="AA84" s="13"/>
      <c r="AB84" s="13"/>
      <c r="AC84" s="13"/>
      <c r="AD84" s="13"/>
      <c r="AE84" s="13"/>
      <c r="AF84" s="13"/>
      <c r="AG84" s="13"/>
      <c r="AH84" s="13"/>
    </row>
    <row r="85" spans="4:57">
      <c r="Z85" s="13"/>
      <c r="AA85" s="13"/>
      <c r="AB85" s="13"/>
      <c r="AC85" s="13"/>
      <c r="AD85" s="13"/>
      <c r="AE85" s="13"/>
      <c r="AF85" s="13"/>
      <c r="AG85" s="13"/>
      <c r="AH85" s="13"/>
    </row>
    <row r="86" spans="4:57">
      <c r="Z86" s="13"/>
      <c r="AA86" s="13"/>
      <c r="AB86" s="13"/>
      <c r="AC86" s="13"/>
      <c r="AD86" s="13"/>
      <c r="AE86" s="13"/>
      <c r="AF86" s="13"/>
      <c r="AG86" s="13"/>
      <c r="AH86" s="13"/>
    </row>
    <row r="87" spans="4:57">
      <c r="Z87" s="13"/>
      <c r="AA87" s="13"/>
      <c r="AB87" s="13"/>
      <c r="AC87" s="13"/>
      <c r="AD87" s="13"/>
      <c r="AE87" s="13"/>
      <c r="AF87" s="13"/>
      <c r="AG87" s="13"/>
      <c r="AH87" s="13"/>
    </row>
    <row r="88" spans="4:57">
      <c r="Z88" s="13"/>
      <c r="AA88" s="13"/>
      <c r="AB88" s="13"/>
      <c r="AC88" s="13"/>
      <c r="AD88" s="13"/>
      <c r="AE88" s="13"/>
      <c r="AF88" s="13"/>
      <c r="AG88" s="13"/>
      <c r="AH88" s="13"/>
    </row>
    <row r="89" spans="4:57"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</row>
    <row r="90" spans="4:57">
      <c r="Z90" s="13"/>
      <c r="AA90" s="13"/>
      <c r="AB90" s="13"/>
      <c r="AC90" s="13"/>
      <c r="AD90" s="13"/>
      <c r="AE90" s="13"/>
      <c r="AF90" s="13"/>
      <c r="AG90" s="13"/>
      <c r="AH90" s="13"/>
    </row>
    <row r="91" spans="4:57">
      <c r="F91" s="7" t="str">
        <f>+F6</f>
        <v>JANUARY - MARCH</v>
      </c>
      <c r="G91" s="8"/>
      <c r="H91" s="8"/>
      <c r="J91" s="7" t="str">
        <f>+J6</f>
        <v>APRIL - JUNE</v>
      </c>
      <c r="K91" s="8"/>
      <c r="L91" s="8"/>
    </row>
    <row r="93" spans="4:57">
      <c r="D93" s="9" t="str">
        <f>+IF($B$3="esp","Millones de €","€ Millions")</f>
        <v>€ Millions</v>
      </c>
      <c r="F93" s="10">
        <v>2019</v>
      </c>
      <c r="G93" s="10">
        <v>2018</v>
      </c>
      <c r="H93" s="10" t="s">
        <v>5</v>
      </c>
      <c r="I93" s="13"/>
      <c r="J93" s="10">
        <v>2019</v>
      </c>
      <c r="K93" s="10">
        <v>2018</v>
      </c>
      <c r="L93" s="10" t="s">
        <v>5</v>
      </c>
      <c r="M93" s="13"/>
      <c r="O93" s="9" t="str">
        <f>+IF($B$3="esp","Millones de €","€ Millions")</f>
        <v>€ Millions</v>
      </c>
      <c r="Q93" s="10">
        <v>2019</v>
      </c>
      <c r="R93" s="10">
        <v>2018</v>
      </c>
      <c r="S93" s="10" t="s">
        <v>5</v>
      </c>
      <c r="U93" s="10">
        <v>2019</v>
      </c>
      <c r="V93" s="10">
        <v>2018</v>
      </c>
      <c r="W93" s="10" t="s">
        <v>5</v>
      </c>
      <c r="Z93" s="9" t="str">
        <f>+IF($B$3="esp","Millones de €","€ Millions")</f>
        <v>€ Millions</v>
      </c>
      <c r="AB93" s="10">
        <v>2019</v>
      </c>
      <c r="AC93" s="10">
        <v>2018</v>
      </c>
      <c r="AD93" s="10" t="s">
        <v>5</v>
      </c>
      <c r="AF93" s="10">
        <v>2019</v>
      </c>
      <c r="AG93" s="10">
        <v>2018</v>
      </c>
      <c r="AH93" s="10" t="s">
        <v>5</v>
      </c>
      <c r="AK93" s="9" t="str">
        <f>+IF($B$3="esp","Millones de €","€ Millions")</f>
        <v>€ Millions</v>
      </c>
      <c r="AM93" s="10">
        <v>2019</v>
      </c>
      <c r="AN93" s="10">
        <v>2018</v>
      </c>
      <c r="AO93" s="10" t="str">
        <f>+IF($B$3="esp","Var.%","% Chg.")</f>
        <v>% Chg.</v>
      </c>
      <c r="AQ93" s="10">
        <v>2019</v>
      </c>
      <c r="AR93" s="10">
        <v>2018</v>
      </c>
      <c r="AS93" s="10" t="str">
        <f>+IF($B$3="esp","Var.%","% Chg.")</f>
        <v>% Chg.</v>
      </c>
      <c r="AV93" s="9" t="str">
        <f>+IF($B$3="esp","Millones de €","€ Millions")</f>
        <v>€ Millions</v>
      </c>
      <c r="AX93" s="10">
        <v>2019</v>
      </c>
      <c r="AY93" s="10">
        <v>2018</v>
      </c>
      <c r="AZ93" s="10" t="str">
        <f>+IF($B$3="esp","Var.%","% Chg.")</f>
        <v>% Chg.</v>
      </c>
      <c r="BB93" s="10">
        <v>2019</v>
      </c>
      <c r="BC93" s="10">
        <v>2018</v>
      </c>
      <c r="BD93" s="10" t="str">
        <f>+IF($B$3="esp","Var.%","% Chg.")</f>
        <v>% Chg.</v>
      </c>
    </row>
    <row r="94" spans="4:57" ht="15.75" customHeight="1">
      <c r="D94" s="11" t="str">
        <f>+IF($B$3="esp","Efecto Sentencia Mediapro y NIIF16","Mediapro sentence &amp; IFRS16 Effect")</f>
        <v>Mediapro sentence &amp; IFRS16 Effect</v>
      </c>
      <c r="F94" s="12"/>
      <c r="G94" s="12"/>
      <c r="H94" s="12"/>
      <c r="J94" s="12"/>
      <c r="K94" s="12"/>
      <c r="L94" s="12"/>
      <c r="O94" s="11" t="str">
        <f>+IF($B$3="esp","Efecto NIIF16","IFRS16 Effect")</f>
        <v>IFRS16 Effect</v>
      </c>
      <c r="Q94" s="12"/>
      <c r="R94" s="12"/>
      <c r="S94" s="12"/>
      <c r="U94" s="12"/>
      <c r="V94" s="12"/>
      <c r="W94" s="12"/>
      <c r="Z94" s="11" t="str">
        <f>+IF($B$3="esp","Efecto NIIF16","IFRS16 Effect")</f>
        <v>IFRS16 Effect</v>
      </c>
      <c r="AB94" s="12"/>
      <c r="AC94" s="12"/>
      <c r="AD94" s="12"/>
      <c r="AF94" s="12"/>
      <c r="AG94" s="12"/>
      <c r="AH94" s="12"/>
      <c r="AK94" s="11" t="str">
        <f>+IF($B$3="esp","Efecto NIIF16","IFRS16 Effect")</f>
        <v>IFRS16 Effect</v>
      </c>
      <c r="AM94" s="12"/>
      <c r="AN94" s="12"/>
      <c r="AO94" s="12"/>
      <c r="AQ94" s="12"/>
      <c r="AR94" s="12"/>
      <c r="AS94" s="12"/>
      <c r="AV94" s="11" t="str">
        <f>+IF($B$3="esp","Efecto NIIF16","IFRS16 Effect")</f>
        <v>IFRS16 Effect</v>
      </c>
      <c r="AX94" s="12"/>
      <c r="AY94" s="12"/>
      <c r="AZ94" s="12"/>
      <c r="BB94" s="12"/>
      <c r="BC94" s="12"/>
      <c r="BD94" s="12"/>
    </row>
    <row r="95" spans="4:57" s="13" customFormat="1" ht="15" customHeight="1">
      <c r="D95" s="13" t="str">
        <f>+IF($B$3="esp","Efectos extraordinarios en Ingresos","One-offs in Operating Revenues")</f>
        <v>One-offs in Operating Revenues</v>
      </c>
      <c r="F95" s="14"/>
      <c r="G95" s="15"/>
      <c r="H95" s="16" t="str">
        <f>IF(G95=0,"---",IF(OR(ABS((F95-G95)/ABS(G95))&gt;2,(F95*G95)&lt;0),"---",IF(G95="0","---",((F95-G95)/ABS(G95))*100)))</f>
        <v>---</v>
      </c>
      <c r="I95" s="1"/>
      <c r="J95" s="14"/>
      <c r="K95" s="15"/>
      <c r="L95" s="16" t="str">
        <f>IF(K95=0,"---",IF(OR(ABS((J95-K95)/ABS(K95))&gt;2,(J95*K95)&lt;0),"---",IF(K95="0","---",((J95-K95)/ABS(K95))*100)))</f>
        <v>---</v>
      </c>
      <c r="M95" s="1"/>
      <c r="O95" s="13" t="str">
        <f>+IF($B$3="esp","Efectos extraordinarios en Ingresos","One-offs in Operating Revenues")</f>
        <v>One-offs in Operating Revenues</v>
      </c>
      <c r="Q95" s="14">
        <f>+[1]SANTILLANA!AC80</f>
        <v>0</v>
      </c>
      <c r="R95" s="15">
        <f>+[1]SANTILLANA!AD80</f>
        <v>0</v>
      </c>
      <c r="S95" s="16" t="str">
        <f>IF(R95=0,"---",IF(OR(ABS((Q95-R95)/ABS(R95))&gt;2,(Q95*R95)&lt;0),"---",IF(R95="0","---",((Q95-R95)/ABS(R95))*100)))</f>
        <v>---</v>
      </c>
      <c r="U95" s="14">
        <f>+[1]SANTILLANA!AG80</f>
        <v>0</v>
      </c>
      <c r="V95" s="15">
        <f>+[1]SANTILLANA!AH80</f>
        <v>0</v>
      </c>
      <c r="W95" s="16" t="str">
        <f>IF(V95=0,"---",IF(OR(ABS((U95-V95)/ABS(V95))&gt;2,(U95*V95)&lt;0),"---",IF(V95="0","---",((U95-V95)/ABS(V95))*100)))</f>
        <v>---</v>
      </c>
      <c r="Z95" s="13" t="str">
        <f>+IF($B$3="esp","Efectos extraordinarios en Ingresos","One-offs in Operating Revenues")</f>
        <v>One-offs in Operating Revenues</v>
      </c>
      <c r="AB95" s="14">
        <f>+[1]RADIO!AC86</f>
        <v>0</v>
      </c>
      <c r="AC95" s="15">
        <f>+[1]RADIO!AD86</f>
        <v>0</v>
      </c>
      <c r="AD95" s="16" t="str">
        <f>IF(AC95=0,"---",IF(OR(ABS((AB95-AC95)/ABS(AC95))&gt;2,(AB95*AC95)&lt;0),"---",IF(AC95="0","---",((AB95-AC95)/ABS(AC95))*100)))</f>
        <v>---</v>
      </c>
      <c r="AF95" s="14">
        <f>+[1]RADIO!AG86</f>
        <v>0</v>
      </c>
      <c r="AG95" s="15">
        <f>+[1]RADIO!AH86</f>
        <v>0</v>
      </c>
      <c r="AH95" s="16" t="str">
        <f>IF(AG95=0,"---",IF(OR(ABS((AF95-AG95)/ABS(AG95))&gt;2,(AF95*AG95)&lt;0),"---",IF(AG95="0","---",((AF95-AG95)/ABS(AG95))*100)))</f>
        <v>---</v>
      </c>
      <c r="AK95" s="13" t="str">
        <f>+IF($B$3="esp","Efectos extraordinarios en Ingresos","One-offs in Operating Revenues")</f>
        <v>One-offs in Operating Revenues</v>
      </c>
      <c r="AM95" s="14">
        <f>+[1]NOTICIAS!AC52</f>
        <v>0</v>
      </c>
      <c r="AN95" s="15">
        <f>+[1]NOTICIAS!AD52</f>
        <v>0</v>
      </c>
      <c r="AO95" s="16" t="str">
        <f>IF(AN95=0,"---",IF(OR(ABS((AM95-AN95)/ABS(AN95))&gt;2,(AM95*AN95)&lt;0),"---",IF(AN95="0","---",((AM95-AN95)/ABS(AN95))*100)))</f>
        <v>---</v>
      </c>
      <c r="AQ95" s="14">
        <f>+[1]NOTICIAS!AG52</f>
        <v>0</v>
      </c>
      <c r="AR95" s="15">
        <f>+[1]NOTICIAS!AH52</f>
        <v>0</v>
      </c>
      <c r="AS95" s="16" t="str">
        <f>IF(AR95=0,"---",IF(OR(ABS((AQ95-AR95)/ABS(AR95))&gt;2,(AQ95*AR95)&lt;0),"---",IF(AR95="0","---",((AQ95-AR95)/ABS(AR95))*100)))</f>
        <v>---</v>
      </c>
      <c r="AV95" s="13" t="str">
        <f>+IF($B$3="esp","Efectos extraordinarios en Ingresos","One-offs in Operating Revenues")</f>
        <v>One-offs in Operating Revenues</v>
      </c>
      <c r="AX95" s="14">
        <f>+'[1]MEDIA CAPITAL'!AC37</f>
        <v>0</v>
      </c>
      <c r="AY95" s="15">
        <f>+'[1]MEDIA CAPITAL'!AD37</f>
        <v>0</v>
      </c>
      <c r="AZ95" s="16" t="str">
        <f t="shared" ref="AZ95:AZ103" si="30">IF(AY95=0,"---",IF(OR(ABS((AX95-AY95)/ABS(AY95))&gt;2,(AX95*AY95)&lt;0),"---",IF(AY95="0","---",((AX95-AY95)/ABS(AY95))*100)))</f>
        <v>---</v>
      </c>
      <c r="BB95" s="14">
        <f>+'[1]MEDIA CAPITAL'!AG37</f>
        <v>0</v>
      </c>
      <c r="BC95" s="15">
        <f>+'[1]MEDIA CAPITAL'!AH37</f>
        <v>0</v>
      </c>
      <c r="BD95" s="16" t="str">
        <f t="shared" ref="BD95:BD98" si="31">IF(BC95=0,"---",IF(OR(ABS((BB95-BC95)/ABS(BC95))&gt;2,(BB95*BC95)&lt;0),"---",IF(BC95="0","---",((BB95-BC95)/ABS(BC95))*100)))</f>
        <v>---</v>
      </c>
    </row>
    <row r="96" spans="4:57" ht="15" customHeight="1">
      <c r="D96" s="21"/>
      <c r="F96" s="22"/>
      <c r="G96" s="23"/>
      <c r="H96" s="24" t="str">
        <f t="shared" ref="H96:H98" si="32">IF(G96=0,"---",IF(OR(ABS((F96-G96)/ABS(G96))&gt;2,(F96*G96)&lt;0),"---",IF(G96="0","---",((F96-G96)/ABS(G96))*100)))</f>
        <v>---</v>
      </c>
      <c r="J96" s="22"/>
      <c r="K96" s="23"/>
      <c r="L96" s="24" t="str">
        <f t="shared" ref="L96:L98" si="33">IF(K96=0,"---",IF(OR(ABS((J96-K96)/ABS(K96))&gt;2,(J96*K96)&lt;0),"---",IF(K96="0","---",((J96-K96)/ABS(K96))*100)))</f>
        <v>---</v>
      </c>
      <c r="O96" s="21"/>
      <c r="Q96" s="22"/>
      <c r="R96" s="23"/>
      <c r="S96" s="24" t="str">
        <f>IF(R96=0,"---",IF(OR(ABS((Q96-R96)/ABS(R96))&gt;2,(Q96*R96)&lt;0),"---",IF(R96="0","---",((Q96-R96)/ABS(R96))*100)))</f>
        <v>---</v>
      </c>
      <c r="U96" s="22"/>
      <c r="V96" s="23"/>
      <c r="W96" s="24" t="str">
        <f>IF(V96=0,"---",IF(OR(ABS((U96-V96)/ABS(V96))&gt;2,(U96*V96)&lt;0),"---",IF(V96="0","---",((U96-V96)/ABS(V96))*100)))</f>
        <v>---</v>
      </c>
      <c r="Z96" s="21"/>
      <c r="AB96" s="22"/>
      <c r="AC96" s="23"/>
      <c r="AD96" s="24"/>
      <c r="AF96" s="22"/>
      <c r="AG96" s="23"/>
      <c r="AH96" s="24"/>
      <c r="AK96" s="21"/>
      <c r="AM96" s="22"/>
      <c r="AN96" s="23"/>
      <c r="AO96" s="24"/>
      <c r="AQ96" s="22"/>
      <c r="AR96" s="23"/>
      <c r="AS96" s="24"/>
      <c r="AV96" s="21"/>
      <c r="AX96" s="22"/>
      <c r="AY96" s="23"/>
      <c r="AZ96" s="24" t="str">
        <f t="shared" si="30"/>
        <v>---</v>
      </c>
      <c r="BB96" s="22"/>
      <c r="BC96" s="23"/>
      <c r="BD96" s="24" t="str">
        <f t="shared" si="31"/>
        <v>---</v>
      </c>
    </row>
    <row r="97" spans="1:57" ht="15" customHeight="1">
      <c r="D97" s="21"/>
      <c r="F97" s="22"/>
      <c r="G97" s="23"/>
      <c r="H97" s="24" t="str">
        <f t="shared" si="32"/>
        <v>---</v>
      </c>
      <c r="J97" s="22"/>
      <c r="K97" s="23"/>
      <c r="L97" s="24" t="str">
        <f t="shared" si="33"/>
        <v>---</v>
      </c>
      <c r="O97" s="21"/>
      <c r="Q97" s="22"/>
      <c r="R97" s="23"/>
      <c r="S97" s="24"/>
      <c r="U97" s="22"/>
      <c r="V97" s="23"/>
      <c r="W97" s="24"/>
      <c r="Z97" s="21"/>
      <c r="AB97" s="22"/>
      <c r="AC97" s="23"/>
      <c r="AD97" s="24"/>
      <c r="AF97" s="22"/>
      <c r="AG97" s="23"/>
      <c r="AH97" s="24"/>
      <c r="AK97" s="21"/>
      <c r="AM97" s="22"/>
      <c r="AN97" s="23"/>
      <c r="AO97" s="24"/>
      <c r="AQ97" s="22"/>
      <c r="AR97" s="23"/>
      <c r="AS97" s="24"/>
      <c r="AV97" s="21"/>
      <c r="AX97" s="22"/>
      <c r="AY97" s="23"/>
      <c r="AZ97" s="24" t="str">
        <f t="shared" si="30"/>
        <v>---</v>
      </c>
      <c r="BB97" s="22"/>
      <c r="BC97" s="23"/>
      <c r="BD97" s="24" t="str">
        <f t="shared" si="31"/>
        <v>---</v>
      </c>
    </row>
    <row r="98" spans="1:57" ht="15" customHeight="1">
      <c r="D98" s="21"/>
      <c r="F98" s="22"/>
      <c r="G98" s="23"/>
      <c r="H98" s="24" t="str">
        <f t="shared" si="32"/>
        <v>---</v>
      </c>
      <c r="J98" s="22"/>
      <c r="K98" s="23"/>
      <c r="L98" s="24" t="str">
        <f t="shared" si="33"/>
        <v>---</v>
      </c>
      <c r="O98" s="21"/>
      <c r="Q98" s="22"/>
      <c r="R98" s="23"/>
      <c r="S98" s="24"/>
      <c r="U98" s="22"/>
      <c r="V98" s="23"/>
      <c r="W98" s="24"/>
      <c r="Z98" s="21"/>
      <c r="AB98" s="22"/>
      <c r="AC98" s="23"/>
      <c r="AD98" s="24"/>
      <c r="AF98" s="22"/>
      <c r="AG98" s="23"/>
      <c r="AH98" s="24"/>
      <c r="AK98" s="21"/>
      <c r="AM98" s="22"/>
      <c r="AN98" s="23"/>
      <c r="AO98" s="24"/>
      <c r="AQ98" s="22"/>
      <c r="AR98" s="23"/>
      <c r="AS98" s="24"/>
      <c r="AV98" s="21"/>
      <c r="AX98" s="22"/>
      <c r="AY98" s="23"/>
      <c r="AZ98" s="24" t="str">
        <f t="shared" si="30"/>
        <v>---</v>
      </c>
      <c r="BB98" s="22"/>
      <c r="BC98" s="23"/>
      <c r="BD98" s="24" t="str">
        <f t="shared" si="31"/>
        <v>---</v>
      </c>
    </row>
    <row r="99" spans="1:57" ht="15" customHeight="1">
      <c r="D99" s="13" t="str">
        <f>+IF($B$3="esp","Efecto en Gastos","Effect in Expenses")</f>
        <v>Effect in Expenses</v>
      </c>
      <c r="E99" s="13"/>
      <c r="F99" s="14">
        <f>+[1]GRUPO!K98</f>
        <v>51.035825500000001</v>
      </c>
      <c r="G99" s="15">
        <f>+[1]GRUPO!L98</f>
        <v>-17.731860643442012</v>
      </c>
      <c r="H99" s="16" t="str">
        <f>IF(G99=0,"---",IF(OR(ABS((F99-G99)/ABS(G99))&gt;2,(F99*G99)&lt;0),"---",IF(G99="0","---",((F99-G99)/ABS(G99))*100)))</f>
        <v>---</v>
      </c>
      <c r="J99" s="14">
        <f>+[1]GRUPO!O98</f>
        <v>0</v>
      </c>
      <c r="K99" s="15">
        <f>+[1]GRUPO!P98</f>
        <v>-8.8697028513633462</v>
      </c>
      <c r="L99" s="16">
        <f>IF(K99=0,"---",IF(OR(ABS((J99-K99)/ABS(K99))&gt;2,(J99*K99)&lt;0),"---",IF(K99="0","---",((J99-K99)/ABS(K99))*100)))</f>
        <v>100</v>
      </c>
      <c r="O99" s="13" t="str">
        <f>+IF($B$3="esp","Efectos extraordinarios en Gastos","One-offs in Operating Expenses")</f>
        <v>One-offs in Operating Expenses</v>
      </c>
      <c r="Q99" s="14">
        <f>+Q101</f>
        <v>0</v>
      </c>
      <c r="R99" s="15">
        <f>+R101</f>
        <v>-6.8226498467115135</v>
      </c>
      <c r="S99" s="16">
        <f>IF(R99=0,"---",IF(OR(ABS((Q99-R99)/ABS(R99))&gt;2,(Q99*R99)&lt;0),"---",IF(R99="0","---",((Q99-R99)/ABS(R99))*100)))</f>
        <v>100</v>
      </c>
      <c r="U99" s="14">
        <f>+U101</f>
        <v>0</v>
      </c>
      <c r="V99" s="15">
        <f>+V101</f>
        <v>-3.4151000729980976</v>
      </c>
      <c r="W99" s="16">
        <f>IF(V99=0,"---",IF(OR(ABS((U99-V99)/ABS(V99))&gt;2,(U99*V99)&lt;0),"---",IF(V99="0","---",((U99-V99)/ABS(V99))*100)))</f>
        <v>100</v>
      </c>
      <c r="Z99" s="13" t="str">
        <f>+IF($B$3="esp","Efectos extraordinarios en Gastos","One-offs in Operating Expenses")</f>
        <v>One-offs in Operating Expenses</v>
      </c>
      <c r="AB99" s="14">
        <f>+AB101</f>
        <v>0</v>
      </c>
      <c r="AC99" s="15">
        <f>+AC102</f>
        <v>4.7774999999999999</v>
      </c>
      <c r="AD99" s="16">
        <f>IF(AC99=0,"---",IF(OR(ABS((AB99-AC99)/ABS(AC99))&gt;2,(AB99*AC99)&lt;0),"---",IF(AC99="0","---",((AB99-AC99)/ABS(AC99))*100)))</f>
        <v>-100</v>
      </c>
      <c r="AF99" s="14">
        <f>+AF101</f>
        <v>0</v>
      </c>
      <c r="AG99" s="15">
        <f>+AG102</f>
        <v>0</v>
      </c>
      <c r="AH99" s="16" t="str">
        <f>IF(AG99=0,"---",IF(OR(ABS((AF99-AG99)/ABS(AG99))&gt;2,(AF99*AG99)&lt;0),"---",IF(AG99="0","---",((AF99-AG99)/ABS(AG99))*100)))</f>
        <v>---</v>
      </c>
      <c r="AK99" s="13" t="str">
        <f>+IF($B$3="esp","Efectos extraordinarios en Gastos","One-offs in Operating Expenses")</f>
        <v>One-offs in Operating Expenses</v>
      </c>
      <c r="AM99" s="14">
        <f>+AM101</f>
        <v>0</v>
      </c>
      <c r="AN99" s="15">
        <f>+AN101</f>
        <v>-2.7277708146271999</v>
      </c>
      <c r="AO99" s="16">
        <f>IF(AN99=0,"---",IF(OR(ABS((AM99-AN99)/ABS(AN99))&gt;2,(AM99*AN99)&lt;0),"---",IF(AN99="0","---",((AM99-AN99)/ABS(AN99))*100)))</f>
        <v>100</v>
      </c>
      <c r="AQ99" s="14">
        <f>+AQ101</f>
        <v>0</v>
      </c>
      <c r="AR99" s="15">
        <f>+AR101</f>
        <v>-1.3638827873135997</v>
      </c>
      <c r="AS99" s="16">
        <f>IF(AR99=0,"---",IF(OR(ABS((AQ99-AR99)/ABS(AR99))&gt;2,(AQ99*AR99)&lt;0),"---",IF(AR99="0","---",((AQ99-AR99)/ABS(AR99))*100)))</f>
        <v>100</v>
      </c>
      <c r="AV99" s="13" t="str">
        <f>+IF($B$3="esp","Efectos extraordinarios en Gastos","One-offs in Operating Expenses")</f>
        <v>One-offs in Operating Expenses</v>
      </c>
      <c r="AX99" s="14">
        <f>+AX101</f>
        <v>0</v>
      </c>
      <c r="AY99" s="15">
        <f>+AY101</f>
        <v>-1.1791442425000003</v>
      </c>
      <c r="AZ99" s="16">
        <f>IF(AY99=0,"---",IF(OR(ABS((AX99-AY99)/ABS(AY99))&gt;2,(AX99*AY99)&lt;0),"---",IF(AY99="0","---",((AX99-AY99)/ABS(AY99))*100)))</f>
        <v>100</v>
      </c>
      <c r="BB99" s="14">
        <f>+BB101</f>
        <v>0</v>
      </c>
      <c r="BC99" s="15">
        <f>+BC101</f>
        <v>0</v>
      </c>
      <c r="BD99" s="16" t="str">
        <f>IF(BC99=0,"---",IF(OR(ABS((BB99-BC99)/ABS(BC99))&gt;2,(BB99*BC99)&lt;0),"---",IF(BC99="0","---",((BB99-BC99)/ABS(BC99))*100)))</f>
        <v>---</v>
      </c>
    </row>
    <row r="100" spans="1:57" ht="15" customHeight="1">
      <c r="D100" s="21" t="str">
        <f>+IF($A$1="esp","Sentencia Mediapro","Mediapro Rulling")</f>
        <v>Mediapro Rulling</v>
      </c>
      <c r="F100" s="22">
        <f>+[1]GRUPO!K102</f>
        <v>51.035825500000001</v>
      </c>
      <c r="G100" s="23">
        <f>+[1]GRUPO!L102</f>
        <v>0</v>
      </c>
      <c r="H100" s="24" t="str">
        <f t="shared" ref="H100:H103" si="34">IF(G100=0,"---",IF(OR(ABS((F100-G100)/ABS(G100))&gt;2,(F100*G100)&lt;0),"---",IF(G100="0","---",((F100-G100)/ABS(G100))*100)))</f>
        <v>---</v>
      </c>
      <c r="J100" s="22">
        <f>+[1]GRUPO!O102</f>
        <v>0</v>
      </c>
      <c r="K100" s="23">
        <f>+[1]GRUPO!P102</f>
        <v>0</v>
      </c>
      <c r="L100" s="24" t="str">
        <f t="shared" ref="L100:L103" si="35">IF(K100=0,"---",IF(OR(ABS((J100-K100)/ABS(K100))&gt;2,(J100*K100)&lt;0),"---",IF(K100="0","---",((J100-K100)/ABS(K100))*100)))</f>
        <v>---</v>
      </c>
      <c r="O100" s="21"/>
      <c r="Q100" s="22"/>
      <c r="R100" s="23"/>
      <c r="S100" s="24"/>
      <c r="T100" s="13"/>
      <c r="U100" s="22"/>
      <c r="V100" s="23"/>
      <c r="W100" s="24"/>
      <c r="Z100" s="21"/>
      <c r="AB100" s="22"/>
      <c r="AC100" s="23"/>
      <c r="AD100" s="24"/>
      <c r="AF100" s="22"/>
      <c r="AG100" s="23"/>
      <c r="AH100" s="24"/>
      <c r="AK100" s="21"/>
      <c r="AM100" s="22"/>
      <c r="AN100" s="23"/>
      <c r="AO100" s="24"/>
      <c r="AQ100" s="22"/>
      <c r="AR100" s="23"/>
      <c r="AS100" s="24"/>
      <c r="AV100" s="21"/>
      <c r="AX100" s="22"/>
      <c r="AY100" s="23"/>
      <c r="AZ100" s="24" t="str">
        <f t="shared" si="30"/>
        <v>---</v>
      </c>
      <c r="BB100" s="22"/>
      <c r="BC100" s="23"/>
      <c r="BD100" s="24" t="str">
        <f t="shared" ref="BD100:BD101" si="36">IF(BC100=0,"---",IF(OR(ABS((BB100-BC100)/ABS(BC100))&gt;2,(BB100*BC100)&lt;0),"---",IF(BC100="0","---",((BB100-BC100)/ABS(BC100))*100)))</f>
        <v>---</v>
      </c>
    </row>
    <row r="101" spans="1:57" ht="15" customHeight="1">
      <c r="D101" s="21" t="str">
        <f>+IF($A$1="esp","NIIF16","IFRS16")</f>
        <v>IFRS16</v>
      </c>
      <c r="F101" s="22">
        <f>+[1]GRUPO!K103</f>
        <v>0</v>
      </c>
      <c r="G101" s="23">
        <f>+[1]GRUPO!L103</f>
        <v>-17.731860643442012</v>
      </c>
      <c r="H101" s="24">
        <f t="shared" si="34"/>
        <v>100</v>
      </c>
      <c r="J101" s="22">
        <f>+[1]GRUPO!O103</f>
        <v>0</v>
      </c>
      <c r="K101" s="23">
        <f>+[1]GRUPO!P103</f>
        <v>-8.8697028513633462</v>
      </c>
      <c r="L101" s="24">
        <f t="shared" si="35"/>
        <v>100</v>
      </c>
      <c r="O101" s="21" t="str">
        <f>+IF($A$1="esp","NIIF16","IFRS16")</f>
        <v>IFRS16</v>
      </c>
      <c r="Q101" s="22">
        <f>+[1]SANTILLANA!K87</f>
        <v>0</v>
      </c>
      <c r="R101" s="23">
        <f>+[1]SANTILLANA!L87</f>
        <v>-6.8226498467115135</v>
      </c>
      <c r="S101" s="24">
        <f>IF(R101=0,"---",IF(OR(ABS((Q101-R101)/ABS(R101))&gt;2,(Q101*R101)&lt;0),"---",IF(R101="0","---",((Q101-R101)/ABS(R101))*100)))</f>
        <v>100</v>
      </c>
      <c r="T101" s="13"/>
      <c r="U101" s="22">
        <f>+[1]SANTILLANA!O87</f>
        <v>0</v>
      </c>
      <c r="V101" s="23">
        <f>+[1]SANTILLANA!P87</f>
        <v>-3.4151000729980976</v>
      </c>
      <c r="W101" s="24">
        <f>IF(V101=0,"---",IF(OR(ABS((U101-V101)/ABS(V101))&gt;2,(U101*V101)&lt;0),"---",IF(V101="0","---",((U101-V101)/ABS(V101))*100)))</f>
        <v>100</v>
      </c>
      <c r="Z101" s="21" t="str">
        <f>+IF($A$1="esp","NIIF16","IFRS16")</f>
        <v>IFRS16</v>
      </c>
      <c r="AB101" s="22">
        <f>+[1]RADIO!K95</f>
        <v>0</v>
      </c>
      <c r="AC101" s="23">
        <f>+[1]RADIO!L95</f>
        <v>-6.3805069999999997</v>
      </c>
      <c r="AD101" s="24"/>
      <c r="AF101" s="22">
        <f>+[1]RADIO!O95</f>
        <v>0</v>
      </c>
      <c r="AG101" s="23">
        <f>+[1]RADIO!P95</f>
        <v>0</v>
      </c>
      <c r="AH101" s="24"/>
      <c r="AK101" s="21" t="str">
        <f>+IF($A$1="esp","NIIF16","IFRS16")</f>
        <v>IFRS16</v>
      </c>
      <c r="AM101" s="22">
        <f>+[1]NOTICIAS!K60+[1]NOTICIAS!K61</f>
        <v>0</v>
      </c>
      <c r="AN101" s="23">
        <f>+[1]NOTICIAS!L60+[1]NOTICIAS!L61</f>
        <v>-2.7277708146271999</v>
      </c>
      <c r="AO101" s="24"/>
      <c r="AQ101" s="22">
        <f>+[1]NOTICIAS!O60+[1]NOTICIAS!O61</f>
        <v>0</v>
      </c>
      <c r="AR101" s="23">
        <f>+[1]NOTICIAS!P60+[1]NOTICIAS!P61</f>
        <v>-1.3638827873135997</v>
      </c>
      <c r="AS101" s="24"/>
      <c r="AV101" s="21" t="str">
        <f>+IF($A$1="esp","NIIF16","IFRS16")</f>
        <v>IFRS16</v>
      </c>
      <c r="AX101" s="22"/>
      <c r="AY101" s="23">
        <f>+'[1]MEDIA CAPITAL'!L45</f>
        <v>-1.1791442425000003</v>
      </c>
      <c r="AZ101" s="24">
        <f t="shared" si="30"/>
        <v>100</v>
      </c>
      <c r="BB101" s="22"/>
      <c r="BC101" s="23">
        <f>+'[1]MEDIA CAPITAL'!P45</f>
        <v>0</v>
      </c>
      <c r="BD101" s="24" t="str">
        <f t="shared" si="36"/>
        <v>---</v>
      </c>
    </row>
    <row r="102" spans="1:57" ht="15" customHeight="1">
      <c r="D102" s="13" t="str">
        <f>+IF($B$3="esp","Efecto en Amortización","Effect in Amortizations")</f>
        <v>Effect in Amortizations</v>
      </c>
      <c r="E102" s="13"/>
      <c r="F102" s="14">
        <f>+[1]GRUPO!K104</f>
        <v>0</v>
      </c>
      <c r="G102" s="15">
        <f>+[1]GRUPO!L104</f>
        <v>14.035943537751612</v>
      </c>
      <c r="H102" s="16">
        <f t="shared" si="34"/>
        <v>-100</v>
      </c>
      <c r="J102" s="14">
        <f>+[1]GRUPO!O104</f>
        <v>0</v>
      </c>
      <c r="K102" s="15">
        <f>+[1]GRUPO!P104</f>
        <v>7.0179664925580143</v>
      </c>
      <c r="L102" s="16">
        <f t="shared" si="35"/>
        <v>-100</v>
      </c>
      <c r="O102" s="13" t="str">
        <f>+IF($B$3="esp","Efecto en Amortización","Effect in Amortizations")</f>
        <v>Effect in Amortizations</v>
      </c>
      <c r="Q102" s="14">
        <f>+Q103</f>
        <v>0</v>
      </c>
      <c r="R102" s="15">
        <f>+R103</f>
        <v>5.5210092368221018</v>
      </c>
      <c r="S102" s="16">
        <f>IF(R102=0,"---",IF(OR(ABS((Q102-R102)/ABS(R102))&gt;2,(Q102*R102)&lt;0),"---",IF(R102="0","---",((Q102-R102)/ABS(R102))*100)))</f>
        <v>-100</v>
      </c>
      <c r="T102" s="13"/>
      <c r="U102" s="14">
        <f>+U103</f>
        <v>0</v>
      </c>
      <c r="V102" s="15">
        <f>+V103</f>
        <v>2.7604993420932584</v>
      </c>
      <c r="W102" s="16">
        <f>IF(V102=0,"---",IF(OR(ABS((U102-V102)/ABS(V102))&gt;2,(U102*V102)&lt;0),"---",IF(V102="0","---",((U102-V102)/ABS(V102))*100)))</f>
        <v>-100</v>
      </c>
      <c r="Z102" s="13" t="str">
        <f>+IF($B$3="esp","Efecto en Amortización","Effect in Amortizations")</f>
        <v>Effect in Amortizations</v>
      </c>
      <c r="AB102" s="14">
        <f>+AB103</f>
        <v>0</v>
      </c>
      <c r="AC102" s="15">
        <f>+AC103</f>
        <v>4.7774999999999999</v>
      </c>
      <c r="AD102" s="16">
        <f>IF(AC102=0,"---",IF(OR(ABS((AB102-AC102)/ABS(AC102))&gt;2,(AB102*AC102)&lt;0),"---",IF(AC102="0","---",((AB102-AC102)/ABS(AC102))*100)))</f>
        <v>-100</v>
      </c>
      <c r="AF102" s="14">
        <f>+AF103</f>
        <v>0</v>
      </c>
      <c r="AG102" s="15">
        <f>+AG103</f>
        <v>0</v>
      </c>
      <c r="AH102" s="16" t="str">
        <f>IF(AG102=0,"---",IF(OR(ABS((AF102-AG102)/ABS(AG102))&gt;2,(AF102*AG102)&lt;0),"---",IF(AG102="0","---",((AF102-AG102)/ABS(AG102))*100)))</f>
        <v>---</v>
      </c>
      <c r="AK102" s="13" t="str">
        <f>+IF($B$3="esp","Efecto en Amortización","Effect in Amortizations")</f>
        <v>Effect in Amortizations</v>
      </c>
      <c r="AM102" s="14">
        <f>+AM103</f>
        <v>0</v>
      </c>
      <c r="AN102" s="15">
        <f>+AN103</f>
        <v>1.9856122276595551</v>
      </c>
      <c r="AO102" s="16">
        <f>IF(AN102=0,"---",IF(OR(ABS((AM102-AN102)/ABS(AN102))&gt;2,(AM102*AN102)&lt;0),"---",IF(AN102="0","---",((AM102-AN102)/ABS(AN102))*100)))</f>
        <v>-100</v>
      </c>
      <c r="AQ102" s="14">
        <f>+AQ103</f>
        <v>0</v>
      </c>
      <c r="AR102" s="15">
        <f>+AR103</f>
        <v>0</v>
      </c>
      <c r="AS102" s="16" t="str">
        <f>IF(AR102=0,"---",IF(OR(ABS((AQ102-AR102)/ABS(AR102))&gt;2,(AQ102*AR102)&lt;0),"---",IF(AR102="0","---",((AQ102-AR102)/ABS(AR102))*100)))</f>
        <v>---</v>
      </c>
      <c r="AV102" s="13" t="str">
        <f>+IF($B$3="esp","Efecto en Amortización","Effect in Amortizations")</f>
        <v>Effect in Amortizations</v>
      </c>
      <c r="AX102" s="14">
        <f>+AX103</f>
        <v>0</v>
      </c>
      <c r="AY102" s="15">
        <f>+AY103</f>
        <v>1.1903839126635036</v>
      </c>
      <c r="AZ102" s="16">
        <f>IF(AY102=0,"---",IF(OR(ABS((AX102-AY102)/ABS(AY102))&gt;2,(AX102*AY102)&lt;0),"---",IF(AY102="0","---",((AX102-AY102)/ABS(AY102))*100)))</f>
        <v>-100</v>
      </c>
      <c r="BB102" s="14">
        <f>+BB103</f>
        <v>0</v>
      </c>
      <c r="BC102" s="15">
        <f>+BC103</f>
        <v>0</v>
      </c>
      <c r="BD102" s="16" t="str">
        <f>IF(BC102=0,"---",IF(OR(ABS((BB102-BC102)/ABS(BC102))&gt;2,(BB102*BC102)&lt;0),"---",IF(BC102="0","---",((BB102-BC102)/ABS(BC102))*100)))</f>
        <v>---</v>
      </c>
    </row>
    <row r="103" spans="1:57" ht="15" customHeight="1">
      <c r="D103" s="21" t="str">
        <f>+IF($A$1="esp","NIIF16","IFRS16")</f>
        <v>IFRS16</v>
      </c>
      <c r="F103" s="22">
        <f>+[1]GRUPO!K109</f>
        <v>0</v>
      </c>
      <c r="G103" s="23">
        <f>+[1]GRUPO!L109</f>
        <v>14.035943537751612</v>
      </c>
      <c r="H103" s="24">
        <f t="shared" si="34"/>
        <v>-100</v>
      </c>
      <c r="J103" s="22">
        <f>+[1]GRUPO!O109</f>
        <v>0</v>
      </c>
      <c r="K103" s="23">
        <f>+[1]GRUPO!P109</f>
        <v>7.0179664925580143</v>
      </c>
      <c r="L103" s="24">
        <f t="shared" si="35"/>
        <v>-100</v>
      </c>
      <c r="O103" s="21" t="str">
        <f>+IF($A$1="esp","NIIF16","IFRS16")</f>
        <v>IFRS16</v>
      </c>
      <c r="Q103" s="22">
        <f>+[1]SANTILLANA!K92</f>
        <v>0</v>
      </c>
      <c r="R103" s="23">
        <f>+[1]SANTILLANA!L92</f>
        <v>5.5210092368221018</v>
      </c>
      <c r="S103" s="24">
        <f t="shared" ref="S103" si="37">IF(R103=0,"---",IF(OR(ABS((Q103-R103)/ABS(R103))&gt;2,(Q103*R103)&lt;0),"---",IF(R103="0","---",((Q103-R103)/ABS(R103))*100)))</f>
        <v>-100</v>
      </c>
      <c r="U103" s="22">
        <f>+[1]SANTILLANA!O92</f>
        <v>0</v>
      </c>
      <c r="V103" s="23">
        <f>+[1]SANTILLANA!P92</f>
        <v>2.7604993420932584</v>
      </c>
      <c r="W103" s="24">
        <f t="shared" ref="W103" si="38">IF(V103=0,"---",IF(OR(ABS((U103-V103)/ABS(V103))&gt;2,(U103*V103)&lt;0),"---",IF(V103="0","---",((U103-V103)/ABS(V103))*100)))</f>
        <v>-100</v>
      </c>
      <c r="Z103" s="21" t="str">
        <f>+IF($A$1="esp","NIIF16","IFRS16")</f>
        <v>IFRS16</v>
      </c>
      <c r="AB103" s="22">
        <f>+[1]RADIO!K101</f>
        <v>0</v>
      </c>
      <c r="AC103" s="23">
        <f>+[1]RADIO!L101</f>
        <v>4.7774999999999999</v>
      </c>
      <c r="AD103" s="24">
        <f t="shared" ref="AD103" si="39">IF(AC103=0,"---",IF(OR(ABS((AB103-AC103)/ABS(AC103))&gt;2,(AB103*AC103)&lt;0),"---",IF(AC103="0","---",((AB103-AC103)/ABS(AC103))*100)))</f>
        <v>-100</v>
      </c>
      <c r="AF103" s="22">
        <f>+[1]RADIO!O101</f>
        <v>0</v>
      </c>
      <c r="AG103" s="23">
        <f>+[1]RADIO!P101</f>
        <v>0</v>
      </c>
      <c r="AH103" s="24" t="str">
        <f t="shared" ref="AH103" si="40">IF(AG103=0,"---",IF(OR(ABS((AF103-AG103)/ABS(AG103))&gt;2,(AF103*AG103)&lt;0),"---",IF(AG103="0","---",((AF103-AG103)/ABS(AG103))*100)))</f>
        <v>---</v>
      </c>
      <c r="AK103" s="21" t="str">
        <f>+IF($A$1="esp","NIIF16","IFRS16")</f>
        <v>IFRS16</v>
      </c>
      <c r="AM103" s="22">
        <f>+[1]NOTICIAS!K67+[1]NOTICIAS!K68</f>
        <v>0</v>
      </c>
      <c r="AN103" s="23">
        <f>+[1]NOTICIAS!L67+[1]NOTICIAS!L68</f>
        <v>1.9856122276595551</v>
      </c>
      <c r="AO103" s="24">
        <f t="shared" ref="AO103" si="41">IF(AN103=0,"---",IF(OR(ABS((AM103-AN103)/ABS(AN103))&gt;2,(AM103*AN103)&lt;0),"---",IF(AN103="0","---",((AM103-AN103)/ABS(AN103))*100)))</f>
        <v>-100</v>
      </c>
      <c r="AQ103" s="22">
        <f>+[1]NOTICIAS!O67+[1]NOTICIAS!O68</f>
        <v>0</v>
      </c>
      <c r="AR103" s="23">
        <f>+[1]NOTICIAS!P67+[1]NOTICIAS!P68</f>
        <v>0</v>
      </c>
      <c r="AS103" s="24" t="str">
        <f t="shared" ref="AS103" si="42">IF(AR103=0,"---",IF(OR(ABS((AQ103-AR103)/ABS(AR103))&gt;2,(AQ103*AR103)&lt;0),"---",IF(AR103="0","---",((AQ103-AR103)/ABS(AR103))*100)))</f>
        <v>---</v>
      </c>
      <c r="AV103" s="21" t="str">
        <f>+IF($A$1="esp","NIIF16","IFRS16")</f>
        <v>IFRS16</v>
      </c>
      <c r="AX103" s="22"/>
      <c r="AY103" s="23">
        <f>+'[1]MEDIA CAPITAL'!L51</f>
        <v>1.1903839126635036</v>
      </c>
      <c r="AZ103" s="24">
        <f t="shared" si="30"/>
        <v>-100</v>
      </c>
      <c r="BB103" s="22"/>
      <c r="BC103" s="23">
        <f>+'[1]MEDIA CAPITAL'!P51</f>
        <v>0</v>
      </c>
      <c r="BD103" s="24" t="str">
        <f t="shared" ref="BD103" si="43">IF(BC103=0,"---",IF(OR(ABS((BB103-BC103)/ABS(BC103))&gt;2,(BB103*BC103)&lt;0),"---",IF(BC103="0","---",((BB103-BC103)/ABS(BC103))*100)))</f>
        <v>---</v>
      </c>
    </row>
    <row r="104" spans="1:57" ht="15" customHeight="1">
      <c r="A104" s="55"/>
      <c r="D104" s="21"/>
      <c r="F104" s="23"/>
      <c r="G104" s="23"/>
      <c r="H104" s="24"/>
      <c r="J104" s="23"/>
      <c r="K104" s="23"/>
      <c r="L104" s="24"/>
      <c r="O104" s="21"/>
      <c r="Q104" s="22"/>
      <c r="R104" s="23"/>
      <c r="S104" s="24"/>
      <c r="U104" s="22"/>
      <c r="V104" s="23"/>
      <c r="W104" s="24"/>
      <c r="Z104" s="21"/>
      <c r="AB104" s="22"/>
      <c r="AC104" s="23"/>
      <c r="AD104" s="24"/>
      <c r="AF104" s="22"/>
      <c r="AG104" s="23"/>
      <c r="AH104" s="24"/>
      <c r="AK104" s="21"/>
      <c r="AN104" s="23"/>
      <c r="AO104" s="24"/>
      <c r="AR104" s="23"/>
      <c r="AS104" s="24"/>
    </row>
    <row r="105" spans="1:57" ht="15" customHeight="1">
      <c r="O105" s="21"/>
      <c r="Q105" s="22"/>
      <c r="R105" s="23"/>
      <c r="S105" s="24"/>
      <c r="U105" s="22"/>
      <c r="V105" s="23"/>
      <c r="W105" s="24"/>
      <c r="Z105" s="21"/>
      <c r="AB105" s="22"/>
      <c r="AC105" s="23"/>
      <c r="AD105" s="24"/>
      <c r="AF105" s="22"/>
      <c r="AG105" s="23"/>
      <c r="AH105" s="24"/>
      <c r="AK105" s="21"/>
      <c r="AN105" s="23"/>
      <c r="AO105" s="24"/>
      <c r="AR105" s="23"/>
      <c r="AS105" s="24"/>
    </row>
    <row r="106" spans="1:57" ht="15" customHeight="1">
      <c r="D106" s="21"/>
      <c r="F106" s="23"/>
      <c r="G106" s="23"/>
      <c r="H106" s="24"/>
      <c r="J106" s="23"/>
      <c r="K106" s="23"/>
      <c r="L106" s="24"/>
    </row>
    <row r="107" spans="1:57" ht="15" customHeight="1"/>
    <row r="108" spans="1:57" ht="15" customHeight="1">
      <c r="D108" s="21"/>
      <c r="F108" s="23"/>
      <c r="G108" s="23"/>
      <c r="H108" s="24"/>
      <c r="J108" s="23"/>
      <c r="K108" s="23"/>
      <c r="L108" s="24"/>
    </row>
    <row r="111" spans="1:57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</row>
    <row r="114" spans="4:56">
      <c r="D114" s="9" t="str">
        <f>+IF($B$3="esp","Millones de €","€ Millions")</f>
        <v>€ Millions</v>
      </c>
      <c r="F114" s="7" t="str">
        <f>+F91</f>
        <v>JANUARY - MARCH</v>
      </c>
      <c r="G114" s="8"/>
      <c r="H114" s="8"/>
      <c r="J114" s="7" t="str">
        <f>+J91</f>
        <v>APRIL - JUNE</v>
      </c>
      <c r="K114" s="8"/>
      <c r="L114" s="8"/>
      <c r="O114" s="9" t="str">
        <f>+IF($B$3="esp","Millones de €","€ Millions")</f>
        <v>€ Millions</v>
      </c>
      <c r="Q114" s="7" t="str">
        <f>+Q6</f>
        <v>JANUARY - MARCH</v>
      </c>
      <c r="R114" s="8"/>
      <c r="S114" s="8"/>
      <c r="U114" s="7" t="str">
        <f>+U6</f>
        <v>APRIL - JUNE</v>
      </c>
      <c r="V114" s="8"/>
      <c r="W114" s="8"/>
      <c r="Z114" s="9" t="str">
        <f>+IF($B$3="esp","Millones de €","€ Millions")</f>
        <v>€ Millions</v>
      </c>
      <c r="AB114" s="7" t="str">
        <f>+AB6</f>
        <v>JANUARY - MARCH</v>
      </c>
      <c r="AC114" s="8"/>
      <c r="AD114" s="8"/>
      <c r="AF114" s="7" t="str">
        <f>+AF6</f>
        <v>APRIL - JUNE</v>
      </c>
      <c r="AG114" s="8"/>
      <c r="AH114" s="8"/>
      <c r="AK114" s="9" t="str">
        <f>+IF($B$3="esp","Millones de €","€ Millions")</f>
        <v>€ Millions</v>
      </c>
      <c r="AM114" s="7" t="str">
        <f>+AM6</f>
        <v>JANUARY - MARCH</v>
      </c>
      <c r="AN114" s="8"/>
      <c r="AO114" s="8"/>
      <c r="AQ114" s="7" t="str">
        <f>+AQ6</f>
        <v>APRIL - JUNE</v>
      </c>
      <c r="AR114" s="8"/>
      <c r="AS114" s="8"/>
      <c r="AX114" s="7" t="str">
        <f>+AX6</f>
        <v>JANUARY - MARCH</v>
      </c>
      <c r="AY114" s="8"/>
      <c r="AZ114" s="8"/>
      <c r="BB114" s="7" t="str">
        <f>+BB6</f>
        <v>APRIL - JUNE</v>
      </c>
      <c r="BC114" s="8"/>
      <c r="BD114" s="8"/>
    </row>
    <row r="115" spans="4:56" ht="6.75" customHeight="1">
      <c r="D115" s="9"/>
    </row>
    <row r="116" spans="4:56" ht="15">
      <c r="D116" s="56" t="str">
        <f>+IF($B$3="esp","GRUPO","GROUP")</f>
        <v>GROUP</v>
      </c>
      <c r="F116" s="10">
        <v>2019</v>
      </c>
      <c r="G116" s="10">
        <v>2018</v>
      </c>
      <c r="H116" s="10" t="s">
        <v>5</v>
      </c>
      <c r="J116" s="10">
        <v>2019</v>
      </c>
      <c r="K116" s="10">
        <v>2018</v>
      </c>
      <c r="L116" s="10" t="s">
        <v>5</v>
      </c>
      <c r="O116" s="56" t="str">
        <f>+IF($B$3="esp","EDUCACIÓN","EDUCATION")</f>
        <v>EDUCATION</v>
      </c>
      <c r="Q116" s="10">
        <v>2019</v>
      </c>
      <c r="R116" s="10">
        <v>2018</v>
      </c>
      <c r="S116" s="10" t="s">
        <v>5</v>
      </c>
      <c r="U116" s="10">
        <v>2019</v>
      </c>
      <c r="V116" s="10">
        <v>2018</v>
      </c>
      <c r="W116" s="10" t="s">
        <v>5</v>
      </c>
      <c r="Z116" s="56" t="str">
        <f>+IF($B$3="esp","RADIO","RADIO")</f>
        <v>RADIO</v>
      </c>
      <c r="AB116" s="10">
        <v>2019</v>
      </c>
      <c r="AC116" s="10">
        <v>2018</v>
      </c>
      <c r="AD116" s="10" t="s">
        <v>5</v>
      </c>
      <c r="AF116" s="10">
        <v>2019</v>
      </c>
      <c r="AG116" s="10">
        <v>2018</v>
      </c>
      <c r="AH116" s="10" t="s">
        <v>5</v>
      </c>
      <c r="AK116" s="56" t="str">
        <f>+IF($B$3="esp","PRENSA - incluye PBS y Tecnología","PRESS - includes PBS &amp; IT")</f>
        <v>PRESS - includes PBS &amp; IT</v>
      </c>
      <c r="AM116" s="10">
        <v>2019</v>
      </c>
      <c r="AN116" s="10">
        <v>2018</v>
      </c>
      <c r="AO116" s="10" t="str">
        <f>+IF($B$3="esp","Var.%","% Chg.")</f>
        <v>% Chg.</v>
      </c>
      <c r="AQ116" s="10">
        <v>2019</v>
      </c>
      <c r="AR116" s="10">
        <v>2018</v>
      </c>
      <c r="AS116" s="10" t="str">
        <f>+IF($B$3="esp","Var.%","% Chg.")</f>
        <v>% Chg.</v>
      </c>
      <c r="AV116" s="56" t="str">
        <f>+IF($B$3="esp","MEDIA CAPITAL","MEDIA CAPITAL")</f>
        <v>MEDIA CAPITAL</v>
      </c>
      <c r="AX116" s="10">
        <v>2019</v>
      </c>
      <c r="AY116" s="10">
        <v>2018</v>
      </c>
      <c r="AZ116" s="10" t="str">
        <f>+IF($B$3="esp","Var.%","% Chg.")</f>
        <v>% Chg.</v>
      </c>
      <c r="BB116" s="10">
        <v>2019</v>
      </c>
      <c r="BC116" s="10">
        <v>2018</v>
      </c>
      <c r="BD116" s="10" t="str">
        <f>+IF($B$3="esp","Var.%","% Chg.")</f>
        <v>% Chg.</v>
      </c>
    </row>
    <row r="117" spans="4:56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  <c r="AV117" s="11"/>
      <c r="AX117" s="12"/>
      <c r="AY117" s="12"/>
      <c r="AZ117" s="12"/>
      <c r="BB117" s="12"/>
      <c r="BC117" s="12"/>
      <c r="BD117" s="12"/>
    </row>
    <row r="118" spans="4:56" s="13" customFormat="1" ht="15" customHeight="1">
      <c r="D118" s="13" t="str">
        <f>+IF($B$3="esp","EBITDA criterio anterior contable","Previous criteria reported EBITDA")</f>
        <v>Previous criteria reported EBITDA</v>
      </c>
      <c r="F118" s="14"/>
      <c r="G118" s="15">
        <f>+[1]GRUPO!L159</f>
        <v>114.55765284503593</v>
      </c>
      <c r="H118" s="16"/>
      <c r="J118" s="14"/>
      <c r="K118" s="15">
        <f>+[1]GRUPO!P159</f>
        <v>54.079361341714183</v>
      </c>
      <c r="L118" s="16"/>
      <c r="O118" s="13" t="str">
        <f>+IF($B$3="esp","EBITDA criterio anterior contable","Previous criteria reported EBITDA")</f>
        <v>Previous criteria reported EBITDA</v>
      </c>
      <c r="Q118" s="14"/>
      <c r="R118" s="15">
        <f>+[1]SANTILLANA!L167</f>
        <v>85.855805838642951</v>
      </c>
      <c r="S118" s="16">
        <f>IF(R118=0,"---",IF(OR(ABS((Q118-R118)/ABS(R118))&gt;2,(Q118*R118)&lt;0),"---",IF(R118="0","---",((Q118-R118)/ABS(R118))*100)))</f>
        <v>-100</v>
      </c>
      <c r="U118" s="14"/>
      <c r="V118" s="15">
        <f>+[1]SANTILLANA!P167</f>
        <v>24.050869591294031</v>
      </c>
      <c r="W118" s="16">
        <f>IF(V118=0,"---",IF(OR(ABS((U118-V118)/ABS(V118))&gt;2,(U118*V118)&lt;0),"---",IF(V118="0","---",((U118-V118)/ABS(V118))*100)))</f>
        <v>-100</v>
      </c>
      <c r="Z118" s="13" t="str">
        <f>+IF($B$3="esp","EBITDA criterio anterior contable","Previous criteria reported EBITDA")</f>
        <v>Previous criteria reported EBITDA</v>
      </c>
      <c r="AB118" s="14"/>
      <c r="AC118" s="15">
        <f>+[1]RADIO!L113</f>
        <v>21.694546025806837</v>
      </c>
      <c r="AD118" s="16"/>
      <c r="AF118" s="14"/>
      <c r="AG118" s="15">
        <f>+[1]RADIO!P113</f>
        <v>18.940336630247227</v>
      </c>
      <c r="AH118" s="16"/>
      <c r="AK118" s="13" t="str">
        <f>+IF($B$3="esp","EBITDA criterio anterior contable","Previous criteria reported EBITDA")</f>
        <v>Previous criteria reported EBITDA</v>
      </c>
      <c r="AM118" s="14"/>
      <c r="AN118" s="15">
        <f>+[1]NOTICIAS!L81</f>
        <v>-3.6011698262438907</v>
      </c>
      <c r="AO118" s="16">
        <f>IF(AN118=0,"---",IF(OR(ABS((AM118-AN118)/ABS(AN118))&gt;2,(AM118*AN118)&lt;0),"---",IF(AN118="0","---",((AM118-AN118)/ABS(AN118))*100)))</f>
        <v>100</v>
      </c>
      <c r="AQ118" s="14"/>
      <c r="AR118" s="15">
        <f>+[1]NOTICIAS!P81</f>
        <v>0.33136716025293333</v>
      </c>
      <c r="AS118" s="16">
        <f>IF(AR118=0,"---",IF(OR(ABS((AQ118-AR118)/ABS(AR118))&gt;2,(AQ118*AR118)&lt;0),"---",IF(AR118="0","---",((AQ118-AR118)/ABS(AR118))*100)))</f>
        <v>-100</v>
      </c>
      <c r="AV118" s="13" t="str">
        <f>+IF($B$3="esp","EBITDA criterio anterior contable","Previous criteria reported EBITDA")</f>
        <v>Previous criteria reported EBITDA</v>
      </c>
      <c r="AX118" s="14">
        <f>+'[1]MEDIA CAPITAL'!K64</f>
        <v>0</v>
      </c>
      <c r="AY118" s="15">
        <f>+'[1]MEDIA CAPITAL'!L64</f>
        <v>19.573557901651103</v>
      </c>
      <c r="AZ118" s="16">
        <f>IF(AY118=0,"---",IF(OR(ABS((AX118-AY118)/ABS(AY118))&gt;2,(AX118*AY118)&lt;0),"---",IF(AY118="0","---",((AX118-AY118)/ABS(AY118))*100)))</f>
        <v>-100</v>
      </c>
      <c r="BB118" s="14">
        <f>+'[1]MEDIA CAPITAL'!O64</f>
        <v>0</v>
      </c>
      <c r="BC118" s="15">
        <f>+'[1]MEDIA CAPITAL'!P64</f>
        <v>14.322198780182383</v>
      </c>
      <c r="BD118" s="16">
        <f>IF(BC118=0,"---",IF(OR(ABS((BB118-BC118)/ABS(BC118))&gt;2,(BB118*BC118)&lt;0),"---",IF(BC118="0","---",((BB118-BC118)/ABS(BC118))*100)))</f>
        <v>-100</v>
      </c>
    </row>
    <row r="119" spans="4:56" ht="15" customHeight="1">
      <c r="D119" s="21" t="str">
        <f>+IF($B$3="esp","Provisiones","Provisions")</f>
        <v>Provisions</v>
      </c>
      <c r="F119" s="22"/>
      <c r="G119" s="23">
        <f>+[1]GRUPO!L160</f>
        <v>-3.9719579397349296</v>
      </c>
      <c r="H119" s="24"/>
      <c r="J119" s="22"/>
      <c r="K119" s="23">
        <f>+[1]GRUPO!P160</f>
        <v>-6.2205840577814797</v>
      </c>
      <c r="L119" s="24"/>
      <c r="O119" s="21" t="str">
        <f>+IF($B$3="esp","Provisiones","Provisions")</f>
        <v>Provisions</v>
      </c>
      <c r="Q119" s="22"/>
      <c r="R119" s="23">
        <f>+[1]SANTILLANA!L168</f>
        <v>-1.66203043140974</v>
      </c>
      <c r="S119" s="24"/>
      <c r="U119" s="22"/>
      <c r="V119" s="23">
        <f>+[1]SANTILLANA!P168</f>
        <v>-4.6974635956277204</v>
      </c>
      <c r="W119" s="24"/>
      <c r="Z119" s="21" t="str">
        <f>+IF($B$3="esp","Provisiones","Provisions")</f>
        <v>Provisions</v>
      </c>
      <c r="AB119" s="22"/>
      <c r="AC119" s="23">
        <f>+[1]RADIO!L114</f>
        <v>-0.93195370906623498</v>
      </c>
      <c r="AD119" s="24"/>
      <c r="AF119" s="22"/>
      <c r="AG119" s="23">
        <f>+[1]RADIO!P114</f>
        <v>-0.71106525641979601</v>
      </c>
      <c r="AH119" s="24"/>
      <c r="AK119" s="21" t="str">
        <f>+IF($B$3="esp","Provisiones","Provisions")</f>
        <v>Provisions</v>
      </c>
      <c r="AM119" s="22"/>
      <c r="AN119" s="23">
        <f>+[1]NOTICIAS!L82</f>
        <v>-1.10209101890215</v>
      </c>
      <c r="AO119" s="24"/>
      <c r="AQ119" s="22"/>
      <c r="AR119" s="23">
        <f>+[1]NOTICIAS!P82</f>
        <v>-0.59430093846407395</v>
      </c>
      <c r="AS119" s="24"/>
      <c r="AV119" s="21" t="str">
        <f>+IF($B$3="esp","Provisiones","Provisions")</f>
        <v>Provisions</v>
      </c>
      <c r="AX119" s="22">
        <f>+'[1]MEDIA CAPITAL'!K65</f>
        <v>0</v>
      </c>
      <c r="AY119" s="23">
        <f>+'[1]MEDIA CAPITAL'!L65</f>
        <v>-0.14655979</v>
      </c>
      <c r="AZ119" s="24"/>
      <c r="BB119" s="22">
        <f>+'[1]MEDIA CAPITAL'!O65</f>
        <v>0</v>
      </c>
      <c r="BC119" s="23">
        <f>+'[1]MEDIA CAPITAL'!P65</f>
        <v>-9.4619049999999996E-2</v>
      </c>
      <c r="BD119" s="24"/>
    </row>
    <row r="120" spans="4:56" ht="15" customHeight="1">
      <c r="D120" s="13" t="str">
        <f>+IF($B$3="esp","EBITDA Contable","Reported EBITDA")</f>
        <v>Reported EBITDA</v>
      </c>
      <c r="E120" s="13"/>
      <c r="F120" s="14">
        <f>+[1]GRUPO!K161</f>
        <v>49.2828423614435</v>
      </c>
      <c r="G120" s="15">
        <f>+[1]GRUPO!L161</f>
        <v>110.585694905301</v>
      </c>
      <c r="H120" s="16">
        <f>IF(G120=0,"---",IF(OR(ABS((F120-G120)/ABS(G120))&gt;2,(F120*G120)&lt;0),"---",IF(G120="0","---",((F120-G120)/ABS(G120))*100)))</f>
        <v>-55.434703915686036</v>
      </c>
      <c r="J120" s="14">
        <f>+[1]GRUPO!O161</f>
        <v>30.308793222486798</v>
      </c>
      <c r="K120" s="15">
        <f>+[1]GRUPO!P161</f>
        <v>47.858777283932696</v>
      </c>
      <c r="L120" s="16">
        <f>IF(K120=0,"---",IF(OR(ABS((J120-K120)/ABS(K120))&gt;2,(J120*K120)&lt;0),"---",IF(K120="0","---",((J120-K120)/ABS(K120))*100)))</f>
        <v>-36.670356113209422</v>
      </c>
      <c r="O120" s="13" t="str">
        <f>+IF($B$3="esp","EBITDA Contable","Reported EBITDA")</f>
        <v>Reported EBITDA</v>
      </c>
      <c r="P120" s="13"/>
      <c r="Q120" s="14">
        <f>+[1]SANTILLANA!K169</f>
        <v>61.852473497649299</v>
      </c>
      <c r="R120" s="15">
        <f>+[1]SANTILLANA!L169</f>
        <v>84.193775407233204</v>
      </c>
      <c r="S120" s="16">
        <f>IF(R120=0,"---",IF(OR(ABS((Q120-R120)/ABS(R120))&gt;2,(Q120*R120)&lt;0),"---",IF(R120="0","---",((Q120-R120)/ABS(R120))*100)))</f>
        <v>-26.535574395520612</v>
      </c>
      <c r="U120" s="14">
        <f>+[1]SANTILLANA!O169</f>
        <v>-4.3939976968485013</v>
      </c>
      <c r="V120" s="15">
        <f>+[1]SANTILLANA!P169</f>
        <v>19.353405995666307</v>
      </c>
      <c r="W120" s="16" t="str">
        <f>IF(V120=0,"---",IF(OR(ABS((U120-V120)/ABS(V120))&gt;2,(U120*V120)&lt;0),"---",IF(V120="0","---",((U120-V120)/ABS(V120))*100)))</f>
        <v>---</v>
      </c>
      <c r="Z120" s="13" t="str">
        <f>+IF($B$3="esp","EBITDA Contable","Reported EBITDA")</f>
        <v>Reported EBITDA</v>
      </c>
      <c r="AA120" s="13"/>
      <c r="AB120" s="14">
        <f>+[1]RADIO!K115</f>
        <v>28.1451873792942</v>
      </c>
      <c r="AC120" s="15">
        <f>+[1]RADIO!L115</f>
        <v>20.762592316740601</v>
      </c>
      <c r="AD120" s="16">
        <f>IF(AC120=0,"---",IF(OR(ABS((AB120-AC120)/ABS(AC120))&gt;2,(AB120*AC120)&lt;0),"---",IF(AC120="0","---",((AB120-AC120)/ABS(AC120))*100)))</f>
        <v>35.557193195962867</v>
      </c>
      <c r="AF120" s="14">
        <f>+[1]RADIO!O115</f>
        <v>20.100309360086811</v>
      </c>
      <c r="AG120" s="15">
        <f>+[1]RADIO!P115</f>
        <v>18.22927137382743</v>
      </c>
      <c r="AH120" s="16">
        <f>IF(AG120=0,"---",IF(OR(ABS((AF120-AG120)/ABS(AG120))&gt;2,(AF120*AG120)&lt;0),"---",IF(AG120="0","---",((AF120-AG120)/ABS(AG120))*100)))</f>
        <v>10.263920855036</v>
      </c>
      <c r="AK120" s="13" t="str">
        <f>+IF($B$3="esp","EBITDA Contable","Reported EBITDA")</f>
        <v>Reported EBITDA</v>
      </c>
      <c r="AL120" s="13"/>
      <c r="AM120" s="14">
        <f>+[1]NOTICIAS!K83</f>
        <v>1.64478109274442</v>
      </c>
      <c r="AN120" s="15">
        <f>+[1]NOTICIAS!L83</f>
        <v>-4.7032608451460405</v>
      </c>
      <c r="AO120" s="16" t="str">
        <f>IF(AN120=0,"---",IF(OR(ABS((AM120-AN120)/ABS(AN120))&gt;2,(AM120*AN120)&lt;0),"---",IF(AN120="0","---",((AM120-AN120)/ABS(AN120))*100)))</f>
        <v>---</v>
      </c>
      <c r="AQ120" s="14">
        <f>+[1]NOTICIAS!O83</f>
        <v>4.7164915282073903</v>
      </c>
      <c r="AR120" s="15">
        <f>+[1]NOTICIAS!P83</f>
        <v>-0.26293377821114028</v>
      </c>
      <c r="AS120" s="16" t="str">
        <f>IF(AR120=0,"---",IF(OR(ABS((AQ120-AR120)/ABS(AR120))&gt;2,(AQ120*AR120)&lt;0),"---",IF(AR120="0","---",((AQ120-AR120)/ABS(AR120))*100)))</f>
        <v>---</v>
      </c>
      <c r="AV120" s="13" t="str">
        <f>+IF($B$3="esp","EBITDA Contable","Reported EBITDA")</f>
        <v>Reported EBITDA</v>
      </c>
      <c r="AX120" s="14">
        <f>+'[1]MEDIA CAPITAL'!K66</f>
        <v>14.241243332884601</v>
      </c>
      <c r="AY120" s="15">
        <f>+'[1]MEDIA CAPITAL'!L66</f>
        <v>19.426998111651102</v>
      </c>
      <c r="AZ120" s="16">
        <f>IF(AY120=0,"---",IF(OR(ABS((AX120-AY120)/ABS(AY120))&gt;2,(AX120*AY120)&lt;0),"---",IF(AY120="0","---",((AX120-AY120)/ABS(AY120))*100)))</f>
        <v>-26.693546522024981</v>
      </c>
      <c r="BB120" s="14">
        <f>+'[1]MEDIA CAPITAL'!O66</f>
        <v>13.23796180506328</v>
      </c>
      <c r="BC120" s="15">
        <f>+'[1]MEDIA CAPITAL'!P66</f>
        <v>14.227579730182381</v>
      </c>
      <c r="BD120" s="16">
        <f>IF(BC120=0,"---",IF(OR(ABS((BB120-BC120)/ABS(BC120))&gt;2,(BB120*BC120)&lt;0),"---",IF(BC120="0","---",((BB120-BC120)/ABS(BC120))*100)))</f>
        <v>-6.9556308513929839</v>
      </c>
    </row>
    <row r="121" spans="4:56" ht="15" customHeight="1">
      <c r="D121" s="21" t="str">
        <f>+IF($A$1="esp","Sentencia Mediapro","Mediapro Rulling")</f>
        <v>Mediapro Rulling</v>
      </c>
      <c r="F121" s="22">
        <f>+[1]GRUPO!K162</f>
        <v>51.035825500000001</v>
      </c>
      <c r="G121" s="23">
        <f>+[1]GRUPO!L162</f>
        <v>0</v>
      </c>
      <c r="H121" s="24"/>
      <c r="J121" s="22">
        <f>+[1]GRUPO!O162</f>
        <v>0</v>
      </c>
      <c r="K121" s="23">
        <f>+[1]GRUPO!P162</f>
        <v>0</v>
      </c>
      <c r="L121" s="24"/>
      <c r="O121" s="21"/>
      <c r="Q121" s="22"/>
      <c r="R121" s="23"/>
      <c r="S121" s="24"/>
      <c r="U121" s="22"/>
      <c r="V121" s="23"/>
      <c r="W121" s="24"/>
      <c r="Z121" s="21"/>
      <c r="AB121" s="22"/>
      <c r="AC121" s="23"/>
      <c r="AD121" s="24"/>
      <c r="AF121" s="22"/>
      <c r="AG121" s="23"/>
      <c r="AH121" s="24"/>
      <c r="AK121" s="21"/>
      <c r="AM121" s="22"/>
      <c r="AN121" s="23"/>
      <c r="AO121" s="24"/>
      <c r="AQ121" s="22"/>
      <c r="AR121" s="23"/>
      <c r="AS121" s="24"/>
      <c r="AV121" s="21"/>
      <c r="AX121" s="22"/>
      <c r="AY121" s="23"/>
      <c r="AZ121" s="24"/>
      <c r="BB121" s="22"/>
      <c r="BC121" s="23"/>
      <c r="BD121" s="24"/>
    </row>
    <row r="122" spans="4:56" ht="15" customHeight="1">
      <c r="D122" s="21" t="str">
        <f>+IF($B$3="esp","Efecto NIIF16","IFRS16 Effect")</f>
        <v>IFRS16 Effect</v>
      </c>
      <c r="F122" s="22">
        <f>+[1]GRUPO!K163</f>
        <v>0</v>
      </c>
      <c r="G122" s="23">
        <f>+[1]GRUPO!L163</f>
        <v>17.731860643442033</v>
      </c>
      <c r="H122" s="24"/>
      <c r="J122" s="22">
        <f>+[1]GRUPO!O163</f>
        <v>0</v>
      </c>
      <c r="K122" s="23">
        <f>+[1]GRUPO!P163</f>
        <v>8.8697028513633711</v>
      </c>
      <c r="L122" s="24"/>
      <c r="O122" s="21" t="str">
        <f>+IF($B$3="esp","Efecto NIIF16","IFRS16 Effect")</f>
        <v>IFRS16 Effect</v>
      </c>
      <c r="Q122" s="22"/>
      <c r="R122" s="23">
        <f>+[1]SANTILLANA!L170</f>
        <v>6.8226498467115135</v>
      </c>
      <c r="S122" s="24"/>
      <c r="U122" s="22"/>
      <c r="V122" s="23">
        <f>+[1]SANTILLANA!P170</f>
        <v>3.4151000729980865</v>
      </c>
      <c r="W122" s="24"/>
      <c r="Z122" s="21" t="str">
        <f>+IF($B$3="esp","Efecto NIIF16","IFRS16 Effect")</f>
        <v>IFRS16 Effect</v>
      </c>
      <c r="AB122" s="22"/>
      <c r="AC122" s="23">
        <f>+[1]RADIO!L116</f>
        <v>6.3805069999999979</v>
      </c>
      <c r="AD122" s="24"/>
      <c r="AF122" s="22"/>
      <c r="AG122" s="23">
        <f>+[1]RADIO!P116</f>
        <v>3.1902534999999976</v>
      </c>
      <c r="AH122" s="24"/>
      <c r="AK122" s="21" t="str">
        <f>+IF($B$3="esp","Efecto NIIF16","IFRS16 Effect")</f>
        <v>IFRS16 Effect</v>
      </c>
      <c r="AM122" s="22"/>
      <c r="AN122" s="23">
        <f>+[1]NOTICIAS!L84</f>
        <v>2.7277708146272008</v>
      </c>
      <c r="AO122" s="24"/>
      <c r="AQ122" s="22"/>
      <c r="AR122" s="23">
        <f>+[1]NOTICIAS!P84</f>
        <v>1.3638827873136008</v>
      </c>
      <c r="AS122" s="24"/>
      <c r="AV122" s="21" t="str">
        <f>+IF($B$3="esp","Efecto NIIF16","IFRS16 Effect")</f>
        <v>IFRS16 Effect</v>
      </c>
      <c r="AX122" s="22"/>
      <c r="AY122" s="23">
        <f>+'[1]MEDIA CAPITAL'!L67</f>
        <v>1.1791442424999978</v>
      </c>
      <c r="AZ122" s="24"/>
      <c r="BB122" s="22"/>
      <c r="BC122" s="23">
        <f>+'[1]MEDIA CAPITAL'!P67</f>
        <v>0.58957212124999714</v>
      </c>
      <c r="BD122" s="24"/>
    </row>
    <row r="123" spans="4:56" ht="15" customHeight="1">
      <c r="D123" s="13" t="str">
        <f>+IF($B$3="esp","EBITDA Comparable","Comparable EBITDA")</f>
        <v>Comparable EBITDA</v>
      </c>
      <c r="E123" s="13"/>
      <c r="F123" s="14">
        <f>+[1]GRUPO!K164</f>
        <v>100.3186678614435</v>
      </c>
      <c r="G123" s="15">
        <f>+[1]GRUPO!L164</f>
        <v>128.31755554874303</v>
      </c>
      <c r="H123" s="16">
        <f t="shared" ref="H123:H126" si="44">IF(G123=0,"---",IF(OR(ABS((F123-G123)/ABS(G123))&gt;2,(F123*G123)&lt;0),"---",IF(G123="0","---",((F123-G123)/ABS(G123))*100)))</f>
        <v>-21.819997713924501</v>
      </c>
      <c r="J123" s="14">
        <f>+[1]GRUPO!O164</f>
        <v>30.308793222486813</v>
      </c>
      <c r="K123" s="15">
        <f>+[1]GRUPO!P164</f>
        <v>56.728480135296067</v>
      </c>
      <c r="L123" s="16">
        <f t="shared" ref="L123:L126" si="45">IF(K123=0,"---",IF(OR(ABS((J123-K123)/ABS(K123))&gt;2,(J123*K123)&lt;0),"---",IF(K123="0","---",((J123-K123)/ABS(K123))*100)))</f>
        <v>-46.572174769708148</v>
      </c>
      <c r="O123" s="13" t="str">
        <f>+IF($B$3="esp","EBITDA Comparable","Comparable EBITDA")</f>
        <v>Comparable EBITDA</v>
      </c>
      <c r="Q123" s="14">
        <f>+[1]SANTILLANA!K171</f>
        <v>61.852473497649299</v>
      </c>
      <c r="R123" s="15">
        <f>+[1]SANTILLANA!L171</f>
        <v>91.016425253944718</v>
      </c>
      <c r="S123" s="16">
        <f t="shared" ref="S123:S126" si="46">IF(R123=0,"---",IF(OR(ABS((Q123-R123)/ABS(R123))&gt;2,(Q123*R123)&lt;0),"---",IF(R123="0","---",((Q123-R123)/ABS(R123))*100)))</f>
        <v>-32.042515045965764</v>
      </c>
      <c r="U123" s="14">
        <f>+[1]SANTILLANA!O171</f>
        <v>-4.3939976968485013</v>
      </c>
      <c r="V123" s="15">
        <f>+[1]SANTILLANA!P171</f>
        <v>22.768506068664394</v>
      </c>
      <c r="W123" s="16" t="str">
        <f t="shared" ref="W123:W126" si="47">IF(V123=0,"---",IF(OR(ABS((U123-V123)/ABS(V123))&gt;2,(U123*V123)&lt;0),"---",IF(V123="0","---",((U123-V123)/ABS(V123))*100)))</f>
        <v>---</v>
      </c>
      <c r="Z123" s="13" t="str">
        <f>+IF($B$3="esp","EBITDA Comparable","Comparable EBITDA")</f>
        <v>Comparable EBITDA</v>
      </c>
      <c r="AB123" s="14">
        <f>+[1]RADIO!K117</f>
        <v>28.1451873792942</v>
      </c>
      <c r="AC123" s="15">
        <f>+[1]RADIO!L117</f>
        <v>27.143099316740599</v>
      </c>
      <c r="AD123" s="16">
        <f t="shared" ref="AD123:AD128" si="48">IF(AC123=0,"---",IF(OR(ABS((AB123-AC123)/ABS(AC123))&gt;2,(AB123*AC123)&lt;0),"---",IF(AC123="0","---",((AB123-AC123)/ABS(AC123))*100)))</f>
        <v>3.6918704487647029</v>
      </c>
      <c r="AF123" s="14">
        <f>+[1]RADIO!O117</f>
        <v>20.100309360086811</v>
      </c>
      <c r="AG123" s="15">
        <f>+[1]RADIO!P117</f>
        <v>21.419524873827427</v>
      </c>
      <c r="AH123" s="16">
        <f t="shared" ref="AH123:AH126" si="49">IF(AG123=0,"---",IF(OR(ABS((AF123-AG123)/ABS(AG123))&gt;2,(AF123*AG123)&lt;0),"---",IF(AG123="0","---",((AF123-AG123)/ABS(AG123))*100)))</f>
        <v>-6.1589391992189748</v>
      </c>
      <c r="AK123" s="13" t="str">
        <f>+IF($B$3="esp","EBITDA Comparable","Comparable EBITDA")</f>
        <v>Comparable EBITDA</v>
      </c>
      <c r="AM123" s="14">
        <f>+[1]NOTICIAS!K85</f>
        <v>1.64478109274442</v>
      </c>
      <c r="AN123" s="15">
        <f>+[1]NOTICIAS!L85</f>
        <v>-1.9754900305188399</v>
      </c>
      <c r="AO123" s="16" t="str">
        <f t="shared" ref="AO123:AO126" si="50">IF(AN123=0,"---",IF(OR(ABS((AM123-AN123)/ABS(AN123))&gt;2,(AM123*AN123)&lt;0),"---",IF(AN123="0","---",((AM123-AN123)/ABS(AN123))*100)))</f>
        <v>---</v>
      </c>
      <c r="AQ123" s="14">
        <f>+[1]NOTICIAS!O85</f>
        <v>4.7164915282073903</v>
      </c>
      <c r="AR123" s="15">
        <f>+[1]NOTICIAS!P85</f>
        <v>1.1009490091024603</v>
      </c>
      <c r="AS123" s="16" t="str">
        <f t="shared" ref="AS123:AS126" si="51">IF(AR123=0,"---",IF(OR(ABS((AQ123-AR123)/ABS(AR123))&gt;2,(AQ123*AR123)&lt;0),"---",IF(AR123="0","---",((AQ123-AR123)/ABS(AR123))*100)))</f>
        <v>---</v>
      </c>
      <c r="AV123" s="13" t="str">
        <f>+IF($B$3="esp","EBITDA Comparable","Comparable EBITDA")</f>
        <v>Comparable EBITDA</v>
      </c>
      <c r="AX123" s="14">
        <f>+'[1]MEDIA CAPITAL'!K68</f>
        <v>14.241243332884601</v>
      </c>
      <c r="AY123" s="15">
        <f>+'[1]MEDIA CAPITAL'!L68</f>
        <v>20.6061423541511</v>
      </c>
      <c r="AZ123" s="16">
        <f t="shared" ref="AZ123:AZ126" si="52">IF(AY123=0,"---",IF(OR(ABS((AX123-AY123)/ABS(AY123))&gt;2,(AX123*AY123)&lt;0),"---",IF(AY123="0","---",((AX123-AY123)/ABS(AY123))*100)))</f>
        <v>-30.888358004497103</v>
      </c>
      <c r="BB123" s="14">
        <f>+'[1]MEDIA CAPITAL'!O68</f>
        <v>13.23796180506328</v>
      </c>
      <c r="BC123" s="15">
        <f>+'[1]MEDIA CAPITAL'!P68</f>
        <v>14.817151851432378</v>
      </c>
      <c r="BD123" s="16">
        <f t="shared" ref="BD123:BD126" si="53">IF(BC123=0,"---",IF(OR(ABS((BB123-BC123)/ABS(BC123))&gt;2,(BB123*BC123)&lt;0),"---",IF(BC123="0","---",((BB123-BC123)/ABS(BC123))*100)))</f>
        <v>-10.657851537213185</v>
      </c>
    </row>
    <row r="124" spans="4:56" ht="15" customHeight="1">
      <c r="D124" s="21" t="str">
        <f>+IF($B$3="esp","Amortizaciones","Amortizations")</f>
        <v>Amortizations</v>
      </c>
      <c r="F124" s="22">
        <f>+[1]GRUPO!K165</f>
        <v>45.100232482546097</v>
      </c>
      <c r="G124" s="23">
        <f>+[1]GRUPO!L165</f>
        <v>43.730952893394807</v>
      </c>
      <c r="H124" s="24">
        <f t="shared" si="44"/>
        <v>3.1311451010209024</v>
      </c>
      <c r="J124" s="22">
        <f>+[1]GRUPO!O165</f>
        <v>21.104712453304295</v>
      </c>
      <c r="K124" s="23">
        <f>+[1]GRUPO!P165</f>
        <v>19.311512213020109</v>
      </c>
      <c r="L124" s="24">
        <f t="shared" si="45"/>
        <v>9.2856541761405076</v>
      </c>
      <c r="O124" s="21" t="str">
        <f>+IF($B$3="esp","Amortizaciones","Amortizations")</f>
        <v>Amortizations</v>
      </c>
      <c r="Q124" s="22">
        <f>+[1]SANTILLANA!K172</f>
        <v>26.060551798535901</v>
      </c>
      <c r="R124" s="23">
        <f>+[1]SANTILLANA!L172</f>
        <v>25.654467560951002</v>
      </c>
      <c r="S124" s="24">
        <f t="shared" si="46"/>
        <v>1.5828987158673498</v>
      </c>
      <c r="U124" s="22">
        <f>+[1]SANTILLANA!O172</f>
        <v>11.322738955470401</v>
      </c>
      <c r="V124" s="23">
        <f>+[1]SANTILLANA!P172</f>
        <v>10.230084284772657</v>
      </c>
      <c r="W124" s="24">
        <f t="shared" si="47"/>
        <v>10.680798322689734</v>
      </c>
      <c r="Z124" s="21" t="str">
        <f>+IF($B$3="esp","Amortizaciones","Amortizations")</f>
        <v>Amortizations</v>
      </c>
      <c r="AB124" s="22">
        <f>+[1]RADIO!K118</f>
        <v>9.1105113685433405</v>
      </c>
      <c r="AC124" s="23">
        <f>+[1]RADIO!L118</f>
        <v>8.8124845000955219</v>
      </c>
      <c r="AD124" s="24">
        <f t="shared" si="48"/>
        <v>3.38187112209489</v>
      </c>
      <c r="AF124" s="22">
        <f>+[1]RADIO!O118</f>
        <v>4.6945271282691809</v>
      </c>
      <c r="AG124" s="23">
        <f>+[1]RADIO!P118</f>
        <v>4.4211624590741918</v>
      </c>
      <c r="AH124" s="24">
        <f t="shared" si="49"/>
        <v>6.1830948698553989</v>
      </c>
      <c r="AK124" s="21" t="str">
        <f>+IF($B$3="esp","Amortizaciones","Amortizations")</f>
        <v>Amortizations</v>
      </c>
      <c r="AM124" s="22">
        <f>+[1]NOTICIAS!K86</f>
        <v>4.86259958546683</v>
      </c>
      <c r="AN124" s="23">
        <f>+[1]NOTICIAS!L86</f>
        <v>4.3354135702520855</v>
      </c>
      <c r="AO124" s="24">
        <f t="shared" si="50"/>
        <v>12.159993658554031</v>
      </c>
      <c r="AQ124" s="22">
        <f>+[1]NOTICIAS!O86</f>
        <v>2.5154845995647799</v>
      </c>
      <c r="AR124" s="23">
        <f>+[1]NOTICIAS!P86</f>
        <v>2.2142420750670877</v>
      </c>
      <c r="AS124" s="24">
        <f t="shared" si="51"/>
        <v>13.6047692296049</v>
      </c>
      <c r="AV124" s="21" t="str">
        <f>+IF($B$3="esp","Amortizaciones","Amortizations")</f>
        <v>Amortizations</v>
      </c>
      <c r="AX124" s="22">
        <f>+'[1]MEDIA CAPITAL'!K69</f>
        <v>4.3986066099999999</v>
      </c>
      <c r="AY124" s="23">
        <f>+'[1]MEDIA CAPITAL'!L69</f>
        <v>4.2186635226635039</v>
      </c>
      <c r="AZ124" s="24">
        <f t="shared" si="52"/>
        <v>4.2654050594413553</v>
      </c>
      <c r="BB124" s="22">
        <f>+'[1]MEDIA CAPITAL'!O69</f>
        <v>2.2387065800000001</v>
      </c>
      <c r="BC124" s="23">
        <f>+'[1]MEDIA CAPITAL'!P69</f>
        <v>2.0962208063317522</v>
      </c>
      <c r="BD124" s="24">
        <f t="shared" si="53"/>
        <v>6.7972693161837547</v>
      </c>
    </row>
    <row r="125" spans="4:56" ht="15" customHeight="1">
      <c r="D125" s="21" t="str">
        <f>+IF($B$3="esp","Pérdidas de inmovilizado","Impairment from fixed assets")</f>
        <v>Impairment from fixed assets</v>
      </c>
      <c r="F125" s="22">
        <f>+[1]GRUPO!K166</f>
        <v>1.288515779133931</v>
      </c>
      <c r="G125" s="23">
        <f>+[1]GRUPO!L166</f>
        <v>0.38269386400740046</v>
      </c>
      <c r="H125" s="24" t="str">
        <f t="shared" si="44"/>
        <v>---</v>
      </c>
      <c r="J125" s="22">
        <f>+[1]GRUPO!O166</f>
        <v>1.246415408035098</v>
      </c>
      <c r="K125" s="23">
        <f>+[1]GRUPO!P166</f>
        <v>0.46289181119190204</v>
      </c>
      <c r="L125" s="24">
        <f t="shared" si="45"/>
        <v>169.2671112123798</v>
      </c>
      <c r="O125" s="21" t="str">
        <f>+IF($B$3="esp","Pérdidas de inmovilizado","Impairment from fixed assets")</f>
        <v>Impairment from fixed assets</v>
      </c>
      <c r="Q125" s="22">
        <f>+[1]SANTILLANA!K173</f>
        <v>1.2619290891333996</v>
      </c>
      <c r="R125" s="23">
        <f>+[1]SANTILLANA!L173</f>
        <v>0.30513531400790228</v>
      </c>
      <c r="S125" s="24" t="str">
        <f t="shared" si="46"/>
        <v>---</v>
      </c>
      <c r="U125" s="22">
        <f>+[1]SANTILLANA!O173</f>
        <v>1.2464154080343999</v>
      </c>
      <c r="V125" s="23">
        <f>+[1]SANTILLANA!P173</f>
        <v>0.40112432119249952</v>
      </c>
      <c r="W125" s="24" t="str">
        <f t="shared" si="47"/>
        <v>---</v>
      </c>
      <c r="Z125" s="21" t="str">
        <f>+IF($B$3="esp","Pérdidas de inmovilizado","Impairment from fixed assets")</f>
        <v>Impairment from fixed assets</v>
      </c>
      <c r="AB125" s="22">
        <f>+[1]RADIO!K119</f>
        <v>2.6586689999858137E-2</v>
      </c>
      <c r="AC125" s="23">
        <f>+[1]RADIO!L119</f>
        <v>-2.4496560000123679E-2</v>
      </c>
      <c r="AD125" s="24" t="str">
        <f t="shared" si="48"/>
        <v>---</v>
      </c>
      <c r="AF125" s="22">
        <f>+[1]RADIO!O119</f>
        <v>-1.829647544582258E-13</v>
      </c>
      <c r="AG125" s="23">
        <f>+[1]RADIO!P119</f>
        <v>-4.0287620000115432E-2</v>
      </c>
      <c r="AH125" s="24">
        <f t="shared" si="49"/>
        <v>99.99999999954585</v>
      </c>
      <c r="AK125" s="21" t="str">
        <f>+IF($B$3="esp","Pérdidas de inmovilizado","Impairment from fixed assets")</f>
        <v>Impairment from fixed assets</v>
      </c>
      <c r="AM125" s="22">
        <f>+[1]NOTICIAS!K87</f>
        <v>2.042810365310288E-14</v>
      </c>
      <c r="AN125" s="23">
        <f>+[1]NOTICIAS!L87</f>
        <v>1.9539925233402755E-14</v>
      </c>
      <c r="AO125" s="24">
        <f t="shared" si="50"/>
        <v>4.5454545454545459</v>
      </c>
      <c r="AQ125" s="22">
        <f>+[1]NOTICIAS!O87</f>
        <v>3.1086244689504383E-14</v>
      </c>
      <c r="AR125" s="23">
        <f>+[1]NOTICIAS!P87</f>
        <v>9.7699626167013776E-15</v>
      </c>
      <c r="AS125" s="24" t="str">
        <f t="shared" si="51"/>
        <v>---</v>
      </c>
      <c r="AV125" s="21" t="str">
        <f>+IF($B$3="esp","Pérdidas de inmovilizado","Impairment from fixed assets")</f>
        <v>Impairment from fixed assets</v>
      </c>
      <c r="AX125" s="22">
        <f>+'[1]MEDIA CAPITAL'!K70</f>
        <v>0</v>
      </c>
      <c r="AY125" s="23">
        <f>+'[1]MEDIA CAPITAL'!L70</f>
        <v>0</v>
      </c>
      <c r="AZ125" s="24" t="str">
        <f t="shared" si="52"/>
        <v>---</v>
      </c>
      <c r="BB125" s="22">
        <f>+'[1]MEDIA CAPITAL'!O70</f>
        <v>9.3258734068513149E-15</v>
      </c>
      <c r="BC125" s="23">
        <f>+'[1]MEDIA CAPITAL'!P70</f>
        <v>0</v>
      </c>
      <c r="BD125" s="24" t="str">
        <f t="shared" si="53"/>
        <v>---</v>
      </c>
    </row>
    <row r="126" spans="4:56" ht="15" customHeight="1">
      <c r="D126" s="13" t="str">
        <f>+IF($B$3="esp","Resultado de Explotación Comparable","Comparable Operating Result")</f>
        <v>Comparable Operating Result</v>
      </c>
      <c r="E126" s="13"/>
      <c r="F126" s="14">
        <f>+[1]GRUPO!K167</f>
        <v>53.929919599763473</v>
      </c>
      <c r="G126" s="15">
        <f>+[1]GRUPO!L167</f>
        <v>84.203908791340822</v>
      </c>
      <c r="H126" s="16">
        <f t="shared" si="44"/>
        <v>-35.95318747802667</v>
      </c>
      <c r="J126" s="14">
        <f>+[1]GRUPO!O167</f>
        <v>7.95766536114742</v>
      </c>
      <c r="K126" s="15">
        <f>+[1]GRUPO!P167</f>
        <v>36.954076111084056</v>
      </c>
      <c r="L126" s="16">
        <f t="shared" si="45"/>
        <v>-78.466068703147513</v>
      </c>
      <c r="O126" s="13" t="str">
        <f>+IF($B$3="esp","Resultado de Explotación Comparable","Comparable Operating Result")</f>
        <v>Comparable Operating Result</v>
      </c>
      <c r="Q126" s="14">
        <f>+[1]SANTILLANA!K174</f>
        <v>34.529992609979999</v>
      </c>
      <c r="R126" s="15">
        <f>+[1]SANTILLANA!L174</f>
        <v>65.056822378985814</v>
      </c>
      <c r="S126" s="16">
        <f t="shared" si="46"/>
        <v>-46.923333560887798</v>
      </c>
      <c r="U126" s="14">
        <f>+[1]SANTILLANA!O174</f>
        <v>-16.963152060353302</v>
      </c>
      <c r="V126" s="15">
        <f>+[1]SANTILLANA!P174</f>
        <v>12.137297462699237</v>
      </c>
      <c r="W126" s="16" t="str">
        <f t="shared" si="47"/>
        <v>---</v>
      </c>
      <c r="Z126" s="13" t="str">
        <f>+IF($B$3="esp","Resultado de Explotación Comparable","Comparable Operating Result")</f>
        <v>Comparable Operating Result</v>
      </c>
      <c r="AB126" s="14">
        <f>+[1]RADIO!K120</f>
        <v>19.008089320751001</v>
      </c>
      <c r="AC126" s="15">
        <f>+[1]RADIO!L120</f>
        <v>18.355111376645201</v>
      </c>
      <c r="AD126" s="16">
        <f t="shared" si="48"/>
        <v>3.5574719799120373</v>
      </c>
      <c r="AF126" s="14">
        <f>+[1]RADIO!O120</f>
        <v>15.405782231817811</v>
      </c>
      <c r="AG126" s="15">
        <f>+[1]RADIO!P120</f>
        <v>17.038650034753353</v>
      </c>
      <c r="AH126" s="16">
        <f t="shared" si="49"/>
        <v>-9.5833167510631263</v>
      </c>
      <c r="AK126" s="13" t="str">
        <f>+IF($B$3="esp","Resultado de Explotación Comparable","Comparable Operating Result")</f>
        <v>Comparable Operating Result</v>
      </c>
      <c r="AM126" s="14">
        <f>+[1]NOTICIAS!K88</f>
        <v>-3.2178184927224303</v>
      </c>
      <c r="AN126" s="15">
        <f>+[1]NOTICIAS!L88</f>
        <v>-6.3109036007709447</v>
      </c>
      <c r="AO126" s="16">
        <f t="shared" si="50"/>
        <v>49.011762874505969</v>
      </c>
      <c r="AQ126" s="14">
        <f>+[1]NOTICIAS!O88</f>
        <v>2.2010069286425793</v>
      </c>
      <c r="AR126" s="15">
        <f>+[1]NOTICIAS!P88</f>
        <v>-1.113293065964637</v>
      </c>
      <c r="AS126" s="16" t="str">
        <f t="shared" si="51"/>
        <v>---</v>
      </c>
      <c r="AV126" s="13" t="str">
        <f>+IF($B$3="esp","Resultado de Explotación Comparable","Comparable Operating Result")</f>
        <v>Comparable Operating Result</v>
      </c>
      <c r="AX126" s="14">
        <f>+'[1]MEDIA CAPITAL'!K71</f>
        <v>9.842636722884599</v>
      </c>
      <c r="AY126" s="15">
        <f>+'[1]MEDIA CAPITAL'!L71</f>
        <v>16.387478831487595</v>
      </c>
      <c r="AZ126" s="16">
        <f t="shared" si="52"/>
        <v>-39.938065982593123</v>
      </c>
      <c r="BB126" s="14">
        <f>+'[1]MEDIA CAPITAL'!O71</f>
        <v>10.999255225063269</v>
      </c>
      <c r="BC126" s="15">
        <f>+'[1]MEDIA CAPITAL'!P71</f>
        <v>12.720931045100627</v>
      </c>
      <c r="BD126" s="16">
        <f t="shared" si="53"/>
        <v>-13.534196623921241</v>
      </c>
    </row>
    <row r="127" spans="4:56" ht="15" customHeight="1">
      <c r="D127" s="21" t="str">
        <f>+IF($A$1="esp","Sentencia Mediapro","Mediapro Rulling")</f>
        <v>Mediapro Rulling</v>
      </c>
      <c r="F127" s="22">
        <f>+[1]GRUPO!K168</f>
        <v>-51.035825500000001</v>
      </c>
      <c r="G127" s="23">
        <f>+[1]GRUPO!L168</f>
        <v>0</v>
      </c>
      <c r="H127" s="24"/>
      <c r="J127" s="22">
        <f>+[1]GRUPO!O168</f>
        <v>0</v>
      </c>
      <c r="K127" s="23">
        <f>+[1]GRUPO!P168</f>
        <v>0</v>
      </c>
      <c r="L127" s="24"/>
      <c r="O127" s="21"/>
      <c r="Q127" s="22"/>
      <c r="R127" s="23"/>
      <c r="S127" s="24"/>
      <c r="U127" s="22"/>
      <c r="V127" s="23"/>
      <c r="W127" s="24"/>
      <c r="Z127" s="21"/>
      <c r="AB127" s="22"/>
      <c r="AC127" s="23"/>
      <c r="AD127" s="24"/>
      <c r="AF127" s="22"/>
      <c r="AG127" s="23"/>
      <c r="AH127" s="24"/>
      <c r="AK127" s="21"/>
      <c r="AM127" s="22"/>
      <c r="AN127" s="23"/>
      <c r="AO127" s="24"/>
      <c r="AQ127" s="22"/>
      <c r="AR127" s="23"/>
      <c r="AS127" s="24"/>
      <c r="AV127" s="21"/>
      <c r="AX127" s="22"/>
      <c r="AY127" s="23"/>
      <c r="AZ127" s="24"/>
      <c r="BB127" s="22"/>
      <c r="BC127" s="23"/>
      <c r="BD127" s="24"/>
    </row>
    <row r="128" spans="4:56" ht="15" customHeight="1">
      <c r="D128" s="21" t="str">
        <f>+IF($B$3="esp","Efecto NIIF16","IFRS16 Effect")</f>
        <v>IFRS16 Effect</v>
      </c>
      <c r="F128" s="22">
        <f>+[1]GRUPO!K169</f>
        <v>0</v>
      </c>
      <c r="G128" s="23">
        <f>+[1]GRUPO!L169</f>
        <v>-3.6959171056903983</v>
      </c>
      <c r="H128" s="24"/>
      <c r="J128" s="22">
        <f>+[1]GRUPO!O169</f>
        <v>0</v>
      </c>
      <c r="K128" s="23">
        <f>+[1]GRUPO!P169</f>
        <v>-1.8517363588053328</v>
      </c>
      <c r="L128" s="24"/>
      <c r="O128" s="21" t="str">
        <f>+IF($B$3="esp","Efecto NIIF16","IFRS16 Effect")</f>
        <v>IFRS16 Effect</v>
      </c>
      <c r="Q128" s="22"/>
      <c r="R128" s="23">
        <f>+[1]SANTILLANA!L175</f>
        <v>-1.3016406098894109</v>
      </c>
      <c r="S128" s="24"/>
      <c r="U128" s="22"/>
      <c r="V128" s="23">
        <f>+[1]SANTILLANA!P175</f>
        <v>-0.65460073090483917</v>
      </c>
      <c r="W128" s="24"/>
      <c r="Z128" s="21" t="str">
        <f>+IF($B$3="esp","Efecto NIIF16","IFRS16 Effect")</f>
        <v>IFRS16 Effect</v>
      </c>
      <c r="AB128" s="22"/>
      <c r="AC128" s="23">
        <f>+[1]RADIO!L121</f>
        <v>-1.6030070000000016</v>
      </c>
      <c r="AD128" s="24">
        <f t="shared" si="48"/>
        <v>100</v>
      </c>
      <c r="AF128" s="22"/>
      <c r="AG128" s="23">
        <f>+[1]RADIO!P121</f>
        <v>-0.80150350000000115</v>
      </c>
      <c r="AH128" s="24">
        <f t="shared" ref="AH128" si="54">IF(AG128=0,"---",IF(OR(ABS((AF128-AG128)/ABS(AG128))&gt;2,(AF128*AG128)&lt;0),"---",IF(AG128="0","---",((AF128-AG128)/ABS(AG128))*100)))</f>
        <v>100</v>
      </c>
      <c r="AK128" s="21" t="str">
        <f>+IF($B$3="esp","Efecto NIIF16","IFRS16 Effect")</f>
        <v>IFRS16 Effect</v>
      </c>
      <c r="AM128" s="22"/>
      <c r="AN128" s="23">
        <f>+[1]NOTICIAS!L89</f>
        <v>-0.74215858696764592</v>
      </c>
      <c r="AO128" s="24"/>
      <c r="AQ128" s="22"/>
      <c r="AR128" s="23">
        <f>+[1]NOTICIAS!P89</f>
        <v>-0.37107667348382289</v>
      </c>
      <c r="AS128" s="24"/>
      <c r="AV128" s="21" t="str">
        <f>+IF($B$3="esp","Efecto NIIF16","IFRS16 Effect")</f>
        <v>IFRS16 Effect</v>
      </c>
      <c r="AX128" s="22"/>
      <c r="AY128" s="23">
        <f>+'[1]MEDIA CAPITAL'!L72</f>
        <v>1.1239670163504911E-2</v>
      </c>
      <c r="AZ128" s="24"/>
      <c r="BB128" s="22"/>
      <c r="BC128" s="23">
        <f>+'[1]MEDIA CAPITAL'!P72</f>
        <v>5.6198350817533438E-3</v>
      </c>
      <c r="BD128" s="24"/>
    </row>
    <row r="129" spans="4:56" ht="15" customHeight="1">
      <c r="D129" s="13" t="str">
        <f>+IF($B$3="esp","EBIT Contable","Reported Operating Result")</f>
        <v>Reported Operating Result</v>
      </c>
      <c r="E129" s="13"/>
      <c r="F129" s="14">
        <f>+[1]GRUPO!K170</f>
        <v>2.8940940997634756</v>
      </c>
      <c r="G129" s="15">
        <f>+[1]GRUPO!L170</f>
        <v>80.507991685650424</v>
      </c>
      <c r="H129" s="16">
        <f>IF(G129=0,"---",IF(OR(ABS((F129-G129)/ABS(G129))&gt;2,(F129*G129)&lt;0),"---",IF(G129="0","---",((F129-G129)/ABS(G129))*100)))</f>
        <v>-96.405208925017419</v>
      </c>
      <c r="J129" s="14">
        <f>+[1]GRUPO!O170</f>
        <v>7.957665361147428</v>
      </c>
      <c r="K129" s="15">
        <f>+[1]GRUPO!P170</f>
        <v>35.102339752278723</v>
      </c>
      <c r="L129" s="16">
        <f>IF(K129=0,"---",IF(OR(ABS((J129-K129)/ABS(K129))&gt;2,(J129*K129)&lt;0),"---",IF(K129="0","---",((J129-K129)/ABS(K129))*100)))</f>
        <v>-77.330099881359487</v>
      </c>
      <c r="O129" s="13" t="str">
        <f>+IF($B$3="esp","EBIT Contable","Reported Operating Result")</f>
        <v>Reported Operating Result</v>
      </c>
      <c r="P129" s="13"/>
      <c r="Q129" s="14">
        <f>+[1]SANTILLANA!K176</f>
        <v>34.529992609979999</v>
      </c>
      <c r="R129" s="15">
        <f>+[1]SANTILLANA!L176</f>
        <v>63.755181769096403</v>
      </c>
      <c r="S129" s="16">
        <f>IF(R129=0,"---",IF(OR(ABS((Q129-R129)/ABS(R129))&gt;2,(Q129*R129)&lt;0),"---",IF(R129="0","---",((Q129-R129)/ABS(R129))*100)))</f>
        <v>-45.839708002028665</v>
      </c>
      <c r="U129" s="14">
        <f>+[1]SANTILLANA!O176</f>
        <v>-16.963152060353302</v>
      </c>
      <c r="V129" s="15">
        <f>+[1]SANTILLANA!P176</f>
        <v>11.482696731794398</v>
      </c>
      <c r="W129" s="16" t="str">
        <f>IF(V129=0,"---",IF(OR(ABS((U129-V129)/ABS(V129))&gt;2,(U129*V129)&lt;0),"---",IF(V129="0","---",((U129-V129)/ABS(V129))*100)))</f>
        <v>---</v>
      </c>
      <c r="Z129" s="13" t="str">
        <f>+IF($B$3="esp","EBIT Contable","Reported Operating Result")</f>
        <v>Reported Operating Result</v>
      </c>
      <c r="AA129" s="13"/>
      <c r="AB129" s="14">
        <f>+[1]RADIO!K122</f>
        <v>19.008089320751001</v>
      </c>
      <c r="AC129" s="15">
        <f>+[1]RADIO!L122</f>
        <v>16.7521043766452</v>
      </c>
      <c r="AD129" s="16">
        <f>IF(AC129=0,"---",IF(OR(ABS((AB129-AC129)/ABS(AC129))&gt;2,(AB129*AC129)&lt;0),"---",IF(AC129="0","---",((AB129-AC129)/ABS(AC129))*100)))</f>
        <v>13.466874927373082</v>
      </c>
      <c r="AF129" s="14">
        <f>+[1]RADIO!O122</f>
        <v>15.405782231817811</v>
      </c>
      <c r="AG129" s="15">
        <f>+[1]RADIO!P122</f>
        <v>16.23714653475335</v>
      </c>
      <c r="AH129" s="16">
        <f>IF(AG129=0,"---",IF(OR(ABS((AF129-AG129)/ABS(AG129))&gt;2,(AF129*AG129)&lt;0),"---",IF(AG129="0","---",((AF129-AG129)/ABS(AG129))*100)))</f>
        <v>-5.1201379574675832</v>
      </c>
      <c r="AK129" s="13" t="str">
        <f>+IF($B$3="esp","EBIT Contable","Reported Operating Result")</f>
        <v>Reported Operating Result</v>
      </c>
      <c r="AL129" s="13"/>
      <c r="AM129" s="14">
        <f>+[1]NOTICIAS!K90</f>
        <v>-3.2178184927224303</v>
      </c>
      <c r="AN129" s="15">
        <f>+[1]NOTICIAS!L90</f>
        <v>-7.0530621877385906</v>
      </c>
      <c r="AO129" s="16">
        <f>IF(AN129=0,"---",IF(OR(ABS((AM129-AN129)/ABS(AN129))&gt;2,(AM129*AN129)&lt;0),"---",IF(AN129="0","---",((AM129-AN129)/ABS(AN129))*100)))</f>
        <v>54.377000980985926</v>
      </c>
      <c r="AQ129" s="14">
        <f>+[1]NOTICIAS!O90</f>
        <v>2.2010069286425793</v>
      </c>
      <c r="AR129" s="15">
        <f>+[1]NOTICIAS!P90</f>
        <v>-1.4843697394484598</v>
      </c>
      <c r="AS129" s="16" t="str">
        <f>IF(AR129=0,"---",IF(OR(ABS((AQ129-AR129)/ABS(AR129))&gt;2,(AQ129*AR129)&lt;0),"---",IF(AR129="0","---",((AQ129-AR129)/ABS(AR129))*100)))</f>
        <v>---</v>
      </c>
      <c r="AV129" s="13" t="str">
        <f>+IF($B$3="esp","EBIT Contable","Reported Operating Result")</f>
        <v>Reported Operating Result</v>
      </c>
      <c r="AX129" s="14">
        <f>+'[1]MEDIA CAPITAL'!K73</f>
        <v>9.842636722884599</v>
      </c>
      <c r="AY129" s="15">
        <f>+'[1]MEDIA CAPITAL'!L73</f>
        <v>16.3987185016511</v>
      </c>
      <c r="AZ129" s="16">
        <f>IF(AY129=0,"---",IF(OR(ABS((AX129-AY129)/ABS(AY129))&gt;2,(AX129*AY129)&lt;0),"---",IF(AY129="0","---",((AX129-AY129)/ABS(AY129))*100)))</f>
        <v>-39.979232390057817</v>
      </c>
      <c r="BB129" s="14">
        <f>+'[1]MEDIA CAPITAL'!O73</f>
        <v>10.999255225063269</v>
      </c>
      <c r="BC129" s="15">
        <f>+'[1]MEDIA CAPITAL'!P73</f>
        <v>12.72655088018238</v>
      </c>
      <c r="BD129" s="16">
        <f>IF(BC129=0,"---",IF(OR(ABS((BB129-BC129)/ABS(BC129))&gt;2,(BB129*BC129)&lt;0),"---",IF(BC129="0","---",((BB129-BC129)/ABS(BC129))*100)))</f>
        <v>-13.572378497373025</v>
      </c>
    </row>
    <row r="130" spans="4:56" ht="15" customHeight="1"/>
    <row r="132" spans="4:56">
      <c r="D132" s="9"/>
      <c r="F132" s="7" t="str">
        <f>+F114</f>
        <v>JANUARY - MARCH</v>
      </c>
      <c r="G132" s="8"/>
      <c r="H132" s="8"/>
      <c r="J132" s="7" t="str">
        <f>+J114</f>
        <v>APRIL - JUNE</v>
      </c>
      <c r="K132" s="8"/>
      <c r="L132" s="8"/>
      <c r="AK132" s="9" t="str">
        <f>+IF($B$3="esp","Millones de €","€ Millions")</f>
        <v>€ Millions</v>
      </c>
      <c r="AM132" s="7" t="str">
        <f>+AM114</f>
        <v>JANUARY - MARCH</v>
      </c>
      <c r="AN132" s="8"/>
      <c r="AO132" s="8"/>
      <c r="AQ132" s="7" t="str">
        <f>+AQ114</f>
        <v>APRIL - JUNE</v>
      </c>
      <c r="AR132" s="8"/>
      <c r="AS132" s="8"/>
    </row>
    <row r="133" spans="4:56" ht="14.25" customHeight="1"/>
    <row r="134" spans="4:56" ht="15">
      <c r="D134" s="56" t="str">
        <f>+IF($B$3="esp","OTROS","OTHERS")</f>
        <v>OTHERS</v>
      </c>
      <c r="F134" s="10">
        <v>2019</v>
      </c>
      <c r="G134" s="10">
        <v>2018</v>
      </c>
      <c r="H134" s="10" t="s">
        <v>5</v>
      </c>
      <c r="J134" s="10">
        <v>2019</v>
      </c>
      <c r="K134" s="10">
        <v>2018</v>
      </c>
      <c r="L134" s="10" t="s">
        <v>5</v>
      </c>
      <c r="AK134" s="56" t="str">
        <f>+IF($B$3="esp","PRENSA","PRESS")</f>
        <v>PRESS</v>
      </c>
      <c r="AM134" s="10">
        <v>2019</v>
      </c>
      <c r="AN134" s="10">
        <v>2018</v>
      </c>
      <c r="AO134" s="10" t="str">
        <f>+IF($B$3="esp","Var.%","% Chg.")</f>
        <v>% Chg.</v>
      </c>
      <c r="AQ134" s="10">
        <v>2019</v>
      </c>
      <c r="AR134" s="10">
        <v>2018</v>
      </c>
      <c r="AS134" s="10" t="str">
        <f>+IF($B$3="esp","Var.%","% Chg.")</f>
        <v>% Chg.</v>
      </c>
    </row>
    <row r="135" spans="4:56" ht="15.75" customHeight="1">
      <c r="D135" s="11"/>
      <c r="F135" s="12"/>
      <c r="G135" s="12"/>
      <c r="H135" s="12"/>
      <c r="J135" s="12"/>
      <c r="K135" s="12"/>
      <c r="L135" s="12"/>
      <c r="AK135" s="11"/>
      <c r="AM135" s="12"/>
      <c r="AN135" s="12"/>
      <c r="AO135" s="12"/>
      <c r="AQ135" s="12"/>
      <c r="AR135" s="12"/>
      <c r="AS135" s="12"/>
    </row>
    <row r="136" spans="4:56" s="13" customFormat="1" ht="15" customHeight="1">
      <c r="D136" s="13" t="str">
        <f>+IF($B$3="esp","EBITDA criterio anterior contable","Previous criteria reported EBITDA")</f>
        <v>Previous criteria reported EBITDA</v>
      </c>
      <c r="F136" s="14"/>
      <c r="G136" s="15">
        <f>+[1]GRUPO!L177</f>
        <v>-11.815524593080337</v>
      </c>
      <c r="H136" s="16"/>
      <c r="J136" s="14"/>
      <c r="K136" s="15">
        <f>+[1]GRUPO!P177</f>
        <v>-6.415848318521661</v>
      </c>
      <c r="L136" s="16"/>
      <c r="AK136" s="13" t="str">
        <f>+IF($B$3="esp","EBITDA criterio anterior contable","Previous criteria reported EBITDA")</f>
        <v>Previous criteria reported EBITDA</v>
      </c>
      <c r="AM136" s="14"/>
      <c r="AN136" s="15">
        <f>+[1]NOTICIAS!L94</f>
        <v>-0.75073232798462108</v>
      </c>
      <c r="AO136" s="16">
        <f>IF(AN136=0,"---",IF(OR(ABS((AM136-AN136)/ABS(AN136))&gt;2,(AM136*AN136)&lt;0),"---",IF(AN136="0","---",((AM136-AN136)/ABS(AN136))*100)))</f>
        <v>100</v>
      </c>
      <c r="AQ136" s="14"/>
      <c r="AR136" s="15">
        <f>+[1]NOTICIAS!P94</f>
        <v>1.2054419750119196</v>
      </c>
      <c r="AS136" s="16">
        <f>IF(AR136=0,"---",IF(OR(ABS((AQ136-AR136)/ABS(AR136))&gt;2,(AQ136*AR136)&lt;0),"---",IF(AR136="0","---",((AQ136-AR136)/ABS(AR136))*100)))</f>
        <v>-100</v>
      </c>
    </row>
    <row r="137" spans="4:56" ht="15" customHeight="1">
      <c r="D137" s="21" t="str">
        <f>+IF($B$3="esp","Provisiones","Provisions")</f>
        <v>Provisions</v>
      </c>
      <c r="F137" s="22"/>
      <c r="G137" s="23">
        <f>+[1]GRUPO!L178</f>
        <v>-0.23314424127049546</v>
      </c>
      <c r="H137" s="24"/>
      <c r="J137" s="22"/>
      <c r="K137" s="23">
        <f>+[1]GRUPO!P178</f>
        <v>-0.22695646818358067</v>
      </c>
      <c r="L137" s="24"/>
      <c r="AK137" s="21" t="str">
        <f>+IF($B$3="esp","Provisiones","Provisions")</f>
        <v>Provisions</v>
      </c>
      <c r="AM137" s="22"/>
      <c r="AN137" s="23">
        <f>+[1]NOTICIAS!L95</f>
        <v>-0.99826976798845901</v>
      </c>
      <c r="AO137" s="24"/>
      <c r="AQ137" s="22"/>
      <c r="AR137" s="23">
        <f>+[1]NOTICIAS!P95</f>
        <v>-0.50260534287192993</v>
      </c>
      <c r="AS137" s="24"/>
    </row>
    <row r="138" spans="4:56" ht="15" customHeight="1">
      <c r="D138" s="13" t="str">
        <f>+IF($B$3="esp","EBITDA Contable","Reported EBITDA")</f>
        <v>Reported EBITDA</v>
      </c>
      <c r="E138" s="13"/>
      <c r="F138" s="14">
        <f>+[1]GRUPO!K179</f>
        <v>-57.628928864346598</v>
      </c>
      <c r="G138" s="15">
        <f>+[1]GRUPO!L179</f>
        <v>-12.048668834350831</v>
      </c>
      <c r="H138" s="16" t="str">
        <f>IF(G138=0,"---",IF(OR(ABS((F138-G138)/ABS(G138))&gt;2,(F138*G138)&lt;0),"---",IF(G138="0","---",((F138-G138)/ABS(G138))*100)))</f>
        <v>---</v>
      </c>
      <c r="J138" s="14">
        <f>+[1]GRUPO!O179</f>
        <v>-4.3800576972397565</v>
      </c>
      <c r="K138" s="15">
        <f>+[1]GRUPO!P179</f>
        <v>-6.6428047867052458</v>
      </c>
      <c r="L138" s="16">
        <f>IF(K138=0,"---",IF(OR(ABS((J138-K138)/ABS(K138))&gt;2,(J138*K138)&lt;0),"---",IF(K138="0","---",((J138-K138)/ABS(K138))*100)))</f>
        <v>34.063127882277954</v>
      </c>
      <c r="AK138" s="13" t="str">
        <f>+IF($B$3="esp","EBITDA Contable","Reported EBITDA")</f>
        <v>Reported EBITDA</v>
      </c>
      <c r="AL138" s="13"/>
      <c r="AM138" s="14">
        <f>+[1]NOTICIAS!K96</f>
        <v>2.6728670159620003</v>
      </c>
      <c r="AN138" s="15">
        <f>+[1]NOTICIAS!L96</f>
        <v>-1.7490020959730801</v>
      </c>
      <c r="AO138" s="16" t="str">
        <f>IF(AN138=0,"---",IF(OR(ABS((AM138-AN138)/ABS(AN138))&gt;2,(AM138*AN138)&lt;0),"---",IF(AN138="0","---",((AM138-AN138)/ABS(AN138))*100)))</f>
        <v>---</v>
      </c>
      <c r="AQ138" s="14">
        <f>+[1]NOTICIAS!O96</f>
        <v>4.7567255617410904</v>
      </c>
      <c r="AR138" s="15">
        <f>+[1]NOTICIAS!P96</f>
        <v>0.7028366321399897</v>
      </c>
      <c r="AS138" s="16" t="str">
        <f>IF(AR138=0,"---",IF(OR(ABS((AQ138-AR138)/ABS(AR138))&gt;2,(AQ138*AR138)&lt;0),"---",IF(AR138="0","---",((AQ138-AR138)/ABS(AR138))*100)))</f>
        <v>---</v>
      </c>
    </row>
    <row r="139" spans="4:56" ht="15" customHeight="1">
      <c r="D139" s="21" t="str">
        <f>+IF($A$1="esp","Sentencia Mediapro","Mediapro Rulling")</f>
        <v>Mediapro Rulling</v>
      </c>
      <c r="F139" s="22">
        <f>+[1]GRUPO!K180</f>
        <v>51.035825500000001</v>
      </c>
      <c r="G139" s="23">
        <f>+[1]GRUPO!L180</f>
        <v>1.3147074208738192</v>
      </c>
      <c r="H139" s="24"/>
      <c r="J139" s="22">
        <f>+[1]GRUPO!O180</f>
        <v>0</v>
      </c>
      <c r="K139" s="23">
        <f>+[1]GRUPO!P180</f>
        <v>1.3147074208738192</v>
      </c>
      <c r="L139" s="24"/>
      <c r="AK139" s="21" t="str">
        <f>+IF($B$3="esp","Efecto NIIF16","IFRS16 Effect")</f>
        <v>IFRS16 Effect</v>
      </c>
      <c r="AM139" s="22"/>
      <c r="AN139" s="23">
        <f>+[1]NOTICIAS!L97</f>
        <v>2.2679963746272001</v>
      </c>
      <c r="AO139" s="24"/>
      <c r="AQ139" s="22"/>
      <c r="AR139" s="23">
        <f>+[1]NOTICIAS!P97</f>
        <v>1.1339981873135998</v>
      </c>
      <c r="AS139" s="24"/>
    </row>
    <row r="140" spans="4:56" ht="15" customHeight="1">
      <c r="D140" s="21" t="str">
        <f>+IF($B$3="esp","Efecto NIIF16","IFRS16 Effect")</f>
        <v>IFRS16 Effect</v>
      </c>
      <c r="F140" s="22">
        <f>+[1]GRUPO!K181</f>
        <v>0</v>
      </c>
      <c r="G140" s="23">
        <f>+[1]GRUPO!L181</f>
        <v>1.0815631796033238</v>
      </c>
      <c r="H140" s="24"/>
      <c r="J140" s="22">
        <f>+[1]GRUPO!O181</f>
        <v>0</v>
      </c>
      <c r="K140" s="23">
        <f>+[1]GRUPO!P181</f>
        <v>0.77066880980168984</v>
      </c>
      <c r="L140" s="24"/>
      <c r="AK140" s="13" t="str">
        <f>+IF($B$3="esp","EBITDA Comparable","Comparable EBITDA")</f>
        <v>Comparable EBITDA</v>
      </c>
      <c r="AL140" s="13"/>
      <c r="AM140" s="14">
        <f>+[1]NOTICIAS!K98</f>
        <v>2.6728670159620003</v>
      </c>
      <c r="AN140" s="15">
        <f>+[1]NOTICIAS!L98</f>
        <v>0.51899427865412007</v>
      </c>
      <c r="AO140" s="16" t="str">
        <f t="shared" ref="AO140:AO145" si="55">IF(AN140=0,"---",IF(OR(ABS((AM140-AN140)/ABS(AN140))&gt;2,(AM140*AN140)&lt;0),"---",IF(AN140="0","---",((AM140-AN140)/ABS(AN140))*100)))</f>
        <v>---</v>
      </c>
      <c r="AQ140" s="14">
        <f>+[1]NOTICIAS!O98</f>
        <v>4.7567255617410904</v>
      </c>
      <c r="AR140" s="15">
        <f>+[1]NOTICIAS!P98</f>
        <v>1.8368348194535895</v>
      </c>
      <c r="AS140" s="16">
        <f t="shared" ref="AS140:AS143" si="56">IF(AR140=0,"---",IF(OR(ABS((AQ140-AR140)/ABS(AR140))&gt;2,(AQ140*AR140)&lt;0),"---",IF(AR140="0","---",((AQ140-AR140)/ABS(AR140))*100)))</f>
        <v>158.96316377300016</v>
      </c>
    </row>
    <row r="141" spans="4:56" ht="15" customHeight="1">
      <c r="D141" s="13" t="str">
        <f>+IF($B$3="esp","EBITDA Comparable","Comparable EBITDA")</f>
        <v>Comparable EBITDA</v>
      </c>
      <c r="E141" s="13"/>
      <c r="F141" s="14">
        <f>+[1]GRUPO!K182</f>
        <v>-6.5931033643465984</v>
      </c>
      <c r="G141" s="15">
        <f>+[1]GRUPO!L182</f>
        <v>-10.967105654747506</v>
      </c>
      <c r="H141" s="16">
        <f t="shared" ref="H141:H144" si="57">IF(G141=0,"---",IF(OR(ABS((F141-G141)/ABS(G141))&gt;2,(F141*G141)&lt;0),"---",IF(G141="0","---",((F141-G141)/ABS(G141))*100)))</f>
        <v>39.88292287954264</v>
      </c>
      <c r="J141" s="14">
        <f>+[1]GRUPO!O182</f>
        <v>-4.3800576972397458</v>
      </c>
      <c r="K141" s="15">
        <f>+[1]GRUPO!P182</f>
        <v>-5.8721359769035537</v>
      </c>
      <c r="L141" s="16">
        <f t="shared" ref="L141:L144" si="58">IF(K141=0,"---",IF(OR(ABS((J141-K141)/ABS(K141))&gt;2,(J141*K141)&lt;0),"---",IF(K141="0","---",((J141-K141)/ABS(K141))*100)))</f>
        <v>25.409464043961023</v>
      </c>
      <c r="AK141" s="21" t="str">
        <f>+IF($B$3="esp","Amortizaciones","Amortizations")</f>
        <v>Amortizations</v>
      </c>
      <c r="AM141" s="22">
        <f>+[1]NOTICIAS!K99</f>
        <v>3.9313289265874398</v>
      </c>
      <c r="AN141" s="23">
        <f>+[1]NOTICIAS!L99</f>
        <v>3.7386861334191588</v>
      </c>
      <c r="AO141" s="24">
        <f t="shared" si="55"/>
        <v>5.1526869679242768</v>
      </c>
      <c r="AQ141" s="22">
        <f>+[1]NOTICIAS!O99</f>
        <v>2.0155409114830598</v>
      </c>
      <c r="AR141" s="23">
        <f>+[1]NOTICIAS!P99</f>
        <v>1.9221315719657224</v>
      </c>
      <c r="AS141" s="24">
        <f t="shared" si="56"/>
        <v>4.8596745862620487</v>
      </c>
    </row>
    <row r="142" spans="4:56" ht="15" customHeight="1">
      <c r="D142" s="21" t="str">
        <f>+IF($B$3="esp","Amortizaciones","Amortizations")</f>
        <v>Amortizations</v>
      </c>
      <c r="F142" s="22">
        <f>+[1]GRUPO!K183</f>
        <v>1.599233778879416</v>
      </c>
      <c r="G142" s="23">
        <f>+[1]GRUPO!L183</f>
        <v>1.3066511762656212</v>
      </c>
      <c r="H142" s="24">
        <f t="shared" si="57"/>
        <v>22.39179116265667</v>
      </c>
      <c r="J142" s="22">
        <f>+[1]GRUPO!O183</f>
        <v>1.2645258488793227</v>
      </c>
      <c r="K142" s="23">
        <f>+[1]GRUPO!P183</f>
        <v>0.94653002460734692</v>
      </c>
      <c r="L142" s="24">
        <f t="shared" si="58"/>
        <v>33.595957445078554</v>
      </c>
      <c r="AK142" s="21" t="str">
        <f>+IF($B$3="esp","Pérdidas de inmovilizado","Impairment from fixed assets")</f>
        <v>Impairment from fixed assets</v>
      </c>
      <c r="AM142" s="22">
        <f>+[1]NOTICIAS!K100</f>
        <v>1.021405182655144E-14</v>
      </c>
      <c r="AN142" s="23">
        <f>+[1]NOTICIAS!L100</f>
        <v>0</v>
      </c>
      <c r="AO142" s="24" t="str">
        <f t="shared" si="55"/>
        <v>---</v>
      </c>
      <c r="AQ142" s="22">
        <f>+[1]NOTICIAS!O100</f>
        <v>2.042810365310288E-14</v>
      </c>
      <c r="AR142" s="23">
        <f>+[1]NOTICIAS!P100</f>
        <v>-2.886579864025407E-15</v>
      </c>
      <c r="AS142" s="24" t="str">
        <f t="shared" si="56"/>
        <v>---</v>
      </c>
    </row>
    <row r="143" spans="4:56" ht="15" customHeight="1">
      <c r="D143" s="21" t="str">
        <f>+IF($B$3="esp","Pérdidas de inmovilizado","Impairment from fixed assets")</f>
        <v>Impairment from fixed assets</v>
      </c>
      <c r="F143" s="22">
        <f>+[1]GRUPO!K184</f>
        <v>6.6302519030614349E-13</v>
      </c>
      <c r="G143" s="23">
        <f>+[1]GRUPO!L184</f>
        <v>0.10205510999962186</v>
      </c>
      <c r="H143" s="24">
        <f t="shared" si="57"/>
        <v>-99.999999999350337</v>
      </c>
      <c r="J143" s="22">
        <f>+[1]GRUPO!O184</f>
        <v>8.5087492607271997E-13</v>
      </c>
      <c r="K143" s="23">
        <f>+[1]GRUPO!P184</f>
        <v>0.10205510999952772</v>
      </c>
      <c r="L143" s="24">
        <f t="shared" si="58"/>
        <v>-99.999999999166249</v>
      </c>
      <c r="AK143" s="13" t="str">
        <f>+IF($B$3="esp","Resultado de Explotación Comparable","Comparable Operating Result")</f>
        <v>Comparable Operating Result</v>
      </c>
      <c r="AL143" s="13"/>
      <c r="AM143" s="14">
        <f>+[1]NOTICIAS!K101</f>
        <v>-1.2584619106254498</v>
      </c>
      <c r="AN143" s="15">
        <f>+[1]NOTICIAS!L101</f>
        <v>-3.2196918547650384</v>
      </c>
      <c r="AO143" s="16">
        <f t="shared" si="55"/>
        <v>60.913591505256406</v>
      </c>
      <c r="AQ143" s="14">
        <f>+[1]NOTICIAS!O101</f>
        <v>2.7411846502580102</v>
      </c>
      <c r="AR143" s="15">
        <f>+[1]NOTICIAS!P101</f>
        <v>-8.5296752512129537E-2</v>
      </c>
      <c r="AS143" s="16" t="str">
        <f t="shared" si="56"/>
        <v>---</v>
      </c>
    </row>
    <row r="144" spans="4:56" ht="15" customHeight="1">
      <c r="D144" s="13" t="str">
        <f>+IF($B$3="esp","Resultado de Explotación Comparable","Comparable Operating Result")</f>
        <v>Comparable Operating Result</v>
      </c>
      <c r="E144" s="13"/>
      <c r="F144" s="14">
        <f>+[1]GRUPO!K185</f>
        <v>-8.1923371432266769</v>
      </c>
      <c r="G144" s="15">
        <f>+[1]GRUPO!L185</f>
        <v>-12.375811941012749</v>
      </c>
      <c r="H144" s="16">
        <f t="shared" si="57"/>
        <v>33.803639047893661</v>
      </c>
      <c r="J144" s="14">
        <f>+[1]GRUPO!O185</f>
        <v>-5.644583546119919</v>
      </c>
      <c r="K144" s="15">
        <f>+[1]GRUPO!P185</f>
        <v>-6.9207211115104297</v>
      </c>
      <c r="L144" s="16">
        <f t="shared" si="58"/>
        <v>18.439372788307558</v>
      </c>
      <c r="AK144" s="21" t="str">
        <f>+IF($B$3="esp","Efecto NIIF16","IFRS16 Effect")</f>
        <v>IFRS16 Effect</v>
      </c>
      <c r="AM144" s="22"/>
      <c r="AN144" s="23">
        <f>+[1]NOTICIAS!L102</f>
        <v>-0.62051768695440179</v>
      </c>
      <c r="AO144" s="24"/>
      <c r="AQ144" s="22"/>
      <c r="AR144" s="23">
        <f>+[1]NOTICIAS!P102</f>
        <v>-0.31025884347720067</v>
      </c>
      <c r="AS144" s="24"/>
    </row>
    <row r="145" spans="4:57" ht="15" customHeight="1">
      <c r="D145" s="21" t="str">
        <f>+IF($A$1="esp","Sentencia Mediapro","Mediapro Rulling")</f>
        <v>Mediapro Rulling</v>
      </c>
      <c r="F145" s="22">
        <f>+[1]GRUPO!K186</f>
        <v>-6.6302519030614349E-13</v>
      </c>
      <c r="G145" s="23">
        <f>+[1]GRUPO!L186</f>
        <v>-0.10205510999962186</v>
      </c>
      <c r="H145" s="24"/>
      <c r="J145" s="22">
        <f>+[1]GRUPO!O186</f>
        <v>51.035825499999341</v>
      </c>
      <c r="K145" s="23">
        <f>+[1]GRUPO!P186</f>
        <v>-0.10205510999962186</v>
      </c>
      <c r="L145" s="24"/>
      <c r="AK145" s="13" t="str">
        <f>+IF($B$3="esp","EBIT Contable","Reported Operating Result")</f>
        <v>Reported Operating Result</v>
      </c>
      <c r="AL145" s="13"/>
      <c r="AM145" s="14">
        <f>+[1]NOTICIAS!K103</f>
        <v>-1.2584619106254498</v>
      </c>
      <c r="AN145" s="15">
        <f>+[1]NOTICIAS!L103</f>
        <v>-3.8402095417194402</v>
      </c>
      <c r="AO145" s="16">
        <f t="shared" si="55"/>
        <v>67.229342645141756</v>
      </c>
      <c r="AQ145" s="14">
        <f>+[1]NOTICIAS!O103</f>
        <v>2.7411846502580102</v>
      </c>
      <c r="AR145" s="15">
        <f>+[1]NOTICIAS!P103</f>
        <v>-0.39555559598933021</v>
      </c>
      <c r="AS145" s="16" t="str">
        <f t="shared" ref="AS145" si="59">IF(AR145=0,"---",IF(OR(ABS((AQ145-AR145)/ABS(AR145))&gt;2,(AQ145*AR145)&lt;0),"---",IF(AR145="0","---",((AQ145-AR145)/ABS(AR145))*100)))</f>
        <v>---</v>
      </c>
    </row>
    <row r="146" spans="4:57" ht="15" customHeight="1">
      <c r="D146" s="21" t="str">
        <f>+IF($B$3="esp","Efecto NIIF16","IFRS16 Effect")</f>
        <v>IFRS16 Effect</v>
      </c>
      <c r="F146" s="22">
        <f>+[1]GRUPO!K187</f>
        <v>0</v>
      </c>
      <c r="G146" s="23">
        <f>+[1]GRUPO!L187</f>
        <v>0</v>
      </c>
      <c r="H146" s="24"/>
      <c r="J146" s="22">
        <f>+[1]GRUPO!O187</f>
        <v>0</v>
      </c>
      <c r="K146" s="23">
        <f>+[1]GRUPO!P187</f>
        <v>3.0175289498421853E-2</v>
      </c>
      <c r="L146" s="24"/>
    </row>
    <row r="147" spans="4:57" ht="15" customHeight="1">
      <c r="D147" s="13" t="str">
        <f>+IF($B$3="esp","EBIT Contable","Reported Operating Result")</f>
        <v>Reported Operating Result</v>
      </c>
      <c r="E147" s="13"/>
      <c r="F147" s="14">
        <f>+[1]GRUPO!K188</f>
        <v>0</v>
      </c>
      <c r="G147" s="15">
        <f>+[1]GRUPO!L188</f>
        <v>0</v>
      </c>
      <c r="H147" s="16" t="str">
        <f>IF(G147=0,"---",IF(OR(ABS((F147-G147)/ABS(G147))&gt;2,(F147*G147)&lt;0),"---",IF(G147="0","---",((F147-G147)/ABS(G147))*100)))</f>
        <v>---</v>
      </c>
      <c r="J147" s="14">
        <f>+[1]GRUPO!O188</f>
        <v>53.583579097106764</v>
      </c>
      <c r="K147" s="15">
        <f>+[1]GRUPO!P188</f>
        <v>5.485266119000741</v>
      </c>
      <c r="L147" s="16" t="str">
        <f>IF(K147=0,"---",IF(OR(ABS((J147-K147)/ABS(K147))&gt;2,(J147*K147)&lt;0),"---",IF(K147="0","---",((J147-K147)/ABS(K147))*100)))</f>
        <v>---</v>
      </c>
    </row>
    <row r="148" spans="4:57" ht="15" customHeight="1"/>
    <row r="149" spans="4:57" ht="15" customHeight="1"/>
    <row r="150" spans="4:57" ht="15" customHeight="1"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</row>
    <row r="151" spans="4:57" ht="15" customHeight="1"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4:57" ht="15" customHeight="1">
      <c r="F152" s="7" t="str">
        <f>+F132</f>
        <v>JANUARY - MARCH</v>
      </c>
      <c r="G152" s="8"/>
      <c r="H152" s="8"/>
      <c r="J152" s="7" t="str">
        <f>+J132</f>
        <v>APRIL - JUNE</v>
      </c>
      <c r="K152" s="8"/>
      <c r="L152" s="8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4:57" ht="4.5" customHeight="1"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4:57" ht="15" customHeight="1">
      <c r="D154" s="9" t="str">
        <f>+IF($B$3="esp","Millones de €","€ Millions")</f>
        <v>€ Millions</v>
      </c>
      <c r="F154" s="10">
        <v>2019</v>
      </c>
      <c r="G154" s="10">
        <v>2018</v>
      </c>
      <c r="H154" s="10" t="s">
        <v>5</v>
      </c>
      <c r="J154" s="10">
        <v>2019</v>
      </c>
      <c r="K154" s="10">
        <v>2018</v>
      </c>
      <c r="L154" s="10" t="s">
        <v>5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4:57" ht="15" customHeight="1">
      <c r="D155" s="11" t="str">
        <f>+IF($B$3="esp","Ingresos de Explotación","Operating Revenues")</f>
        <v>Operating Revenues</v>
      </c>
      <c r="F155" s="12"/>
      <c r="G155" s="12"/>
      <c r="H155" s="12"/>
      <c r="J155" s="12"/>
      <c r="K155" s="12"/>
      <c r="L155" s="12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4:57" ht="15" customHeight="1">
      <c r="D156" s="13" t="str">
        <f>+IF($B$3="esp","GRUPO","GROUP")</f>
        <v>GROUP</v>
      </c>
      <c r="E156" s="13"/>
      <c r="F156" s="14">
        <f>+[1]GRUPO!K119</f>
        <v>571.93923066943307</v>
      </c>
      <c r="G156" s="15">
        <f>+[1]GRUPO!L119</f>
        <v>629.08382391468604</v>
      </c>
      <c r="H156" s="16">
        <f>IF(G156=0,"---",IF(OR(ABS((F156-G156)/ABS(G156))&gt;2,(F156*G156)&lt;0),"---",IF(G156="0","---",((F156-G156)/ABS(G156))*100)))</f>
        <v>-9.0837804236725521</v>
      </c>
      <c r="J156" s="14">
        <f>+[1]GRUPO!O119</f>
        <v>259.62101166994006</v>
      </c>
      <c r="K156" s="15">
        <f>+[1]GRUPO!P119</f>
        <v>308.08369879881002</v>
      </c>
      <c r="L156" s="16">
        <f>IF(K156=0,"---",IF(OR(ABS((J156-K156)/ABS(K156))&gt;2,(J156*K156)&lt;0),"---",IF(K156="0","---",((J156-K156)/ABS(K156))*100)))</f>
        <v>-15.730363962073135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4:57" s="13" customFormat="1" ht="15" customHeight="1">
      <c r="D157" s="21" t="str">
        <f>+IF($B$3="esp","Educación","Education")</f>
        <v>Education</v>
      </c>
      <c r="E157" s="1"/>
      <c r="F157" s="22">
        <f>+[1]GRUPO!K120</f>
        <v>255.97954345540199</v>
      </c>
      <c r="G157" s="23">
        <f>+[1]GRUPO!L120</f>
        <v>301.33518900438003</v>
      </c>
      <c r="H157" s="24">
        <f>IF(G157=0,"---",IF(OR(ABS((F157-G157)/ABS(G157))&gt;2,(F157*G157)&lt;0),"---",IF(G157="0","---",((F157-G157)/ABS(G157))*100)))</f>
        <v>-15.051559593432936</v>
      </c>
      <c r="J157" s="22">
        <f>+[1]GRUPO!O120</f>
        <v>87.063109187520013</v>
      </c>
      <c r="K157" s="23">
        <f>+[1]GRUPO!P120</f>
        <v>127.58727176125603</v>
      </c>
      <c r="L157" s="24">
        <f>IF(K157=0,"---",IF(OR(ABS((J157-K157)/ABS(K157))&gt;2,(J157*K157)&lt;0),"---",IF(K157="0","---",((J157-K157)/ABS(K157))*100)))</f>
        <v>-31.761916384234379</v>
      </c>
    </row>
    <row r="158" spans="4:57" ht="15" customHeight="1">
      <c r="D158" s="21" t="str">
        <f>+IF($B$3="esp","Radio","Radio")</f>
        <v>Radio</v>
      </c>
      <c r="F158" s="22">
        <f>+[1]GRUPO!K121</f>
        <v>134.50011651550599</v>
      </c>
      <c r="G158" s="23">
        <f>+[1]GRUPO!L121</f>
        <v>135.97658028720701</v>
      </c>
      <c r="H158" s="24">
        <f t="shared" ref="H158:H161" si="60">IF(G158=0,"---",IF(OR(ABS((F158-G158)/ABS(G158))&gt;2,(F158*G158)&lt;0),"---",IF(G158="0","---",((F158-G158)/ABS(G158))*100)))</f>
        <v>-1.0858221089120368</v>
      </c>
      <c r="J158" s="22">
        <f>+[1]GRUPO!O121</f>
        <v>74.439254966843492</v>
      </c>
      <c r="K158" s="23">
        <f>+[1]GRUPO!P121</f>
        <v>77.144301663427811</v>
      </c>
      <c r="L158" s="24">
        <f t="shared" ref="L158:L161" si="61">IF(K158=0,"---",IF(OR(ABS((J158-K158)/ABS(K158))&gt;2,(J158*K158)&lt;0),"---",IF(K158="0","---",((J158-K158)/ABS(K158))*100)))</f>
        <v>-3.5064763543860211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4:57" ht="15" customHeight="1">
      <c r="D159" s="21" t="str">
        <f>+IF($B$3="esp","Prensa Total - incluye PBS y Tecnología","Press Total - includes PBS&amp;IT")</f>
        <v>Press Total - includes PBS&amp;IT</v>
      </c>
      <c r="F159" s="22">
        <f>+[1]GRUPO!K122</f>
        <v>104.53132133614</v>
      </c>
      <c r="G159" s="23">
        <f>+[1]GRUPO!L122</f>
        <v>109.560748706683</v>
      </c>
      <c r="H159" s="24">
        <f t="shared" si="60"/>
        <v>-4.5905376057695912</v>
      </c>
      <c r="J159" s="22">
        <f>+[1]GRUPO!O122</f>
        <v>55.473781448534794</v>
      </c>
      <c r="K159" s="23">
        <f>+[1]GRUPO!P122</f>
        <v>58.439421658123301</v>
      </c>
      <c r="L159" s="24">
        <f t="shared" si="61"/>
        <v>-5.0747254600461495</v>
      </c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4:57" s="13" customFormat="1" ht="15" customHeight="1">
      <c r="D160" s="21" t="str">
        <f>+IF($B$3="esp","Media Capital","Media Capital")</f>
        <v>Media Capital</v>
      </c>
      <c r="E160" s="1"/>
      <c r="F160" s="22">
        <f>+[1]GRUPO!K124</f>
        <v>86.382826129999998</v>
      </c>
      <c r="G160" s="23">
        <f>+[1]GRUPO!L124</f>
        <v>86.875861970000003</v>
      </c>
      <c r="H160" s="24">
        <f t="shared" si="60"/>
        <v>-0.5675176381792445</v>
      </c>
      <c r="I160" s="1"/>
      <c r="J160" s="22">
        <f>+[1]GRUPO!O124</f>
        <v>47.075622589999995</v>
      </c>
      <c r="K160" s="23">
        <f>+[1]GRUPO!P124</f>
        <v>48.148876989999998</v>
      </c>
      <c r="L160" s="24">
        <f t="shared" si="61"/>
        <v>-2.2290330888151488</v>
      </c>
    </row>
    <row r="161" spans="4:23" ht="15" customHeight="1">
      <c r="D161" s="21" t="str">
        <f>+IF($B$3="esp","Otros","Others")</f>
        <v>Others</v>
      </c>
      <c r="F161" s="22">
        <f>+[1]GRUPO!K125</f>
        <v>-9.4545767676149097</v>
      </c>
      <c r="G161" s="23">
        <f>+[1]GRUPO!L125</f>
        <v>-4.6645560535840076</v>
      </c>
      <c r="H161" s="24">
        <f t="shared" si="60"/>
        <v>-102.68974494047495</v>
      </c>
      <c r="J161" s="22">
        <f>+[1]GRUPO!O125</f>
        <v>-4.4307565229582337</v>
      </c>
      <c r="K161" s="23">
        <f>+[1]GRUPO!P125</f>
        <v>-3.2361732739971245</v>
      </c>
      <c r="L161" s="24">
        <f t="shared" si="61"/>
        <v>-36.913451407551875</v>
      </c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4:23" ht="15" customHeight="1">
      <c r="D162" s="21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4:23" ht="15" customHeight="1">
      <c r="D163" s="21"/>
      <c r="F163" s="23"/>
      <c r="G163" s="23"/>
      <c r="H163" s="24"/>
      <c r="I163" s="13"/>
      <c r="J163" s="23"/>
      <c r="K163" s="23"/>
      <c r="L163" s="24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4:23" s="13" customFormat="1" ht="4.5" customHeight="1">
      <c r="D164" s="21"/>
      <c r="E164" s="1"/>
      <c r="F164" s="23"/>
      <c r="G164" s="23"/>
      <c r="H164" s="24"/>
      <c r="I164" s="1"/>
      <c r="J164" s="23"/>
      <c r="K164" s="23"/>
      <c r="L164" s="24"/>
    </row>
    <row r="165" spans="4:23" ht="15" customHeight="1"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4:23" ht="15" customHeight="1">
      <c r="F166" s="7" t="str">
        <f>+F152</f>
        <v>JANUARY - MARCH</v>
      </c>
      <c r="G166" s="8"/>
      <c r="H166" s="8"/>
      <c r="J166" s="7" t="str">
        <f>+J152</f>
        <v>APRIL - JUNE</v>
      </c>
      <c r="K166" s="8"/>
      <c r="L166" s="8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4:23" ht="15" customHeight="1">
      <c r="I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4:23" ht="15" customHeight="1">
      <c r="D168" s="9" t="str">
        <f>+IF($B$3="esp","Millones de €","€ Millions")</f>
        <v>€ Millions</v>
      </c>
      <c r="F168" s="10">
        <v>2019</v>
      </c>
      <c r="G168" s="10">
        <v>2018</v>
      </c>
      <c r="H168" s="10" t="s">
        <v>5</v>
      </c>
      <c r="J168" s="10">
        <v>2019</v>
      </c>
      <c r="K168" s="10">
        <v>2018</v>
      </c>
      <c r="L168" s="10" t="s">
        <v>5</v>
      </c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4:23" ht="15" customHeight="1">
      <c r="D169" s="11" t="str">
        <f>+IF($B$3="esp","EBITDA Comparable","Comparable EBITDA")</f>
        <v>Comparable EBITDA</v>
      </c>
      <c r="F169" s="12"/>
      <c r="G169" s="12"/>
      <c r="H169" s="12"/>
      <c r="J169" s="12"/>
      <c r="K169" s="12"/>
      <c r="L169" s="12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4:23" ht="15" customHeight="1">
      <c r="D170" s="13" t="str">
        <f>+IF($B$3="esp","GRUPO","GROUP")</f>
        <v>GROUP</v>
      </c>
      <c r="E170" s="13"/>
      <c r="F170" s="14">
        <f>+[1]GRUPO!K131</f>
        <v>100.3186678614435</v>
      </c>
      <c r="G170" s="15">
        <f>+[1]GRUPO!L131</f>
        <v>128.31755554874303</v>
      </c>
      <c r="H170" s="16">
        <f>IF(G170=0,"---",IF(OR(ABS((F170-G170)/ABS(G170))&gt;2,(F170*G170)&lt;0),"---",IF(G170="0","---",((F170-G170)/ABS(G170))*100)))</f>
        <v>-21.819997713924501</v>
      </c>
      <c r="J170" s="14">
        <f>+[1]GRUPO!O131</f>
        <v>30.308793222486813</v>
      </c>
      <c r="K170" s="15">
        <f>+[1]GRUPO!P131</f>
        <v>56.728480135296067</v>
      </c>
      <c r="L170" s="16">
        <f>IF(K170=0,"---",IF(OR(ABS((J170-K170)/ABS(K170))&gt;2,(J170*K170)&lt;0),"---",IF(K170="0","---",((J170-K170)/ABS(K170))*100)))</f>
        <v>-46.572174769708148</v>
      </c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4:23" s="13" customFormat="1" ht="15" customHeight="1">
      <c r="D171" s="21" t="str">
        <f>+IF($B$3="esp","Educación","Education")</f>
        <v>Education</v>
      </c>
      <c r="E171" s="1"/>
      <c r="F171" s="22">
        <f>+[1]GRUPO!K132</f>
        <v>61.852473497649299</v>
      </c>
      <c r="G171" s="23">
        <f>+[1]GRUPO!L132</f>
        <v>91.016425253944718</v>
      </c>
      <c r="H171" s="24">
        <f t="shared" ref="H171:H175" si="62">IF(G171=0,"---",IF(OR(ABS((F171-G171)/ABS(G171))&gt;2,(F171*G171)&lt;0),"---",IF(G171="0","---",((F171-G171)/ABS(G171))*100)))</f>
        <v>-32.042515045965764</v>
      </c>
      <c r="I171" s="1"/>
      <c r="J171" s="22">
        <f>+[1]GRUPO!O132</f>
        <v>-4.3939976968485013</v>
      </c>
      <c r="K171" s="23">
        <f>+[1]GRUPO!P132</f>
        <v>22.768506068664394</v>
      </c>
      <c r="L171" s="24" t="str">
        <f t="shared" ref="L171:L175" si="63">IF(K171=0,"---",IF(OR(ABS((J171-K171)/ABS(K171))&gt;2,(J171*K171)&lt;0),"---",IF(K171="0","---",((J171-K171)/ABS(K171))*100)))</f>
        <v>---</v>
      </c>
    </row>
    <row r="172" spans="4:23" ht="15" customHeight="1">
      <c r="D172" s="21" t="str">
        <f>+IF($B$3="esp","Radio","Radio")</f>
        <v>Radio</v>
      </c>
      <c r="F172" s="22">
        <f>+[1]GRUPO!K133</f>
        <v>28.1451873792942</v>
      </c>
      <c r="G172" s="23">
        <f>+[1]GRUPO!L133</f>
        <v>27.143099316740599</v>
      </c>
      <c r="H172" s="24">
        <f t="shared" si="62"/>
        <v>3.6918704487647029</v>
      </c>
      <c r="J172" s="22">
        <f>+[1]GRUPO!O133</f>
        <v>20.100309360086811</v>
      </c>
      <c r="K172" s="23">
        <f>+[1]GRUPO!P133</f>
        <v>21.419524873827427</v>
      </c>
      <c r="L172" s="24">
        <f t="shared" si="63"/>
        <v>-6.1589391992189748</v>
      </c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4:23" s="13" customFormat="1" ht="15" customHeight="1">
      <c r="D173" s="21" t="str">
        <f>+IF($B$3="esp","Prensa Total - incluye PBS y Tecnología","Press Total - includes PBS&amp;IT")</f>
        <v>Press Total - includes PBS&amp;IT</v>
      </c>
      <c r="E173" s="1"/>
      <c r="F173" s="22">
        <f>+[1]GRUPO!K134</f>
        <v>1.64478109274442</v>
      </c>
      <c r="G173" s="23">
        <f>+[1]GRUPO!L134</f>
        <v>-1.9754900305188399</v>
      </c>
      <c r="H173" s="24" t="str">
        <f t="shared" si="62"/>
        <v>---</v>
      </c>
      <c r="I173" s="1"/>
      <c r="J173" s="22">
        <f>+[1]GRUPO!O134</f>
        <v>4.7164915282073903</v>
      </c>
      <c r="K173" s="23">
        <f>+[1]GRUPO!P134</f>
        <v>1.1009490091024603</v>
      </c>
      <c r="L173" s="24" t="str">
        <f t="shared" si="63"/>
        <v>---</v>
      </c>
    </row>
    <row r="174" spans="4:23" ht="15" customHeight="1">
      <c r="D174" s="21" t="str">
        <f>+IF($B$3="esp","Media Capital","Media Capital")</f>
        <v>Media Capital</v>
      </c>
      <c r="F174" s="22">
        <f>+[1]GRUPO!K136</f>
        <v>14.241243332884601</v>
      </c>
      <c r="G174" s="23">
        <f>+[1]GRUPO!L136</f>
        <v>20.6061423541511</v>
      </c>
      <c r="H174" s="24">
        <f t="shared" si="62"/>
        <v>-30.888358004497103</v>
      </c>
      <c r="J174" s="22">
        <f>+[1]GRUPO!O136</f>
        <v>13.23796180506328</v>
      </c>
      <c r="K174" s="23">
        <f>+[1]GRUPO!P136</f>
        <v>14.817151851432378</v>
      </c>
      <c r="L174" s="24">
        <f t="shared" si="63"/>
        <v>-10.657851537213185</v>
      </c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4:23" ht="15" customHeight="1">
      <c r="D175" s="21" t="str">
        <f>+IF($B$3="esp","Otros","Others")</f>
        <v>Others</v>
      </c>
      <c r="F175" s="22">
        <f>+[1]GRUPO!K137</f>
        <v>-5.5650174411290187</v>
      </c>
      <c r="G175" s="23">
        <f>+[1]GRUPO!L137</f>
        <v>-8.4726213455745469</v>
      </c>
      <c r="H175" s="24">
        <f t="shared" si="62"/>
        <v>34.31764250817416</v>
      </c>
      <c r="J175" s="22">
        <f>+[1]GRUPO!O137</f>
        <v>-3.3519717740221662</v>
      </c>
      <c r="K175" s="23">
        <f>+[1]GRUPO!P137</f>
        <v>-3.3776516677305946</v>
      </c>
      <c r="L175" s="24">
        <f t="shared" si="63"/>
        <v>0.76028839663275305</v>
      </c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4:23" ht="15" customHeight="1">
      <c r="D176" s="21"/>
      <c r="F176" s="23"/>
      <c r="G176" s="23"/>
      <c r="H176" s="24"/>
      <c r="J176" s="23"/>
      <c r="K176" s="23"/>
      <c r="L176" s="24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4:23" s="13" customFormat="1" ht="15" customHeight="1">
      <c r="D177" s="21"/>
      <c r="E177" s="1"/>
      <c r="F177" s="23"/>
      <c r="G177" s="23"/>
      <c r="H177" s="24"/>
      <c r="J177" s="23"/>
      <c r="K177" s="23"/>
      <c r="L177" s="24"/>
    </row>
    <row r="178" spans="4:23" ht="15" customHeight="1">
      <c r="D178" s="21"/>
      <c r="F178" s="23"/>
      <c r="G178" s="23"/>
      <c r="H178" s="24"/>
      <c r="J178" s="23"/>
      <c r="K178" s="23"/>
      <c r="L178" s="24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4:23" ht="15" customHeight="1"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4:23" ht="15" customHeight="1"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4:23" ht="15" customHeight="1"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4:23" ht="15" customHeight="1"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4:23" ht="15" customHeight="1"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4:23" ht="15" customHeight="1"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4:23" ht="15" customHeight="1"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4:23" ht="15" customHeight="1"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4:23" ht="15" customHeight="1"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4:23" ht="15" customHeight="1"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4:23" ht="15" customHeight="1"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4:23" ht="15" customHeight="1">
      <c r="O190" s="21"/>
      <c r="Q190" s="23"/>
      <c r="R190" s="23"/>
      <c r="S190" s="24"/>
      <c r="U190" s="23"/>
      <c r="V190" s="23"/>
      <c r="W190" s="24"/>
    </row>
    <row r="191" spans="4:23" ht="15" customHeight="1"/>
    <row r="192" spans="4:23" ht="15" customHeight="1"/>
    <row r="193" spans="15:23" ht="15" customHeight="1"/>
    <row r="194" spans="15:23" ht="15" customHeight="1"/>
    <row r="195" spans="15:23" ht="15" customHeight="1"/>
    <row r="196" spans="15:23" ht="15" customHeight="1">
      <c r="O196" s="21"/>
      <c r="Q196" s="23"/>
      <c r="R196" s="23"/>
      <c r="S196" s="24"/>
      <c r="U196" s="23"/>
      <c r="V196" s="23"/>
      <c r="W196" s="24"/>
    </row>
  </sheetData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cp:lastPrinted>2019-07-30T10:48:53Z</cp:lastPrinted>
  <dcterms:created xsi:type="dcterms:W3CDTF">2019-07-30T09:25:03Z</dcterms:created>
  <dcterms:modified xsi:type="dcterms:W3CDTF">2019-07-30T10:49:23Z</dcterms:modified>
</cp:coreProperties>
</file>