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LACIÓN CON INVERSORES\NEW\RESULTS\2019\3T\DEF\"/>
    </mc:Choice>
  </mc:AlternateContent>
  <xr:revisionPtr revIDLastSave="0" documentId="8_{FC002566-E960-4467-8B4F-C37ADC94A517}" xr6:coauthVersionLast="45" xr6:coauthVersionMax="45" xr10:uidLastSave="{00000000-0000-0000-0000-000000000000}"/>
  <bookViews>
    <workbookView xWindow="-120" yWindow="-120" windowWidth="29040" windowHeight="15840" xr2:uid="{F04F7EF2-9BB2-4F1B-A78C-7379BD310BC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4" i="1" l="1"/>
  <c r="L174" i="1" s="1"/>
  <c r="J174" i="1"/>
  <c r="G174" i="1"/>
  <c r="F174" i="1"/>
  <c r="D174" i="1"/>
  <c r="L173" i="1"/>
  <c r="K173" i="1"/>
  <c r="J173" i="1"/>
  <c r="G173" i="1"/>
  <c r="F173" i="1"/>
  <c r="H173" i="1" s="1"/>
  <c r="D173" i="1"/>
  <c r="K172" i="1"/>
  <c r="L172" i="1" s="1"/>
  <c r="J172" i="1"/>
  <c r="G172" i="1"/>
  <c r="H172" i="1" s="1"/>
  <c r="F172" i="1"/>
  <c r="D172" i="1"/>
  <c r="L171" i="1"/>
  <c r="K171" i="1"/>
  <c r="J171" i="1"/>
  <c r="G171" i="1"/>
  <c r="H171" i="1" s="1"/>
  <c r="F171" i="1"/>
  <c r="D171" i="1"/>
  <c r="K170" i="1"/>
  <c r="L170" i="1" s="1"/>
  <c r="J170" i="1"/>
  <c r="H170" i="1"/>
  <c r="G170" i="1"/>
  <c r="F170" i="1"/>
  <c r="D170" i="1"/>
  <c r="D169" i="1"/>
  <c r="D168" i="1"/>
  <c r="L160" i="1"/>
  <c r="K160" i="1"/>
  <c r="J160" i="1"/>
  <c r="G160" i="1"/>
  <c r="F160" i="1"/>
  <c r="H160" i="1" s="1"/>
  <c r="D160" i="1"/>
  <c r="L159" i="1"/>
  <c r="K159" i="1"/>
  <c r="J159" i="1"/>
  <c r="G159" i="1"/>
  <c r="H159" i="1" s="1"/>
  <c r="F159" i="1"/>
  <c r="D159" i="1"/>
  <c r="K158" i="1"/>
  <c r="L158" i="1" s="1"/>
  <c r="J158" i="1"/>
  <c r="G158" i="1"/>
  <c r="H158" i="1" s="1"/>
  <c r="F158" i="1"/>
  <c r="D158" i="1"/>
  <c r="K157" i="1"/>
  <c r="J157" i="1"/>
  <c r="H157" i="1"/>
  <c r="G157" i="1"/>
  <c r="F157" i="1"/>
  <c r="D157" i="1"/>
  <c r="K156" i="1"/>
  <c r="L156" i="1" s="1"/>
  <c r="J156" i="1"/>
  <c r="G156" i="1"/>
  <c r="H156" i="1" s="1"/>
  <c r="F156" i="1"/>
  <c r="D156" i="1"/>
  <c r="D155" i="1"/>
  <c r="D154" i="1"/>
  <c r="L147" i="1"/>
  <c r="K147" i="1"/>
  <c r="J147" i="1"/>
  <c r="G147" i="1"/>
  <c r="H147" i="1" s="1"/>
  <c r="F147" i="1"/>
  <c r="D147" i="1"/>
  <c r="K146" i="1"/>
  <c r="J146" i="1"/>
  <c r="G146" i="1"/>
  <c r="F146" i="1"/>
  <c r="D146" i="1"/>
  <c r="AR145" i="1"/>
  <c r="AQ145" i="1"/>
  <c r="AS145" i="1" s="1"/>
  <c r="AO145" i="1"/>
  <c r="AN145" i="1"/>
  <c r="AM145" i="1"/>
  <c r="AK145" i="1"/>
  <c r="K145" i="1"/>
  <c r="J145" i="1"/>
  <c r="G145" i="1"/>
  <c r="F145" i="1"/>
  <c r="D145" i="1"/>
  <c r="AR144" i="1"/>
  <c r="AN144" i="1"/>
  <c r="AK144" i="1"/>
  <c r="K144" i="1"/>
  <c r="L144" i="1" s="1"/>
  <c r="J144" i="1"/>
  <c r="G144" i="1"/>
  <c r="F144" i="1"/>
  <c r="D144" i="1"/>
  <c r="AR143" i="1"/>
  <c r="AS143" i="1" s="1"/>
  <c r="AQ143" i="1"/>
  <c r="AN143" i="1"/>
  <c r="AO143" i="1" s="1"/>
  <c r="AM143" i="1"/>
  <c r="AK143" i="1"/>
  <c r="L143" i="1"/>
  <c r="K143" i="1"/>
  <c r="J143" i="1"/>
  <c r="G143" i="1"/>
  <c r="F143" i="1"/>
  <c r="H143" i="1" s="1"/>
  <c r="D143" i="1"/>
  <c r="AR142" i="1"/>
  <c r="AS142" i="1" s="1"/>
  <c r="AQ142" i="1"/>
  <c r="AN142" i="1"/>
  <c r="AO142" i="1" s="1"/>
  <c r="AM142" i="1"/>
  <c r="AK142" i="1"/>
  <c r="L142" i="1"/>
  <c r="K142" i="1"/>
  <c r="J142" i="1"/>
  <c r="G142" i="1"/>
  <c r="H142" i="1" s="1"/>
  <c r="F142" i="1"/>
  <c r="D142" i="1"/>
  <c r="AR141" i="1"/>
  <c r="AS141" i="1" s="1"/>
  <c r="AQ141" i="1"/>
  <c r="AO141" i="1"/>
  <c r="AN141" i="1"/>
  <c r="AM141" i="1"/>
  <c r="AK141" i="1"/>
  <c r="K141" i="1"/>
  <c r="J141" i="1"/>
  <c r="H141" i="1"/>
  <c r="G141" i="1"/>
  <c r="F141" i="1"/>
  <c r="D141" i="1"/>
  <c r="AR140" i="1"/>
  <c r="AQ140" i="1"/>
  <c r="AS140" i="1" s="1"/>
  <c r="AN140" i="1"/>
  <c r="AO140" i="1" s="1"/>
  <c r="AM140" i="1"/>
  <c r="AK140" i="1"/>
  <c r="K140" i="1"/>
  <c r="J140" i="1"/>
  <c r="G140" i="1"/>
  <c r="F140" i="1"/>
  <c r="D140" i="1"/>
  <c r="AR139" i="1"/>
  <c r="AN139" i="1"/>
  <c r="AK139" i="1"/>
  <c r="K139" i="1"/>
  <c r="J139" i="1"/>
  <c r="G139" i="1"/>
  <c r="F139" i="1"/>
  <c r="D139" i="1"/>
  <c r="AR138" i="1"/>
  <c r="AS138" i="1" s="1"/>
  <c r="AQ138" i="1"/>
  <c r="AN138" i="1"/>
  <c r="AO138" i="1" s="1"/>
  <c r="AM138" i="1"/>
  <c r="AK138" i="1"/>
  <c r="K138" i="1"/>
  <c r="L138" i="1" s="1"/>
  <c r="J138" i="1"/>
  <c r="G138" i="1"/>
  <c r="F138" i="1"/>
  <c r="H138" i="1" s="1"/>
  <c r="D138" i="1"/>
  <c r="AR137" i="1"/>
  <c r="AN137" i="1"/>
  <c r="AK137" i="1"/>
  <c r="K137" i="1"/>
  <c r="G137" i="1"/>
  <c r="D137" i="1"/>
  <c r="AS136" i="1"/>
  <c r="AR136" i="1"/>
  <c r="AN136" i="1"/>
  <c r="AO136" i="1" s="1"/>
  <c r="AK136" i="1"/>
  <c r="K136" i="1"/>
  <c r="G136" i="1"/>
  <c r="D136" i="1"/>
  <c r="AS134" i="1"/>
  <c r="AO134" i="1"/>
  <c r="AK134" i="1"/>
  <c r="D134" i="1"/>
  <c r="AK132" i="1"/>
  <c r="AR129" i="1"/>
  <c r="AQ129" i="1"/>
  <c r="AN129" i="1"/>
  <c r="AO129" i="1" s="1"/>
  <c r="AM129" i="1"/>
  <c r="AK129" i="1"/>
  <c r="AH129" i="1"/>
  <c r="AG129" i="1"/>
  <c r="AF129" i="1"/>
  <c r="AD129" i="1"/>
  <c r="AC129" i="1"/>
  <c r="AB129" i="1"/>
  <c r="Z129" i="1"/>
  <c r="V129" i="1"/>
  <c r="W129" i="1" s="1"/>
  <c r="U129" i="1"/>
  <c r="R129" i="1"/>
  <c r="Q129" i="1"/>
  <c r="O129" i="1"/>
  <c r="K129" i="1"/>
  <c r="L129" i="1" s="1"/>
  <c r="J129" i="1"/>
  <c r="G129" i="1"/>
  <c r="H129" i="1" s="1"/>
  <c r="F129" i="1"/>
  <c r="D129" i="1"/>
  <c r="AR128" i="1"/>
  <c r="AN128" i="1"/>
  <c r="AK128" i="1"/>
  <c r="AH128" i="1"/>
  <c r="AG128" i="1"/>
  <c r="AC128" i="1"/>
  <c r="AD128" i="1" s="1"/>
  <c r="Z128" i="1"/>
  <c r="V128" i="1"/>
  <c r="R128" i="1"/>
  <c r="O128" i="1"/>
  <c r="K128" i="1"/>
  <c r="J128" i="1"/>
  <c r="G128" i="1"/>
  <c r="F128" i="1"/>
  <c r="D128" i="1"/>
  <c r="K127" i="1"/>
  <c r="J127" i="1"/>
  <c r="G127" i="1"/>
  <c r="F127" i="1"/>
  <c r="D127" i="1"/>
  <c r="AR126" i="1"/>
  <c r="AQ126" i="1"/>
  <c r="AO126" i="1"/>
  <c r="AN126" i="1"/>
  <c r="AM126" i="1"/>
  <c r="AK126" i="1"/>
  <c r="AG126" i="1"/>
  <c r="AH126" i="1" s="1"/>
  <c r="AF126" i="1"/>
  <c r="AC126" i="1"/>
  <c r="AD126" i="1" s="1"/>
  <c r="AB126" i="1"/>
  <c r="Z126" i="1"/>
  <c r="W126" i="1"/>
  <c r="V126" i="1"/>
  <c r="U126" i="1"/>
  <c r="R126" i="1"/>
  <c r="S126" i="1" s="1"/>
  <c r="Q126" i="1"/>
  <c r="O126" i="1"/>
  <c r="K126" i="1"/>
  <c r="L126" i="1" s="1"/>
  <c r="J126" i="1"/>
  <c r="G126" i="1"/>
  <c r="F126" i="1"/>
  <c r="D126" i="1"/>
  <c r="AR125" i="1"/>
  <c r="AS125" i="1" s="1"/>
  <c r="AQ125" i="1"/>
  <c r="AN125" i="1"/>
  <c r="AM125" i="1"/>
  <c r="AK125" i="1"/>
  <c r="AH125" i="1"/>
  <c r="AG125" i="1"/>
  <c r="AF125" i="1"/>
  <c r="AD125" i="1"/>
  <c r="AC125" i="1"/>
  <c r="AB125" i="1"/>
  <c r="Z125" i="1"/>
  <c r="V125" i="1"/>
  <c r="W125" i="1" s="1"/>
  <c r="U125" i="1"/>
  <c r="R125" i="1"/>
  <c r="S125" i="1" s="1"/>
  <c r="Q125" i="1"/>
  <c r="O125" i="1"/>
  <c r="K125" i="1"/>
  <c r="L125" i="1" s="1"/>
  <c r="J125" i="1"/>
  <c r="G125" i="1"/>
  <c r="H125" i="1" s="1"/>
  <c r="F125" i="1"/>
  <c r="D125" i="1"/>
  <c r="AR124" i="1"/>
  <c r="AQ124" i="1"/>
  <c r="AO124" i="1"/>
  <c r="AN124" i="1"/>
  <c r="AM124" i="1"/>
  <c r="AK124" i="1"/>
  <c r="AG124" i="1"/>
  <c r="AH124" i="1" s="1"/>
  <c r="AF124" i="1"/>
  <c r="AC124" i="1"/>
  <c r="AD124" i="1" s="1"/>
  <c r="AB124" i="1"/>
  <c r="Z124" i="1"/>
  <c r="W124" i="1"/>
  <c r="V124" i="1"/>
  <c r="U124" i="1"/>
  <c r="R124" i="1"/>
  <c r="S124" i="1" s="1"/>
  <c r="Q124" i="1"/>
  <c r="O124" i="1"/>
  <c r="K124" i="1"/>
  <c r="L124" i="1" s="1"/>
  <c r="J124" i="1"/>
  <c r="G124" i="1"/>
  <c r="F124" i="1"/>
  <c r="D124" i="1"/>
  <c r="AR123" i="1"/>
  <c r="AQ123" i="1"/>
  <c r="AS123" i="1" s="1"/>
  <c r="AN123" i="1"/>
  <c r="AM123" i="1"/>
  <c r="AK123" i="1"/>
  <c r="AH123" i="1"/>
  <c r="AG123" i="1"/>
  <c r="AF123" i="1"/>
  <c r="AD123" i="1"/>
  <c r="AC123" i="1"/>
  <c r="AB123" i="1"/>
  <c r="Z123" i="1"/>
  <c r="V123" i="1"/>
  <c r="W123" i="1" s="1"/>
  <c r="U123" i="1"/>
  <c r="R123" i="1"/>
  <c r="S123" i="1" s="1"/>
  <c r="Q123" i="1"/>
  <c r="O123" i="1"/>
  <c r="K123" i="1"/>
  <c r="L123" i="1" s="1"/>
  <c r="J123" i="1"/>
  <c r="G123" i="1"/>
  <c r="H123" i="1" s="1"/>
  <c r="F123" i="1"/>
  <c r="D123" i="1"/>
  <c r="AR122" i="1"/>
  <c r="AN122" i="1"/>
  <c r="AK122" i="1"/>
  <c r="AG122" i="1"/>
  <c r="AC122" i="1"/>
  <c r="Z122" i="1"/>
  <c r="V122" i="1"/>
  <c r="R122" i="1"/>
  <c r="O122" i="1"/>
  <c r="K122" i="1"/>
  <c r="J122" i="1"/>
  <c r="G122" i="1"/>
  <c r="F122" i="1"/>
  <c r="D122" i="1"/>
  <c r="K121" i="1"/>
  <c r="J121" i="1"/>
  <c r="G121" i="1"/>
  <c r="F121" i="1"/>
  <c r="D121" i="1"/>
  <c r="AS120" i="1"/>
  <c r="AR120" i="1"/>
  <c r="AQ120" i="1"/>
  <c r="AO120" i="1"/>
  <c r="AN120" i="1"/>
  <c r="AM120" i="1"/>
  <c r="AK120" i="1"/>
  <c r="AG120" i="1"/>
  <c r="AH120" i="1" s="1"/>
  <c r="AF120" i="1"/>
  <c r="AC120" i="1"/>
  <c r="AD120" i="1" s="1"/>
  <c r="AB120" i="1"/>
  <c r="Z120" i="1"/>
  <c r="V120" i="1"/>
  <c r="W120" i="1" s="1"/>
  <c r="U120" i="1"/>
  <c r="R120" i="1"/>
  <c r="S120" i="1" s="1"/>
  <c r="Q120" i="1"/>
  <c r="O120" i="1"/>
  <c r="K120" i="1"/>
  <c r="L120" i="1" s="1"/>
  <c r="J120" i="1"/>
  <c r="H120" i="1"/>
  <c r="G120" i="1"/>
  <c r="F120" i="1"/>
  <c r="D120" i="1"/>
  <c r="AR119" i="1"/>
  <c r="AN119" i="1"/>
  <c r="AK119" i="1"/>
  <c r="AG119" i="1"/>
  <c r="AC119" i="1"/>
  <c r="Z119" i="1"/>
  <c r="V119" i="1"/>
  <c r="R119" i="1"/>
  <c r="O119" i="1"/>
  <c r="K119" i="1"/>
  <c r="G119" i="1"/>
  <c r="D119" i="1"/>
  <c r="AS118" i="1"/>
  <c r="AR118" i="1"/>
  <c r="AN118" i="1"/>
  <c r="AO118" i="1" s="1"/>
  <c r="AK118" i="1"/>
  <c r="AG118" i="1"/>
  <c r="AC118" i="1"/>
  <c r="Z118" i="1"/>
  <c r="W118" i="1"/>
  <c r="V118" i="1"/>
  <c r="R118" i="1"/>
  <c r="S118" i="1" s="1"/>
  <c r="O118" i="1"/>
  <c r="K118" i="1"/>
  <c r="G118" i="1"/>
  <c r="D118" i="1"/>
  <c r="AS116" i="1"/>
  <c r="AO116" i="1"/>
  <c r="AK116" i="1"/>
  <c r="Z116" i="1"/>
  <c r="O116" i="1"/>
  <c r="D116" i="1"/>
  <c r="AM114" i="1"/>
  <c r="AM132" i="1" s="1"/>
  <c r="AK114" i="1"/>
  <c r="Z114" i="1"/>
  <c r="O114" i="1"/>
  <c r="D114" i="1"/>
  <c r="AR103" i="1"/>
  <c r="AS103" i="1" s="1"/>
  <c r="AQ103" i="1"/>
  <c r="AN103" i="1"/>
  <c r="AM103" i="1"/>
  <c r="AM102" i="1" s="1"/>
  <c r="AK103" i="1"/>
  <c r="AH103" i="1"/>
  <c r="AG103" i="1"/>
  <c r="AF103" i="1"/>
  <c r="AC103" i="1"/>
  <c r="AC102" i="1" s="1"/>
  <c r="AC99" i="1" s="1"/>
  <c r="AD99" i="1" s="1"/>
  <c r="AB103" i="1"/>
  <c r="AB102" i="1" s="1"/>
  <c r="Z103" i="1"/>
  <c r="W103" i="1"/>
  <c r="V103" i="1"/>
  <c r="U103" i="1"/>
  <c r="S103" i="1"/>
  <c r="R103" i="1"/>
  <c r="Q103" i="1"/>
  <c r="Q102" i="1" s="1"/>
  <c r="O103" i="1"/>
  <c r="L103" i="1"/>
  <c r="K103" i="1"/>
  <c r="J103" i="1"/>
  <c r="G103" i="1"/>
  <c r="H103" i="1" s="1"/>
  <c r="F103" i="1"/>
  <c r="D103" i="1"/>
  <c r="AR102" i="1"/>
  <c r="AS102" i="1" s="1"/>
  <c r="AQ102" i="1"/>
  <c r="AK102" i="1"/>
  <c r="AG102" i="1"/>
  <c r="AF102" i="1"/>
  <c r="Z102" i="1"/>
  <c r="V102" i="1"/>
  <c r="U102" i="1"/>
  <c r="S102" i="1"/>
  <c r="R102" i="1"/>
  <c r="O102" i="1"/>
  <c r="L102" i="1"/>
  <c r="K102" i="1"/>
  <c r="J102" i="1"/>
  <c r="G102" i="1"/>
  <c r="H102" i="1" s="1"/>
  <c r="F102" i="1"/>
  <c r="D102" i="1"/>
  <c r="AR101" i="1"/>
  <c r="AQ101" i="1"/>
  <c r="AN101" i="1"/>
  <c r="AM101" i="1"/>
  <c r="AK101" i="1"/>
  <c r="AG101" i="1"/>
  <c r="AF101" i="1"/>
  <c r="AF99" i="1" s="1"/>
  <c r="AC101" i="1"/>
  <c r="AB101" i="1"/>
  <c r="Z101" i="1"/>
  <c r="V101" i="1"/>
  <c r="U101" i="1"/>
  <c r="U99" i="1" s="1"/>
  <c r="R101" i="1"/>
  <c r="R99" i="1" s="1"/>
  <c r="S99" i="1" s="1"/>
  <c r="Q101" i="1"/>
  <c r="O101" i="1"/>
  <c r="L101" i="1"/>
  <c r="K101" i="1"/>
  <c r="J101" i="1"/>
  <c r="G101" i="1"/>
  <c r="H101" i="1" s="1"/>
  <c r="F101" i="1"/>
  <c r="D101" i="1"/>
  <c r="K100" i="1"/>
  <c r="L100" i="1" s="1"/>
  <c r="J100" i="1"/>
  <c r="G100" i="1"/>
  <c r="H100" i="1" s="1"/>
  <c r="F100" i="1"/>
  <c r="D100" i="1"/>
  <c r="AR99" i="1"/>
  <c r="AQ99" i="1"/>
  <c r="AS99" i="1" s="1"/>
  <c r="AN99" i="1"/>
  <c r="AO99" i="1" s="1"/>
  <c r="AM99" i="1"/>
  <c r="AK99" i="1"/>
  <c r="AB99" i="1"/>
  <c r="Z99" i="1"/>
  <c r="V99" i="1"/>
  <c r="W99" i="1" s="1"/>
  <c r="Q99" i="1"/>
  <c r="O99" i="1"/>
  <c r="K99" i="1"/>
  <c r="L99" i="1" s="1"/>
  <c r="J99" i="1"/>
  <c r="G99" i="1"/>
  <c r="H99" i="1" s="1"/>
  <c r="F99" i="1"/>
  <c r="D99" i="1"/>
  <c r="L98" i="1"/>
  <c r="H98" i="1"/>
  <c r="L97" i="1"/>
  <c r="H97" i="1"/>
  <c r="W96" i="1"/>
  <c r="S96" i="1"/>
  <c r="L96" i="1"/>
  <c r="H96" i="1"/>
  <c r="AR95" i="1"/>
  <c r="AS95" i="1" s="1"/>
  <c r="AQ95" i="1"/>
  <c r="AO95" i="1"/>
  <c r="AN95" i="1"/>
  <c r="AM95" i="1"/>
  <c r="AK95" i="1"/>
  <c r="AG95" i="1"/>
  <c r="AH95" i="1" s="1"/>
  <c r="AF95" i="1"/>
  <c r="AD95" i="1"/>
  <c r="AC95" i="1"/>
  <c r="AB95" i="1"/>
  <c r="Z95" i="1"/>
  <c r="W95" i="1"/>
  <c r="V95" i="1"/>
  <c r="U95" i="1"/>
  <c r="R95" i="1"/>
  <c r="S95" i="1" s="1"/>
  <c r="Q95" i="1"/>
  <c r="O95" i="1"/>
  <c r="L95" i="1"/>
  <c r="H95" i="1"/>
  <c r="D95" i="1"/>
  <c r="AK94" i="1"/>
  <c r="Z94" i="1"/>
  <c r="O94" i="1"/>
  <c r="D94" i="1"/>
  <c r="AS93" i="1"/>
  <c r="AO93" i="1"/>
  <c r="AK93" i="1"/>
  <c r="Z93" i="1"/>
  <c r="O93" i="1"/>
  <c r="D93" i="1"/>
  <c r="J91" i="1"/>
  <c r="J114" i="1" s="1"/>
  <c r="J132" i="1" s="1"/>
  <c r="J152" i="1" s="1"/>
  <c r="J166" i="1" s="1"/>
  <c r="F91" i="1"/>
  <c r="F114" i="1" s="1"/>
  <c r="F132" i="1" s="1"/>
  <c r="F152" i="1" s="1"/>
  <c r="F166" i="1" s="1"/>
  <c r="K84" i="1"/>
  <c r="L84" i="1" s="1"/>
  <c r="J84" i="1"/>
  <c r="G84" i="1"/>
  <c r="F84" i="1"/>
  <c r="D84" i="1"/>
  <c r="L83" i="1"/>
  <c r="K83" i="1"/>
  <c r="J83" i="1"/>
  <c r="H83" i="1"/>
  <c r="G83" i="1"/>
  <c r="F83" i="1"/>
  <c r="D83" i="1"/>
  <c r="K82" i="1"/>
  <c r="L82" i="1" s="1"/>
  <c r="J82" i="1"/>
  <c r="G82" i="1"/>
  <c r="H82" i="1" s="1"/>
  <c r="F82" i="1"/>
  <c r="D82" i="1"/>
  <c r="K81" i="1"/>
  <c r="L81" i="1" s="1"/>
  <c r="J81" i="1"/>
  <c r="G81" i="1"/>
  <c r="H81" i="1" s="1"/>
  <c r="F81" i="1"/>
  <c r="D81" i="1"/>
  <c r="K80" i="1"/>
  <c r="L80" i="1" s="1"/>
  <c r="J80" i="1"/>
  <c r="H80" i="1"/>
  <c r="G80" i="1"/>
  <c r="F80" i="1"/>
  <c r="D80" i="1"/>
  <c r="K79" i="1"/>
  <c r="L79" i="1" s="1"/>
  <c r="J79" i="1"/>
  <c r="H79" i="1"/>
  <c r="G79" i="1"/>
  <c r="F79" i="1"/>
  <c r="D79" i="1"/>
  <c r="AG78" i="1"/>
  <c r="AF78" i="1"/>
  <c r="AC78" i="1"/>
  <c r="AB78" i="1"/>
  <c r="Z78" i="1"/>
  <c r="L78" i="1"/>
  <c r="K78" i="1"/>
  <c r="J78" i="1"/>
  <c r="H78" i="1"/>
  <c r="G78" i="1"/>
  <c r="F78" i="1"/>
  <c r="D78" i="1"/>
  <c r="AH77" i="1"/>
  <c r="AG77" i="1"/>
  <c r="AF77" i="1"/>
  <c r="AC77" i="1"/>
  <c r="AD77" i="1" s="1"/>
  <c r="AB77" i="1"/>
  <c r="Z77" i="1"/>
  <c r="L77" i="1"/>
  <c r="K77" i="1"/>
  <c r="J77" i="1"/>
  <c r="G77" i="1"/>
  <c r="H77" i="1" s="1"/>
  <c r="F77" i="1"/>
  <c r="D77" i="1"/>
  <c r="AG76" i="1"/>
  <c r="AF76" i="1"/>
  <c r="AD76" i="1"/>
  <c r="AC76" i="1"/>
  <c r="AB76" i="1"/>
  <c r="Z76" i="1"/>
  <c r="K76" i="1"/>
  <c r="J76" i="1"/>
  <c r="G76" i="1"/>
  <c r="H76" i="1" s="1"/>
  <c r="F76" i="1"/>
  <c r="D76" i="1"/>
  <c r="AH75" i="1"/>
  <c r="AG75" i="1"/>
  <c r="AF75" i="1"/>
  <c r="AC75" i="1"/>
  <c r="AD75" i="1" s="1"/>
  <c r="AB75" i="1"/>
  <c r="Z75" i="1"/>
  <c r="K75" i="1"/>
  <c r="L75" i="1" s="1"/>
  <c r="J75" i="1"/>
  <c r="G75" i="1"/>
  <c r="H75" i="1" s="1"/>
  <c r="F75" i="1"/>
  <c r="D75" i="1"/>
  <c r="AG74" i="1"/>
  <c r="AF74" i="1"/>
  <c r="AC74" i="1"/>
  <c r="AD74" i="1" s="1"/>
  <c r="AB74" i="1"/>
  <c r="Z74" i="1"/>
  <c r="L74" i="1"/>
  <c r="K74" i="1"/>
  <c r="J74" i="1"/>
  <c r="H74" i="1"/>
  <c r="G74" i="1"/>
  <c r="F74" i="1"/>
  <c r="D74" i="1"/>
  <c r="AH73" i="1"/>
  <c r="AG73" i="1"/>
  <c r="AF73" i="1"/>
  <c r="AC73" i="1"/>
  <c r="AD73" i="1" s="1"/>
  <c r="AB73" i="1"/>
  <c r="Z73" i="1"/>
  <c r="L73" i="1"/>
  <c r="K73" i="1"/>
  <c r="J73" i="1"/>
  <c r="G73" i="1"/>
  <c r="H73" i="1" s="1"/>
  <c r="F73" i="1"/>
  <c r="D73" i="1"/>
  <c r="AR72" i="1"/>
  <c r="AQ72" i="1"/>
  <c r="AO72" i="1"/>
  <c r="AN72" i="1"/>
  <c r="AM72" i="1"/>
  <c r="AK72" i="1"/>
  <c r="AG72" i="1"/>
  <c r="AF72" i="1"/>
  <c r="AC72" i="1"/>
  <c r="AB72" i="1"/>
  <c r="Z72" i="1"/>
  <c r="K72" i="1"/>
  <c r="J72" i="1"/>
  <c r="G72" i="1"/>
  <c r="H72" i="1" s="1"/>
  <c r="F72" i="1"/>
  <c r="D72" i="1"/>
  <c r="AR71" i="1"/>
  <c r="AQ71" i="1"/>
  <c r="AN71" i="1"/>
  <c r="AM71" i="1"/>
  <c r="AK71" i="1"/>
  <c r="AG71" i="1"/>
  <c r="AH71" i="1" s="1"/>
  <c r="AF71" i="1"/>
  <c r="AD71" i="1"/>
  <c r="AC71" i="1"/>
  <c r="AB71" i="1"/>
  <c r="Z71" i="1"/>
  <c r="V71" i="1"/>
  <c r="U71" i="1"/>
  <c r="R71" i="1"/>
  <c r="Q71" i="1"/>
  <c r="O71" i="1"/>
  <c r="K71" i="1"/>
  <c r="J71" i="1"/>
  <c r="G71" i="1"/>
  <c r="F71" i="1"/>
  <c r="D71" i="1"/>
  <c r="AR70" i="1"/>
  <c r="AQ70" i="1"/>
  <c r="AS70" i="1" s="1"/>
  <c r="AN70" i="1"/>
  <c r="AM70" i="1"/>
  <c r="AK70" i="1"/>
  <c r="AG70" i="1"/>
  <c r="AH70" i="1" s="1"/>
  <c r="AF70" i="1"/>
  <c r="AD70" i="1"/>
  <c r="AC70" i="1"/>
  <c r="AB70" i="1"/>
  <c r="Z70" i="1"/>
  <c r="V70" i="1"/>
  <c r="W70" i="1" s="1"/>
  <c r="U70" i="1"/>
  <c r="R70" i="1"/>
  <c r="S70" i="1" s="1"/>
  <c r="Q70" i="1"/>
  <c r="O70" i="1"/>
  <c r="K70" i="1"/>
  <c r="J70" i="1"/>
  <c r="L70" i="1" s="1"/>
  <c r="G70" i="1"/>
  <c r="H70" i="1" s="1"/>
  <c r="F70" i="1"/>
  <c r="D70" i="1"/>
  <c r="AR69" i="1"/>
  <c r="AS69" i="1" s="1"/>
  <c r="AQ69" i="1"/>
  <c r="AN69" i="1"/>
  <c r="AO69" i="1" s="1"/>
  <c r="AM69" i="1"/>
  <c r="AK69" i="1"/>
  <c r="AG69" i="1"/>
  <c r="AH69" i="1" s="1"/>
  <c r="AF69" i="1"/>
  <c r="AC69" i="1"/>
  <c r="AB69" i="1"/>
  <c r="Z69" i="1"/>
  <c r="W69" i="1"/>
  <c r="V69" i="1"/>
  <c r="U69" i="1"/>
  <c r="R69" i="1"/>
  <c r="Q69" i="1"/>
  <c r="S69" i="1" s="1"/>
  <c r="O69" i="1"/>
  <c r="K69" i="1"/>
  <c r="L69" i="1" s="1"/>
  <c r="J69" i="1"/>
  <c r="G69" i="1"/>
  <c r="H69" i="1" s="1"/>
  <c r="F69" i="1"/>
  <c r="D69" i="1"/>
  <c r="AR68" i="1"/>
  <c r="AS68" i="1" s="1"/>
  <c r="AQ68" i="1"/>
  <c r="AN68" i="1"/>
  <c r="AO68" i="1" s="1"/>
  <c r="AM68" i="1"/>
  <c r="AK68" i="1"/>
  <c r="AG68" i="1"/>
  <c r="AF68" i="1"/>
  <c r="AH68" i="1" s="1"/>
  <c r="AD68" i="1"/>
  <c r="AC68" i="1"/>
  <c r="AB68" i="1"/>
  <c r="Z68" i="1"/>
  <c r="V68" i="1"/>
  <c r="U68" i="1"/>
  <c r="R68" i="1"/>
  <c r="S68" i="1" s="1"/>
  <c r="Q68" i="1"/>
  <c r="O68" i="1"/>
  <c r="L68" i="1"/>
  <c r="K68" i="1"/>
  <c r="J68" i="1"/>
  <c r="G68" i="1"/>
  <c r="F68" i="1"/>
  <c r="H68" i="1" s="1"/>
  <c r="D68" i="1"/>
  <c r="AR67" i="1"/>
  <c r="AQ67" i="1"/>
  <c r="AN67" i="1"/>
  <c r="AM67" i="1"/>
  <c r="AK67" i="1"/>
  <c r="AG67" i="1"/>
  <c r="AH67" i="1" s="1"/>
  <c r="AF67" i="1"/>
  <c r="AC67" i="1"/>
  <c r="AD67" i="1" s="1"/>
  <c r="AB67" i="1"/>
  <c r="Z67" i="1"/>
  <c r="V67" i="1"/>
  <c r="W67" i="1" s="1"/>
  <c r="U67" i="1"/>
  <c r="R67" i="1"/>
  <c r="Q67" i="1"/>
  <c r="S67" i="1" s="1"/>
  <c r="O67" i="1"/>
  <c r="L67" i="1"/>
  <c r="K67" i="1"/>
  <c r="J67" i="1"/>
  <c r="H67" i="1"/>
  <c r="G67" i="1"/>
  <c r="F67" i="1"/>
  <c r="D67" i="1"/>
  <c r="AR66" i="1"/>
  <c r="AQ66" i="1"/>
  <c r="AN66" i="1"/>
  <c r="AO66" i="1" s="1"/>
  <c r="AM66" i="1"/>
  <c r="AK66" i="1"/>
  <c r="AG66" i="1"/>
  <c r="AF66" i="1"/>
  <c r="AH66" i="1" s="1"/>
  <c r="AD66" i="1"/>
  <c r="AC66" i="1"/>
  <c r="AB66" i="1"/>
  <c r="Z66" i="1"/>
  <c r="V66" i="1"/>
  <c r="W66" i="1" s="1"/>
  <c r="U66" i="1"/>
  <c r="R66" i="1"/>
  <c r="S66" i="1" s="1"/>
  <c r="Q66" i="1"/>
  <c r="O66" i="1"/>
  <c r="K66" i="1"/>
  <c r="J66" i="1"/>
  <c r="L66" i="1" s="1"/>
  <c r="G66" i="1"/>
  <c r="F66" i="1"/>
  <c r="D66" i="1"/>
  <c r="AS65" i="1"/>
  <c r="AR65" i="1"/>
  <c r="AQ65" i="1"/>
  <c r="AO65" i="1"/>
  <c r="AN65" i="1"/>
  <c r="AM65" i="1"/>
  <c r="AK65" i="1"/>
  <c r="AG65" i="1"/>
  <c r="AH65" i="1" s="1"/>
  <c r="AF65" i="1"/>
  <c r="AC65" i="1"/>
  <c r="AD65" i="1" s="1"/>
  <c r="AB65" i="1"/>
  <c r="Z65" i="1"/>
  <c r="V65" i="1"/>
  <c r="U65" i="1"/>
  <c r="R65" i="1"/>
  <c r="Q65" i="1"/>
  <c r="O65" i="1"/>
  <c r="K65" i="1"/>
  <c r="J65" i="1"/>
  <c r="G65" i="1"/>
  <c r="F65" i="1"/>
  <c r="D65" i="1"/>
  <c r="AS64" i="1"/>
  <c r="AR64" i="1"/>
  <c r="AQ64" i="1"/>
  <c r="AN64" i="1"/>
  <c r="AM64" i="1"/>
  <c r="AO64" i="1" s="1"/>
  <c r="AK64" i="1"/>
  <c r="AG64" i="1"/>
  <c r="AH64" i="1" s="1"/>
  <c r="AF64" i="1"/>
  <c r="AC64" i="1"/>
  <c r="AD64" i="1" s="1"/>
  <c r="AB64" i="1"/>
  <c r="Z64" i="1"/>
  <c r="V64" i="1"/>
  <c r="U64" i="1"/>
  <c r="W64" i="1" s="1"/>
  <c r="R64" i="1"/>
  <c r="Q64" i="1"/>
  <c r="O64" i="1"/>
  <c r="K64" i="1"/>
  <c r="L64" i="1" s="1"/>
  <c r="J64" i="1"/>
  <c r="H64" i="1"/>
  <c r="G64" i="1"/>
  <c r="F64" i="1"/>
  <c r="D64" i="1"/>
  <c r="AR63" i="1"/>
  <c r="AS63" i="1" s="1"/>
  <c r="AQ63" i="1"/>
  <c r="AN63" i="1"/>
  <c r="AO63" i="1" s="1"/>
  <c r="AM63" i="1"/>
  <c r="AK63" i="1"/>
  <c r="AG63" i="1"/>
  <c r="AF63" i="1"/>
  <c r="AH63" i="1" s="1"/>
  <c r="AC63" i="1"/>
  <c r="AD63" i="1" s="1"/>
  <c r="AB63" i="1"/>
  <c r="Z63" i="1"/>
  <c r="V63" i="1"/>
  <c r="W63" i="1" s="1"/>
  <c r="U63" i="1"/>
  <c r="R63" i="1"/>
  <c r="S63" i="1" s="1"/>
  <c r="Q63" i="1"/>
  <c r="O63" i="1"/>
  <c r="K63" i="1"/>
  <c r="L63" i="1" s="1"/>
  <c r="J63" i="1"/>
  <c r="G63" i="1"/>
  <c r="F63" i="1"/>
  <c r="D63" i="1"/>
  <c r="AS62" i="1"/>
  <c r="AR62" i="1"/>
  <c r="AQ62" i="1"/>
  <c r="AN62" i="1"/>
  <c r="AM62" i="1"/>
  <c r="AO62" i="1" s="1"/>
  <c r="AK62" i="1"/>
  <c r="AG62" i="1"/>
  <c r="AH62" i="1" s="1"/>
  <c r="AF62" i="1"/>
  <c r="AC62" i="1"/>
  <c r="AD62" i="1" s="1"/>
  <c r="AB62" i="1"/>
  <c r="Z62" i="1"/>
  <c r="V62" i="1"/>
  <c r="W62" i="1" s="1"/>
  <c r="U62" i="1"/>
  <c r="R62" i="1"/>
  <c r="S62" i="1" s="1"/>
  <c r="Q62" i="1"/>
  <c r="O62" i="1"/>
  <c r="K62" i="1"/>
  <c r="J62" i="1"/>
  <c r="L62" i="1" s="1"/>
  <c r="H62" i="1"/>
  <c r="G62" i="1"/>
  <c r="F62" i="1"/>
  <c r="D62" i="1"/>
  <c r="AR61" i="1"/>
  <c r="AQ61" i="1"/>
  <c r="AN61" i="1"/>
  <c r="AO61" i="1" s="1"/>
  <c r="AM61" i="1"/>
  <c r="AK61" i="1"/>
  <c r="AH61" i="1"/>
  <c r="AG61" i="1"/>
  <c r="AF61" i="1"/>
  <c r="AC61" i="1"/>
  <c r="AB61" i="1"/>
  <c r="AD61" i="1" s="1"/>
  <c r="Z61" i="1"/>
  <c r="V61" i="1"/>
  <c r="W61" i="1" s="1"/>
  <c r="U61" i="1"/>
  <c r="R61" i="1"/>
  <c r="S61" i="1" s="1"/>
  <c r="Q61" i="1"/>
  <c r="O61" i="1"/>
  <c r="K61" i="1"/>
  <c r="J61" i="1"/>
  <c r="G61" i="1"/>
  <c r="F61" i="1"/>
  <c r="D61" i="1"/>
  <c r="AS60" i="1"/>
  <c r="AR60" i="1"/>
  <c r="AQ60" i="1"/>
  <c r="AN60" i="1"/>
  <c r="AM60" i="1"/>
  <c r="AO60" i="1" s="1"/>
  <c r="AK60" i="1"/>
  <c r="AG60" i="1"/>
  <c r="AH60" i="1" s="1"/>
  <c r="AF60" i="1"/>
  <c r="AC60" i="1"/>
  <c r="AD60" i="1" s="1"/>
  <c r="AB60" i="1"/>
  <c r="Z60" i="1"/>
  <c r="V60" i="1"/>
  <c r="W60" i="1" s="1"/>
  <c r="U60" i="1"/>
  <c r="R60" i="1"/>
  <c r="Q60" i="1"/>
  <c r="O60" i="1"/>
  <c r="K60" i="1"/>
  <c r="L60" i="1" s="1"/>
  <c r="J60" i="1"/>
  <c r="H60" i="1"/>
  <c r="G60" i="1"/>
  <c r="F60" i="1"/>
  <c r="D60" i="1"/>
  <c r="AR59" i="1"/>
  <c r="AQ59" i="1"/>
  <c r="AN59" i="1"/>
  <c r="AO59" i="1" s="1"/>
  <c r="AM59" i="1"/>
  <c r="AK59" i="1"/>
  <c r="AH59" i="1"/>
  <c r="AG59" i="1"/>
  <c r="AF59" i="1"/>
  <c r="AC59" i="1"/>
  <c r="AD59" i="1" s="1"/>
  <c r="AB59" i="1"/>
  <c r="Z59" i="1"/>
  <c r="V59" i="1"/>
  <c r="W59" i="1" s="1"/>
  <c r="U59" i="1"/>
  <c r="R59" i="1"/>
  <c r="Q59" i="1"/>
  <c r="S59" i="1" s="1"/>
  <c r="O59" i="1"/>
  <c r="K59" i="1"/>
  <c r="J59" i="1"/>
  <c r="L59" i="1" s="1"/>
  <c r="G59" i="1"/>
  <c r="F59" i="1"/>
  <c r="D59" i="1"/>
  <c r="AS58" i="1"/>
  <c r="AR58" i="1"/>
  <c r="AQ58" i="1"/>
  <c r="AO58" i="1"/>
  <c r="AN58" i="1"/>
  <c r="AM58" i="1"/>
  <c r="AK58" i="1"/>
  <c r="AH58" i="1"/>
  <c r="AG58" i="1"/>
  <c r="AF58" i="1"/>
  <c r="AC58" i="1"/>
  <c r="AD58" i="1" s="1"/>
  <c r="AB58" i="1"/>
  <c r="Z58" i="1"/>
  <c r="V58" i="1"/>
  <c r="W58" i="1" s="1"/>
  <c r="U58" i="1"/>
  <c r="R58" i="1"/>
  <c r="Q58" i="1"/>
  <c r="S58" i="1" s="1"/>
  <c r="O58" i="1"/>
  <c r="K58" i="1"/>
  <c r="L58" i="1" s="1"/>
  <c r="J58" i="1"/>
  <c r="H58" i="1"/>
  <c r="G58" i="1"/>
  <c r="F58" i="1"/>
  <c r="D58" i="1"/>
  <c r="AR57" i="1"/>
  <c r="AQ57" i="1"/>
  <c r="AO57" i="1"/>
  <c r="AN57" i="1"/>
  <c r="AM57" i="1"/>
  <c r="AK57" i="1"/>
  <c r="AG57" i="1"/>
  <c r="AF57" i="1"/>
  <c r="AH57" i="1" s="1"/>
  <c r="AC57" i="1"/>
  <c r="AD57" i="1" s="1"/>
  <c r="AB57" i="1"/>
  <c r="Z57" i="1"/>
  <c r="V57" i="1"/>
  <c r="W57" i="1" s="1"/>
  <c r="U57" i="1"/>
  <c r="R57" i="1"/>
  <c r="S57" i="1" s="1"/>
  <c r="Q57" i="1"/>
  <c r="O57" i="1"/>
  <c r="K57" i="1"/>
  <c r="J57" i="1"/>
  <c r="L57" i="1" s="1"/>
  <c r="G57" i="1"/>
  <c r="H57" i="1" s="1"/>
  <c r="F57" i="1"/>
  <c r="D57" i="1"/>
  <c r="AS56" i="1"/>
  <c r="AR56" i="1"/>
  <c r="AQ56" i="1"/>
  <c r="AN56" i="1"/>
  <c r="AM56" i="1"/>
  <c r="AO56" i="1" s="1"/>
  <c r="AK56" i="1"/>
  <c r="AG56" i="1"/>
  <c r="AH56" i="1" s="1"/>
  <c r="AF56" i="1"/>
  <c r="AC56" i="1"/>
  <c r="AD56" i="1" s="1"/>
  <c r="AB56" i="1"/>
  <c r="Z56" i="1"/>
  <c r="V56" i="1"/>
  <c r="U56" i="1"/>
  <c r="W56" i="1" s="1"/>
  <c r="R56" i="1"/>
  <c r="Q56" i="1"/>
  <c r="S56" i="1" s="1"/>
  <c r="O56" i="1"/>
  <c r="K56" i="1"/>
  <c r="L56" i="1" s="1"/>
  <c r="J56" i="1"/>
  <c r="H56" i="1"/>
  <c r="G56" i="1"/>
  <c r="F56" i="1"/>
  <c r="D56" i="1"/>
  <c r="AK55" i="1"/>
  <c r="Z55" i="1"/>
  <c r="V55" i="1"/>
  <c r="W55" i="1" s="1"/>
  <c r="U55" i="1"/>
  <c r="R55" i="1"/>
  <c r="Q55" i="1"/>
  <c r="S55" i="1" s="1"/>
  <c r="O55" i="1"/>
  <c r="L55" i="1"/>
  <c r="K55" i="1"/>
  <c r="J55" i="1"/>
  <c r="H55" i="1"/>
  <c r="G55" i="1"/>
  <c r="F55" i="1"/>
  <c r="D55" i="1"/>
  <c r="AS54" i="1"/>
  <c r="AO54" i="1"/>
  <c r="V54" i="1"/>
  <c r="W54" i="1" s="1"/>
  <c r="U54" i="1"/>
  <c r="R54" i="1"/>
  <c r="Q54" i="1"/>
  <c r="S54" i="1" s="1"/>
  <c r="O54" i="1"/>
  <c r="K54" i="1"/>
  <c r="L54" i="1" s="1"/>
  <c r="J54" i="1"/>
  <c r="H54" i="1"/>
  <c r="G54" i="1"/>
  <c r="F54" i="1"/>
  <c r="D54" i="1"/>
  <c r="V53" i="1"/>
  <c r="U53" i="1"/>
  <c r="S53" i="1"/>
  <c r="R53" i="1"/>
  <c r="Q53" i="1"/>
  <c r="O53" i="1"/>
  <c r="K53" i="1"/>
  <c r="J53" i="1"/>
  <c r="L53" i="1" s="1"/>
  <c r="G53" i="1"/>
  <c r="H53" i="1" s="1"/>
  <c r="F53" i="1"/>
  <c r="D53" i="1"/>
  <c r="AG52" i="1"/>
  <c r="AH52" i="1" s="1"/>
  <c r="AF52" i="1"/>
  <c r="AC52" i="1"/>
  <c r="AD52" i="1" s="1"/>
  <c r="AB52" i="1"/>
  <c r="Z52" i="1"/>
  <c r="V52" i="1"/>
  <c r="U52" i="1"/>
  <c r="W52" i="1" s="1"/>
  <c r="R52" i="1"/>
  <c r="S52" i="1" s="1"/>
  <c r="Q52" i="1"/>
  <c r="O52" i="1"/>
  <c r="L52" i="1"/>
  <c r="K52" i="1"/>
  <c r="J52" i="1"/>
  <c r="G52" i="1"/>
  <c r="F52" i="1"/>
  <c r="H52" i="1" s="1"/>
  <c r="D52" i="1"/>
  <c r="AG51" i="1"/>
  <c r="AF51" i="1"/>
  <c r="AC51" i="1"/>
  <c r="AB51" i="1"/>
  <c r="Z51" i="1"/>
  <c r="V51" i="1"/>
  <c r="U51" i="1"/>
  <c r="R51" i="1"/>
  <c r="S51" i="1" s="1"/>
  <c r="Q51" i="1"/>
  <c r="O51" i="1"/>
  <c r="L51" i="1"/>
  <c r="K51" i="1"/>
  <c r="J51" i="1"/>
  <c r="G51" i="1"/>
  <c r="F51" i="1"/>
  <c r="H51" i="1" s="1"/>
  <c r="D51" i="1"/>
  <c r="AG50" i="1"/>
  <c r="AH50" i="1" s="1"/>
  <c r="AF50" i="1"/>
  <c r="AC50" i="1"/>
  <c r="AD50" i="1" s="1"/>
  <c r="AB50" i="1"/>
  <c r="Z50" i="1"/>
  <c r="V50" i="1"/>
  <c r="U50" i="1"/>
  <c r="W50" i="1" s="1"/>
  <c r="R50" i="1"/>
  <c r="Q50" i="1"/>
  <c r="O50" i="1"/>
  <c r="L50" i="1"/>
  <c r="K50" i="1"/>
  <c r="J50" i="1"/>
  <c r="G50" i="1"/>
  <c r="F50" i="1"/>
  <c r="H50" i="1" s="1"/>
  <c r="D50" i="1"/>
  <c r="AG49" i="1"/>
  <c r="AH49" i="1" s="1"/>
  <c r="AF49" i="1"/>
  <c r="AC49" i="1"/>
  <c r="AD49" i="1" s="1"/>
  <c r="AB49" i="1"/>
  <c r="Z49" i="1"/>
  <c r="O49" i="1"/>
  <c r="D49" i="1"/>
  <c r="AH48" i="1"/>
  <c r="AG48" i="1"/>
  <c r="AF48" i="1"/>
  <c r="AC48" i="1"/>
  <c r="AB48" i="1"/>
  <c r="AD48" i="1" s="1"/>
  <c r="Z48" i="1"/>
  <c r="AH47" i="1"/>
  <c r="AG47" i="1"/>
  <c r="AF47" i="1"/>
  <c r="AC47" i="1"/>
  <c r="AD47" i="1" s="1"/>
  <c r="AB47" i="1"/>
  <c r="Z47" i="1"/>
  <c r="AG46" i="1"/>
  <c r="AH46" i="1" s="1"/>
  <c r="AF46" i="1"/>
  <c r="AC46" i="1"/>
  <c r="AB46" i="1"/>
  <c r="AD46" i="1" s="1"/>
  <c r="Z46" i="1"/>
  <c r="V46" i="1"/>
  <c r="U46" i="1"/>
  <c r="R46" i="1"/>
  <c r="Q46" i="1"/>
  <c r="O46" i="1"/>
  <c r="K46" i="1"/>
  <c r="J46" i="1"/>
  <c r="G46" i="1"/>
  <c r="F46" i="1"/>
  <c r="D46" i="1"/>
  <c r="AG45" i="1"/>
  <c r="AH45" i="1" s="1"/>
  <c r="AF45" i="1"/>
  <c r="AC45" i="1"/>
  <c r="AD45" i="1" s="1"/>
  <c r="AB45" i="1"/>
  <c r="Z45" i="1"/>
  <c r="V45" i="1"/>
  <c r="W45" i="1" s="1"/>
  <c r="U45" i="1"/>
  <c r="R45" i="1"/>
  <c r="Q45" i="1"/>
  <c r="S45" i="1" s="1"/>
  <c r="O45" i="1"/>
  <c r="K45" i="1"/>
  <c r="L45" i="1" s="1"/>
  <c r="J45" i="1"/>
  <c r="H45" i="1"/>
  <c r="G45" i="1"/>
  <c r="F45" i="1"/>
  <c r="D45" i="1"/>
  <c r="AG44" i="1"/>
  <c r="AF44" i="1"/>
  <c r="AC44" i="1"/>
  <c r="AB44" i="1"/>
  <c r="Z44" i="1"/>
  <c r="V44" i="1"/>
  <c r="U44" i="1"/>
  <c r="W44" i="1" s="1"/>
  <c r="R44" i="1"/>
  <c r="S44" i="1" s="1"/>
  <c r="Q44" i="1"/>
  <c r="O44" i="1"/>
  <c r="L44" i="1"/>
  <c r="K44" i="1"/>
  <c r="J44" i="1"/>
  <c r="G44" i="1"/>
  <c r="F44" i="1"/>
  <c r="H44" i="1" s="1"/>
  <c r="D44" i="1"/>
  <c r="AG43" i="1"/>
  <c r="AH43" i="1" s="1"/>
  <c r="AF43" i="1"/>
  <c r="AC43" i="1"/>
  <c r="AD43" i="1" s="1"/>
  <c r="AB43" i="1"/>
  <c r="Z43" i="1"/>
  <c r="W43" i="1"/>
  <c r="V43" i="1"/>
  <c r="U43" i="1"/>
  <c r="R43" i="1"/>
  <c r="Q43" i="1"/>
  <c r="S43" i="1" s="1"/>
  <c r="O43" i="1"/>
  <c r="K43" i="1"/>
  <c r="L43" i="1" s="1"/>
  <c r="J43" i="1"/>
  <c r="H43" i="1"/>
  <c r="G43" i="1"/>
  <c r="F43" i="1"/>
  <c r="D43" i="1"/>
  <c r="AG42" i="1"/>
  <c r="AF42" i="1"/>
  <c r="AC42" i="1"/>
  <c r="AD42" i="1" s="1"/>
  <c r="AB42" i="1"/>
  <c r="Z42" i="1"/>
  <c r="V42" i="1"/>
  <c r="U42" i="1"/>
  <c r="W42" i="1" s="1"/>
  <c r="R42" i="1"/>
  <c r="S42" i="1" s="1"/>
  <c r="Q42" i="1"/>
  <c r="O42" i="1"/>
  <c r="K42" i="1"/>
  <c r="L42" i="1" s="1"/>
  <c r="J42" i="1"/>
  <c r="G42" i="1"/>
  <c r="H42" i="1" s="1"/>
  <c r="F42" i="1"/>
  <c r="D42" i="1"/>
  <c r="AG41" i="1"/>
  <c r="AF41" i="1"/>
  <c r="AH41" i="1" s="1"/>
  <c r="AC41" i="1"/>
  <c r="AD41" i="1" s="1"/>
  <c r="AB41" i="1"/>
  <c r="Z41" i="1"/>
  <c r="W41" i="1"/>
  <c r="V41" i="1"/>
  <c r="U41" i="1"/>
  <c r="S41" i="1"/>
  <c r="R41" i="1"/>
  <c r="Q41" i="1"/>
  <c r="O41" i="1"/>
  <c r="K41" i="1"/>
  <c r="L41" i="1" s="1"/>
  <c r="J41" i="1"/>
  <c r="G41" i="1"/>
  <c r="H41" i="1" s="1"/>
  <c r="F41" i="1"/>
  <c r="D41" i="1"/>
  <c r="AH40" i="1"/>
  <c r="AG40" i="1"/>
  <c r="AF40" i="1"/>
  <c r="AC40" i="1"/>
  <c r="AB40" i="1"/>
  <c r="AD40" i="1" s="1"/>
  <c r="Z40" i="1"/>
  <c r="V40" i="1"/>
  <c r="U40" i="1"/>
  <c r="R40" i="1"/>
  <c r="Q40" i="1"/>
  <c r="O40" i="1"/>
  <c r="K40" i="1"/>
  <c r="J40" i="1"/>
  <c r="G40" i="1"/>
  <c r="F40" i="1"/>
  <c r="D40" i="1"/>
  <c r="AH39" i="1"/>
  <c r="AG39" i="1"/>
  <c r="AF39" i="1"/>
  <c r="AC39" i="1"/>
  <c r="AD39" i="1" s="1"/>
  <c r="AB39" i="1"/>
  <c r="Z39" i="1"/>
  <c r="W39" i="1"/>
  <c r="V39" i="1"/>
  <c r="U39" i="1"/>
  <c r="R39" i="1"/>
  <c r="Q39" i="1"/>
  <c r="S39" i="1" s="1"/>
  <c r="O39" i="1"/>
  <c r="K39" i="1"/>
  <c r="L39" i="1" s="1"/>
  <c r="J39" i="1"/>
  <c r="H39" i="1"/>
  <c r="G39" i="1"/>
  <c r="F39" i="1"/>
  <c r="D39" i="1"/>
  <c r="AG38" i="1"/>
  <c r="AF38" i="1"/>
  <c r="AC38" i="1"/>
  <c r="AD38" i="1" s="1"/>
  <c r="AB38" i="1"/>
  <c r="Z38" i="1"/>
  <c r="V38" i="1"/>
  <c r="U38" i="1"/>
  <c r="W38" i="1" s="1"/>
  <c r="R38" i="1"/>
  <c r="S38" i="1" s="1"/>
  <c r="Q38" i="1"/>
  <c r="O38" i="1"/>
  <c r="K38" i="1"/>
  <c r="L38" i="1" s="1"/>
  <c r="J38" i="1"/>
  <c r="G38" i="1"/>
  <c r="H38" i="1" s="1"/>
  <c r="F38" i="1"/>
  <c r="D38" i="1"/>
  <c r="AG37" i="1"/>
  <c r="AF37" i="1"/>
  <c r="AH37" i="1" s="1"/>
  <c r="AC37" i="1"/>
  <c r="AD37" i="1" s="1"/>
  <c r="AB37" i="1"/>
  <c r="Z37" i="1"/>
  <c r="W37" i="1"/>
  <c r="V37" i="1"/>
  <c r="U37" i="1"/>
  <c r="S37" i="1"/>
  <c r="R37" i="1"/>
  <c r="Q37" i="1"/>
  <c r="O37" i="1"/>
  <c r="K37" i="1"/>
  <c r="L37" i="1" s="1"/>
  <c r="J37" i="1"/>
  <c r="G37" i="1"/>
  <c r="H37" i="1" s="1"/>
  <c r="F37" i="1"/>
  <c r="D37" i="1"/>
  <c r="AH36" i="1"/>
  <c r="AG36" i="1"/>
  <c r="AF36" i="1"/>
  <c r="AC36" i="1"/>
  <c r="AB36" i="1"/>
  <c r="AD36" i="1" s="1"/>
  <c r="Z36" i="1"/>
  <c r="W36" i="1"/>
  <c r="V36" i="1"/>
  <c r="U36" i="1"/>
  <c r="S36" i="1"/>
  <c r="R36" i="1"/>
  <c r="Q36" i="1"/>
  <c r="O36" i="1"/>
  <c r="K36" i="1"/>
  <c r="J36" i="1"/>
  <c r="G36" i="1"/>
  <c r="H36" i="1" s="1"/>
  <c r="F36" i="1"/>
  <c r="D36" i="1"/>
  <c r="AG35" i="1"/>
  <c r="AF35" i="1"/>
  <c r="AH35" i="1" s="1"/>
  <c r="AD35" i="1"/>
  <c r="AC35" i="1"/>
  <c r="AB35" i="1"/>
  <c r="Z35" i="1"/>
  <c r="V35" i="1"/>
  <c r="W35" i="1" s="1"/>
  <c r="U35" i="1"/>
  <c r="R35" i="1"/>
  <c r="S35" i="1" s="1"/>
  <c r="Q35" i="1"/>
  <c r="O35" i="1"/>
  <c r="K35" i="1"/>
  <c r="J35" i="1"/>
  <c r="L35" i="1" s="1"/>
  <c r="G35" i="1"/>
  <c r="F35" i="1"/>
  <c r="D35" i="1"/>
  <c r="AH34" i="1"/>
  <c r="AG34" i="1"/>
  <c r="AF34" i="1"/>
  <c r="AD34" i="1"/>
  <c r="AC34" i="1"/>
  <c r="AB34" i="1"/>
  <c r="Z34" i="1"/>
  <c r="V34" i="1"/>
  <c r="W34" i="1" s="1"/>
  <c r="U34" i="1"/>
  <c r="R34" i="1"/>
  <c r="S34" i="1" s="1"/>
  <c r="Q34" i="1"/>
  <c r="O34" i="1"/>
  <c r="K34" i="1"/>
  <c r="L34" i="1" s="1"/>
  <c r="J34" i="1"/>
  <c r="G34" i="1"/>
  <c r="F34" i="1"/>
  <c r="H34" i="1" s="1"/>
  <c r="D34" i="1"/>
  <c r="AH33" i="1"/>
  <c r="AG33" i="1"/>
  <c r="AF33" i="1"/>
  <c r="AD33" i="1"/>
  <c r="AC33" i="1"/>
  <c r="AB33" i="1"/>
  <c r="Z33" i="1"/>
  <c r="V33" i="1"/>
  <c r="U33" i="1"/>
  <c r="S33" i="1"/>
  <c r="R33" i="1"/>
  <c r="Q33" i="1"/>
  <c r="O33" i="1"/>
  <c r="L33" i="1"/>
  <c r="K33" i="1"/>
  <c r="J33" i="1"/>
  <c r="H33" i="1"/>
  <c r="G33" i="1"/>
  <c r="F33" i="1"/>
  <c r="D33" i="1"/>
  <c r="Z32" i="1"/>
  <c r="W32" i="1"/>
  <c r="V32" i="1"/>
  <c r="U32" i="1"/>
  <c r="S32" i="1"/>
  <c r="R32" i="1"/>
  <c r="Q32" i="1"/>
  <c r="O32" i="1"/>
  <c r="K32" i="1"/>
  <c r="L32" i="1" s="1"/>
  <c r="J32" i="1"/>
  <c r="H32" i="1"/>
  <c r="G32" i="1"/>
  <c r="F32" i="1"/>
  <c r="D32" i="1"/>
  <c r="V31" i="1"/>
  <c r="U31" i="1"/>
  <c r="W31" i="1" s="1"/>
  <c r="R31" i="1"/>
  <c r="Q31" i="1"/>
  <c r="O31" i="1"/>
  <c r="L31" i="1"/>
  <c r="K31" i="1"/>
  <c r="J31" i="1"/>
  <c r="G31" i="1"/>
  <c r="F31" i="1"/>
  <c r="H31" i="1" s="1"/>
  <c r="D31" i="1"/>
  <c r="W30" i="1"/>
  <c r="V30" i="1"/>
  <c r="U30" i="1"/>
  <c r="R30" i="1"/>
  <c r="S30" i="1" s="1"/>
  <c r="Q30" i="1"/>
  <c r="O30" i="1"/>
  <c r="K30" i="1"/>
  <c r="L30" i="1" s="1"/>
  <c r="J30" i="1"/>
  <c r="G30" i="1"/>
  <c r="F30" i="1"/>
  <c r="H30" i="1" s="1"/>
  <c r="D30" i="1"/>
  <c r="AG29" i="1"/>
  <c r="AH29" i="1" s="1"/>
  <c r="AF29" i="1"/>
  <c r="AD29" i="1"/>
  <c r="AC29" i="1"/>
  <c r="AB29" i="1"/>
  <c r="Z29" i="1"/>
  <c r="O29" i="1"/>
  <c r="D29" i="1"/>
  <c r="AG28" i="1"/>
  <c r="AF28" i="1"/>
  <c r="AC28" i="1"/>
  <c r="AB28" i="1"/>
  <c r="Z28" i="1"/>
  <c r="AH27" i="1"/>
  <c r="AG27" i="1"/>
  <c r="AF27" i="1"/>
  <c r="AC27" i="1"/>
  <c r="AD27" i="1" s="1"/>
  <c r="AB27" i="1"/>
  <c r="Z27" i="1"/>
  <c r="AG26" i="1"/>
  <c r="AH26" i="1" s="1"/>
  <c r="AF26" i="1"/>
  <c r="AC26" i="1"/>
  <c r="AB26" i="1"/>
  <c r="AD26" i="1" s="1"/>
  <c r="Z26" i="1"/>
  <c r="V26" i="1"/>
  <c r="U26" i="1"/>
  <c r="R26" i="1"/>
  <c r="Q26" i="1"/>
  <c r="O26" i="1"/>
  <c r="K26" i="1"/>
  <c r="J26" i="1"/>
  <c r="G26" i="1"/>
  <c r="F26" i="1"/>
  <c r="D26" i="1"/>
  <c r="AG25" i="1"/>
  <c r="AF25" i="1"/>
  <c r="AH25" i="1" s="1"/>
  <c r="AC25" i="1"/>
  <c r="AD25" i="1" s="1"/>
  <c r="AB25" i="1"/>
  <c r="Z25" i="1"/>
  <c r="V25" i="1"/>
  <c r="W25" i="1" s="1"/>
  <c r="U25" i="1"/>
  <c r="S25" i="1"/>
  <c r="R25" i="1"/>
  <c r="Q25" i="1"/>
  <c r="O25" i="1"/>
  <c r="K25" i="1"/>
  <c r="J25" i="1"/>
  <c r="L25" i="1" s="1"/>
  <c r="G25" i="1"/>
  <c r="F25" i="1"/>
  <c r="D25" i="1"/>
  <c r="AG24" i="1"/>
  <c r="AH24" i="1" s="1"/>
  <c r="AF24" i="1"/>
  <c r="AD24" i="1"/>
  <c r="AC24" i="1"/>
  <c r="AB24" i="1"/>
  <c r="Z24" i="1"/>
  <c r="V24" i="1"/>
  <c r="U24" i="1"/>
  <c r="W24" i="1" s="1"/>
  <c r="R24" i="1"/>
  <c r="S24" i="1" s="1"/>
  <c r="Q24" i="1"/>
  <c r="O24" i="1"/>
  <c r="K24" i="1"/>
  <c r="L24" i="1" s="1"/>
  <c r="J24" i="1"/>
  <c r="G24" i="1"/>
  <c r="F24" i="1"/>
  <c r="H24" i="1" s="1"/>
  <c r="D24" i="1"/>
  <c r="AS23" i="1"/>
  <c r="AR23" i="1"/>
  <c r="AQ23" i="1"/>
  <c r="AO23" i="1"/>
  <c r="AN23" i="1"/>
  <c r="AM23" i="1"/>
  <c r="AK23" i="1"/>
  <c r="AG23" i="1"/>
  <c r="AF23" i="1"/>
  <c r="AC23" i="1"/>
  <c r="AD23" i="1" s="1"/>
  <c r="AB23" i="1"/>
  <c r="Z23" i="1"/>
  <c r="V23" i="1"/>
  <c r="U23" i="1"/>
  <c r="W23" i="1" s="1"/>
  <c r="S23" i="1"/>
  <c r="R23" i="1"/>
  <c r="Q23" i="1"/>
  <c r="O23" i="1"/>
  <c r="K23" i="1"/>
  <c r="L23" i="1" s="1"/>
  <c r="J23" i="1"/>
  <c r="G23" i="1"/>
  <c r="H23" i="1" s="1"/>
  <c r="F23" i="1"/>
  <c r="D23" i="1"/>
  <c r="AR22" i="1"/>
  <c r="AQ22" i="1"/>
  <c r="AN22" i="1"/>
  <c r="AM22" i="1"/>
  <c r="AK22" i="1"/>
  <c r="AG22" i="1"/>
  <c r="AH22" i="1" s="1"/>
  <c r="AF22" i="1"/>
  <c r="AD22" i="1"/>
  <c r="AC22" i="1"/>
  <c r="AB22" i="1"/>
  <c r="Z22" i="1"/>
  <c r="V22" i="1"/>
  <c r="W22" i="1" s="1"/>
  <c r="U22" i="1"/>
  <c r="R22" i="1"/>
  <c r="S22" i="1" s="1"/>
  <c r="Q22" i="1"/>
  <c r="O22" i="1"/>
  <c r="K22" i="1"/>
  <c r="J22" i="1"/>
  <c r="G22" i="1"/>
  <c r="H22" i="1" s="1"/>
  <c r="F22" i="1"/>
  <c r="D22" i="1"/>
  <c r="AR21" i="1"/>
  <c r="AQ21" i="1"/>
  <c r="AS21" i="1" s="1"/>
  <c r="AN21" i="1"/>
  <c r="AO21" i="1" s="1"/>
  <c r="AM21" i="1"/>
  <c r="AK21" i="1"/>
  <c r="AG21" i="1"/>
  <c r="AF21" i="1"/>
  <c r="AC21" i="1"/>
  <c r="AB21" i="1"/>
  <c r="Z21" i="1"/>
  <c r="V21" i="1"/>
  <c r="W21" i="1" s="1"/>
  <c r="U21" i="1"/>
  <c r="R21" i="1"/>
  <c r="S21" i="1" s="1"/>
  <c r="Q21" i="1"/>
  <c r="O21" i="1"/>
  <c r="K21" i="1"/>
  <c r="L21" i="1" s="1"/>
  <c r="J21" i="1"/>
  <c r="H21" i="1"/>
  <c r="G21" i="1"/>
  <c r="F21" i="1"/>
  <c r="D21" i="1"/>
  <c r="AR20" i="1"/>
  <c r="AS20" i="1" s="1"/>
  <c r="AQ20" i="1"/>
  <c r="AN20" i="1"/>
  <c r="AO20" i="1" s="1"/>
  <c r="AM20" i="1"/>
  <c r="AK20" i="1"/>
  <c r="AG20" i="1"/>
  <c r="AH20" i="1" s="1"/>
  <c r="AF20" i="1"/>
  <c r="AC20" i="1"/>
  <c r="AD20" i="1" s="1"/>
  <c r="AB20" i="1"/>
  <c r="Z20" i="1"/>
  <c r="V20" i="1"/>
  <c r="U20" i="1"/>
  <c r="R20" i="1"/>
  <c r="Q20" i="1"/>
  <c r="O20" i="1"/>
  <c r="K20" i="1"/>
  <c r="J20" i="1"/>
  <c r="G20" i="1"/>
  <c r="F20" i="1"/>
  <c r="D20" i="1"/>
  <c r="AR19" i="1"/>
  <c r="AQ19" i="1"/>
  <c r="AS19" i="1" s="1"/>
  <c r="AN19" i="1"/>
  <c r="AO19" i="1" s="1"/>
  <c r="AM19" i="1"/>
  <c r="AK19" i="1"/>
  <c r="AG19" i="1"/>
  <c r="AH19" i="1" s="1"/>
  <c r="AF19" i="1"/>
  <c r="AC19" i="1"/>
  <c r="AD19" i="1" s="1"/>
  <c r="AB19" i="1"/>
  <c r="Z19" i="1"/>
  <c r="W19" i="1"/>
  <c r="V19" i="1"/>
  <c r="U19" i="1"/>
  <c r="R19" i="1"/>
  <c r="Q19" i="1"/>
  <c r="S19" i="1" s="1"/>
  <c r="O19" i="1"/>
  <c r="K19" i="1"/>
  <c r="L19" i="1" s="1"/>
  <c r="J19" i="1"/>
  <c r="G19" i="1"/>
  <c r="H19" i="1" s="1"/>
  <c r="F19" i="1"/>
  <c r="D19" i="1"/>
  <c r="AR18" i="1"/>
  <c r="AQ18" i="1"/>
  <c r="AN18" i="1"/>
  <c r="AM18" i="1"/>
  <c r="AK18" i="1"/>
  <c r="AH18" i="1"/>
  <c r="AG18" i="1"/>
  <c r="AF18" i="1"/>
  <c r="AC18" i="1"/>
  <c r="AB18" i="1"/>
  <c r="AD18" i="1" s="1"/>
  <c r="Z18" i="1"/>
  <c r="V18" i="1"/>
  <c r="W18" i="1" s="1"/>
  <c r="U18" i="1"/>
  <c r="R18" i="1"/>
  <c r="S18" i="1" s="1"/>
  <c r="Q18" i="1"/>
  <c r="O18" i="1"/>
  <c r="K18" i="1"/>
  <c r="L18" i="1" s="1"/>
  <c r="J18" i="1"/>
  <c r="H18" i="1"/>
  <c r="G18" i="1"/>
  <c r="F18" i="1"/>
  <c r="D18" i="1"/>
  <c r="AR17" i="1"/>
  <c r="AQ17" i="1"/>
  <c r="AS17" i="1" s="1"/>
  <c r="AN17" i="1"/>
  <c r="AO17" i="1" s="1"/>
  <c r="AM17" i="1"/>
  <c r="AK17" i="1"/>
  <c r="AG17" i="1"/>
  <c r="AH17" i="1" s="1"/>
  <c r="AF17" i="1"/>
  <c r="AC17" i="1"/>
  <c r="AD17" i="1" s="1"/>
  <c r="AB17" i="1"/>
  <c r="Z17" i="1"/>
  <c r="V17" i="1"/>
  <c r="U17" i="1"/>
  <c r="W17" i="1" s="1"/>
  <c r="R17" i="1"/>
  <c r="Q17" i="1"/>
  <c r="O17" i="1"/>
  <c r="K17" i="1"/>
  <c r="L17" i="1" s="1"/>
  <c r="J17" i="1"/>
  <c r="G17" i="1"/>
  <c r="F17" i="1"/>
  <c r="H17" i="1" s="1"/>
  <c r="D17" i="1"/>
  <c r="AS16" i="1"/>
  <c r="AR16" i="1"/>
  <c r="AQ16" i="1"/>
  <c r="AN16" i="1"/>
  <c r="AO16" i="1" s="1"/>
  <c r="AM16" i="1"/>
  <c r="AK16" i="1"/>
  <c r="AG16" i="1"/>
  <c r="AH16" i="1" s="1"/>
  <c r="AF16" i="1"/>
  <c r="AC16" i="1"/>
  <c r="AB16" i="1"/>
  <c r="AD16" i="1" s="1"/>
  <c r="Z16" i="1"/>
  <c r="V16" i="1"/>
  <c r="W16" i="1" s="1"/>
  <c r="U16" i="1"/>
  <c r="S16" i="1"/>
  <c r="R16" i="1"/>
  <c r="Q16" i="1"/>
  <c r="O16" i="1"/>
  <c r="K16" i="1"/>
  <c r="J16" i="1"/>
  <c r="G16" i="1"/>
  <c r="H16" i="1" s="1"/>
  <c r="F16" i="1"/>
  <c r="D16" i="1"/>
  <c r="AS15" i="1"/>
  <c r="AR15" i="1"/>
  <c r="AQ15" i="1"/>
  <c r="AN15" i="1"/>
  <c r="AO15" i="1" s="1"/>
  <c r="AM15" i="1"/>
  <c r="AK15" i="1"/>
  <c r="AG15" i="1"/>
  <c r="AH15" i="1" s="1"/>
  <c r="AF15" i="1"/>
  <c r="AC15" i="1"/>
  <c r="AB15" i="1"/>
  <c r="AD15" i="1" s="1"/>
  <c r="Z15" i="1"/>
  <c r="W15" i="1"/>
  <c r="V15" i="1"/>
  <c r="U15" i="1"/>
  <c r="R15" i="1"/>
  <c r="S15" i="1" s="1"/>
  <c r="Q15" i="1"/>
  <c r="O15" i="1"/>
  <c r="K15" i="1"/>
  <c r="L15" i="1" s="1"/>
  <c r="J15" i="1"/>
  <c r="H15" i="1"/>
  <c r="G15" i="1"/>
  <c r="F15" i="1"/>
  <c r="D15" i="1"/>
  <c r="AR14" i="1"/>
  <c r="AS14" i="1" s="1"/>
  <c r="AQ14" i="1"/>
  <c r="AN14" i="1"/>
  <c r="AO14" i="1" s="1"/>
  <c r="AM14" i="1"/>
  <c r="AK14" i="1"/>
  <c r="AH14" i="1"/>
  <c r="AG14" i="1"/>
  <c r="AF14" i="1"/>
  <c r="AC14" i="1"/>
  <c r="AB14" i="1"/>
  <c r="AD14" i="1" s="1"/>
  <c r="Z14" i="1"/>
  <c r="V14" i="1"/>
  <c r="W14" i="1" s="1"/>
  <c r="U14" i="1"/>
  <c r="R14" i="1"/>
  <c r="S14" i="1" s="1"/>
  <c r="Q14" i="1"/>
  <c r="O14" i="1"/>
  <c r="K14" i="1"/>
  <c r="L14" i="1" s="1"/>
  <c r="J14" i="1"/>
  <c r="H14" i="1"/>
  <c r="G14" i="1"/>
  <c r="F14" i="1"/>
  <c r="D14" i="1"/>
  <c r="AR13" i="1"/>
  <c r="AQ13" i="1"/>
  <c r="AS13" i="1" s="1"/>
  <c r="AN13" i="1"/>
  <c r="AO13" i="1" s="1"/>
  <c r="AM13" i="1"/>
  <c r="AK13" i="1"/>
  <c r="AG13" i="1"/>
  <c r="AH13" i="1" s="1"/>
  <c r="AF13" i="1"/>
  <c r="AC13" i="1"/>
  <c r="AD13" i="1" s="1"/>
  <c r="AB13" i="1"/>
  <c r="Z13" i="1"/>
  <c r="V13" i="1"/>
  <c r="U13" i="1"/>
  <c r="W13" i="1" s="1"/>
  <c r="R13" i="1"/>
  <c r="Q13" i="1"/>
  <c r="O13" i="1"/>
  <c r="K13" i="1"/>
  <c r="L13" i="1" s="1"/>
  <c r="J13" i="1"/>
  <c r="G13" i="1"/>
  <c r="F13" i="1"/>
  <c r="H13" i="1" s="1"/>
  <c r="D13" i="1"/>
  <c r="AS12" i="1"/>
  <c r="AR12" i="1"/>
  <c r="AQ12" i="1"/>
  <c r="AN12" i="1"/>
  <c r="AO12" i="1" s="1"/>
  <c r="AM12" i="1"/>
  <c r="AK12" i="1"/>
  <c r="AG12" i="1"/>
  <c r="AH12" i="1" s="1"/>
  <c r="AF12" i="1"/>
  <c r="AC12" i="1"/>
  <c r="AB12" i="1"/>
  <c r="AD12" i="1" s="1"/>
  <c r="Z12" i="1"/>
  <c r="V12" i="1"/>
  <c r="W12" i="1" s="1"/>
  <c r="U12" i="1"/>
  <c r="S12" i="1"/>
  <c r="R12" i="1"/>
  <c r="Q12" i="1"/>
  <c r="O12" i="1"/>
  <c r="K12" i="1"/>
  <c r="J12" i="1"/>
  <c r="G12" i="1"/>
  <c r="H12" i="1" s="1"/>
  <c r="F12" i="1"/>
  <c r="D12" i="1"/>
  <c r="AS11" i="1"/>
  <c r="AR11" i="1"/>
  <c r="AQ11" i="1"/>
  <c r="AN11" i="1"/>
  <c r="AO11" i="1" s="1"/>
  <c r="AM11" i="1"/>
  <c r="AK11" i="1"/>
  <c r="AG11" i="1"/>
  <c r="AH11" i="1" s="1"/>
  <c r="AF11" i="1"/>
  <c r="AC11" i="1"/>
  <c r="AB11" i="1"/>
  <c r="AD11" i="1" s="1"/>
  <c r="Z11" i="1"/>
  <c r="W11" i="1"/>
  <c r="V11" i="1"/>
  <c r="U11" i="1"/>
  <c r="R11" i="1"/>
  <c r="S11" i="1" s="1"/>
  <c r="Q11" i="1"/>
  <c r="O11" i="1"/>
  <c r="K11" i="1"/>
  <c r="L11" i="1" s="1"/>
  <c r="J11" i="1"/>
  <c r="H11" i="1"/>
  <c r="G11" i="1"/>
  <c r="F11" i="1"/>
  <c r="D11" i="1"/>
  <c r="AR10" i="1"/>
  <c r="AS10" i="1" s="1"/>
  <c r="AQ10" i="1"/>
  <c r="AN10" i="1"/>
  <c r="AO10" i="1" s="1"/>
  <c r="AM10" i="1"/>
  <c r="AK10" i="1"/>
  <c r="AH10" i="1"/>
  <c r="AG10" i="1"/>
  <c r="AF10" i="1"/>
  <c r="AC10" i="1"/>
  <c r="AB10" i="1"/>
  <c r="AD10" i="1" s="1"/>
  <c r="Z10" i="1"/>
  <c r="V10" i="1"/>
  <c r="W10" i="1" s="1"/>
  <c r="U10" i="1"/>
  <c r="R10" i="1"/>
  <c r="S10" i="1" s="1"/>
  <c r="Q10" i="1"/>
  <c r="O10" i="1"/>
  <c r="K10" i="1"/>
  <c r="L10" i="1" s="1"/>
  <c r="J10" i="1"/>
  <c r="H10" i="1"/>
  <c r="G10" i="1"/>
  <c r="F10" i="1"/>
  <c r="D10" i="1"/>
  <c r="AK9" i="1"/>
  <c r="Z9" i="1"/>
  <c r="O9" i="1"/>
  <c r="D9" i="1"/>
  <c r="AK8" i="1"/>
  <c r="Z8" i="1"/>
  <c r="O8" i="1"/>
  <c r="D8" i="1"/>
  <c r="AQ6" i="1"/>
  <c r="AQ114" i="1" s="1"/>
  <c r="AQ132" i="1" s="1"/>
  <c r="AM6" i="1"/>
  <c r="AF6" i="1"/>
  <c r="AF114" i="1" s="1"/>
  <c r="AB6" i="1"/>
  <c r="AB114" i="1" s="1"/>
  <c r="U6" i="1"/>
  <c r="U114" i="1" s="1"/>
  <c r="Q6" i="1"/>
  <c r="Q114" i="1" s="1"/>
  <c r="J6" i="1"/>
  <c r="F6" i="1"/>
  <c r="AK3" i="1"/>
  <c r="Z3" i="1"/>
  <c r="O3" i="1"/>
  <c r="D3" i="1"/>
  <c r="AN102" i="1" l="1"/>
  <c r="AO102" i="1" s="1"/>
  <c r="AO103" i="1"/>
  <c r="S50" i="1"/>
  <c r="H124" i="1"/>
  <c r="H126" i="1"/>
  <c r="AS129" i="1"/>
  <c r="AS57" i="1"/>
  <c r="L141" i="1"/>
  <c r="H144" i="1"/>
  <c r="L12" i="1"/>
  <c r="L16" i="1"/>
  <c r="H35" i="1"/>
  <c r="AS59" i="1"/>
  <c r="H66" i="1"/>
  <c r="L76" i="1"/>
  <c r="H84" i="1"/>
  <c r="W101" i="1"/>
  <c r="AD102" i="1"/>
  <c r="AO123" i="1"/>
  <c r="AO125" i="1"/>
  <c r="L157" i="1"/>
  <c r="S17" i="1"/>
  <c r="W53" i="1"/>
  <c r="AS72" i="1"/>
  <c r="AH42" i="1"/>
  <c r="L61" i="1"/>
  <c r="H63" i="1"/>
  <c r="AD69" i="1"/>
  <c r="H174" i="1"/>
  <c r="AH23" i="1"/>
  <c r="L36" i="1"/>
  <c r="H61" i="1"/>
  <c r="AS66" i="1"/>
  <c r="S13" i="1"/>
  <c r="S31" i="1"/>
  <c r="S64" i="1"/>
  <c r="AO70" i="1"/>
  <c r="S101" i="1"/>
  <c r="S129" i="1"/>
  <c r="L22" i="1"/>
  <c r="W51" i="1"/>
  <c r="S60" i="1"/>
  <c r="AS61" i="1"/>
  <c r="W68" i="1"/>
  <c r="AG99" i="1"/>
  <c r="AH99" i="1" s="1"/>
  <c r="AH102" i="1"/>
  <c r="AS124" i="1"/>
  <c r="AS126" i="1"/>
  <c r="AH74" i="1"/>
  <c r="AH76" i="1"/>
  <c r="W102" i="1"/>
  <c r="AH38" i="1"/>
  <c r="H25" i="1"/>
  <c r="W33" i="1"/>
  <c r="H59" i="1"/>
  <c r="L72" i="1"/>
  <c r="AD103" i="1"/>
</calcChain>
</file>

<file path=xl/sharedStrings.xml><?xml version="1.0" encoding="utf-8"?>
<sst xmlns="http://schemas.openxmlformats.org/spreadsheetml/2006/main" count="45" uniqueCount="7">
  <si>
    <t>idioma</t>
  </si>
  <si>
    <t>English</t>
  </si>
  <si>
    <t>ESP</t>
  </si>
  <si>
    <t>Español</t>
  </si>
  <si>
    <t>ENG</t>
  </si>
  <si>
    <t>Var.%</t>
  </si>
  <si>
    <t>Millones de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</si>
</sst>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;\(#,##0.0\)"/>
    <numFmt numFmtId="166" formatCode="0.0;\ \(0.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b/>
      <i/>
      <sz val="10"/>
      <color theme="1"/>
      <name val="Neo Sans Pro"/>
      <family val="2"/>
    </font>
    <font>
      <i/>
      <sz val="8"/>
      <color rgb="FFFF0000"/>
      <name val="Neo Sans Pro"/>
      <family val="2"/>
    </font>
    <font>
      <b/>
      <sz val="11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0" fontId="2" fillId="2" borderId="3" xfId="0" applyFont="1" applyFill="1" applyBorder="1"/>
    <xf numFmtId="0" fontId="7" fillId="2" borderId="0" xfId="0" applyFont="1" applyFill="1"/>
    <xf numFmtId="165" fontId="7" fillId="4" borderId="0" xfId="0" applyNumberFormat="1" applyFont="1" applyFill="1" applyAlignment="1">
      <alignment horizontal="right" indent="1"/>
    </xf>
    <xf numFmtId="165" fontId="7" fillId="2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0" fontId="7" fillId="2" borderId="4" xfId="0" applyFont="1" applyFill="1" applyBorder="1"/>
    <xf numFmtId="165" fontId="7" fillId="4" borderId="5" xfId="0" applyNumberFormat="1" applyFont="1" applyFill="1" applyBorder="1" applyAlignment="1">
      <alignment horizontal="right" indent="1"/>
    </xf>
    <xf numFmtId="165" fontId="7" fillId="2" borderId="5" xfId="0" applyNumberFormat="1" applyFont="1" applyFill="1" applyBorder="1" applyAlignment="1">
      <alignment horizontal="right" indent="1"/>
    </xf>
    <xf numFmtId="166" fontId="7" fillId="2" borderId="5" xfId="0" applyNumberFormat="1" applyFont="1" applyFill="1" applyBorder="1" applyAlignment="1">
      <alignment horizontal="right" indent="1"/>
    </xf>
    <xf numFmtId="0" fontId="2" fillId="2" borderId="0" xfId="0" applyFont="1" applyFill="1" applyAlignment="1">
      <alignment horizontal="left" indent="2"/>
    </xf>
    <xf numFmtId="165" fontId="2" fillId="4" borderId="0" xfId="0" applyNumberFormat="1" applyFont="1" applyFill="1" applyAlignment="1">
      <alignment horizontal="right" indent="1"/>
    </xf>
    <xf numFmtId="165" fontId="2" fillId="2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0" fontId="7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5" fontId="8" fillId="4" borderId="0" xfId="0" applyNumberFormat="1" applyFont="1" applyFill="1" applyAlignment="1">
      <alignment horizontal="right" indent="1"/>
    </xf>
    <xf numFmtId="165" fontId="8" fillId="2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4"/>
    </xf>
    <xf numFmtId="0" fontId="7" fillId="2" borderId="6" xfId="0" applyFont="1" applyFill="1" applyBorder="1"/>
    <xf numFmtId="0" fontId="7" fillId="2" borderId="7" xfId="0" applyFont="1" applyFill="1" applyBorder="1"/>
    <xf numFmtId="165" fontId="9" fillId="4" borderId="4" xfId="0" applyNumberFormat="1" applyFont="1" applyFill="1" applyBorder="1" applyAlignment="1">
      <alignment horizontal="right" indent="1"/>
    </xf>
    <xf numFmtId="165" fontId="7" fillId="2" borderId="6" xfId="0" applyNumberFormat="1" applyFont="1" applyFill="1" applyBorder="1" applyAlignment="1">
      <alignment horizontal="right" indent="1"/>
    </xf>
    <xf numFmtId="166" fontId="7" fillId="2" borderId="6" xfId="0" applyNumberFormat="1" applyFont="1" applyFill="1" applyBorder="1" applyAlignment="1">
      <alignment horizontal="right" indent="1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7" fillId="2" borderId="3" xfId="0" applyFont="1" applyFill="1" applyBorder="1"/>
    <xf numFmtId="165" fontId="7" fillId="4" borderId="3" xfId="0" applyNumberFormat="1" applyFont="1" applyFill="1" applyBorder="1" applyAlignment="1">
      <alignment horizontal="right" indent="1"/>
    </xf>
    <xf numFmtId="165" fontId="7" fillId="2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0" fontId="7" fillId="2" borderId="3" xfId="0" applyFont="1" applyFill="1" applyBorder="1" applyAlignment="1">
      <alignment horizontal="left" indent="1"/>
    </xf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4"/>
    </xf>
    <xf numFmtId="165" fontId="7" fillId="4" borderId="4" xfId="0" applyNumberFormat="1" applyFont="1" applyFill="1" applyBorder="1" applyAlignment="1">
      <alignment horizontal="right" indent="1"/>
    </xf>
    <xf numFmtId="0" fontId="2" fillId="5" borderId="0" xfId="0" applyFont="1" applyFill="1"/>
    <xf numFmtId="0" fontId="10" fillId="2" borderId="0" xfId="0" applyFont="1" applyFill="1"/>
    <xf numFmtId="0" fontId="11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S%20NOTA%20IR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SANTILLANA"/>
      <sheetName val="RADIO"/>
      <sheetName val="NOTICIAS"/>
      <sheetName val="TRANSFORMACIÓN"/>
      <sheetName val="Conciliación"/>
      <sheetName val="EBITDA Ajus a EBITDA Actual"/>
      <sheetName val="To Publish"/>
      <sheetName val="MEDIA CAPITAL"/>
      <sheetName val="Hoja1"/>
    </sheetNames>
    <sheetDataSet>
      <sheetData sheetId="0">
        <row r="10">
          <cell r="T10">
            <v>796.88588326507499</v>
          </cell>
          <cell r="U10">
            <v>823.29512010346707</v>
          </cell>
          <cell r="X10">
            <v>311.218331015643</v>
          </cell>
          <cell r="Y10">
            <v>280.99725833878108</v>
          </cell>
        </row>
        <row r="11">
          <cell r="T11">
            <v>416.42221559000103</v>
          </cell>
          <cell r="U11">
            <v>411.68897085000054</v>
          </cell>
          <cell r="X11">
            <v>182.40067347000178</v>
          </cell>
          <cell r="Y11">
            <v>182.57230300000066</v>
          </cell>
        </row>
        <row r="12">
          <cell r="T12">
            <v>380.46366767507396</v>
          </cell>
          <cell r="U12">
            <v>411.60614925346653</v>
          </cell>
          <cell r="X12">
            <v>128.81765754564123</v>
          </cell>
          <cell r="Y12">
            <v>98.424955338780421</v>
          </cell>
        </row>
        <row r="13">
          <cell r="T13">
            <v>376.63046967507398</v>
          </cell>
          <cell r="U13">
            <v>408.06939225346656</v>
          </cell>
          <cell r="X13">
            <v>125.20404854564123</v>
          </cell>
          <cell r="Y13">
            <v>94.918006338780458</v>
          </cell>
        </row>
        <row r="14">
          <cell r="T14">
            <v>3.8331979999999999</v>
          </cell>
          <cell r="U14">
            <v>3.5367570000000002</v>
          </cell>
          <cell r="X14">
            <v>3.6136089999999998</v>
          </cell>
          <cell r="Y14">
            <v>3.5069490000000001</v>
          </cell>
        </row>
        <row r="15">
          <cell r="T15">
            <v>165.25046769916199</v>
          </cell>
          <cell r="U15">
            <v>167.0979963389054</v>
          </cell>
          <cell r="X15">
            <v>79.562049090603182</v>
          </cell>
          <cell r="Y15">
            <v>59.764154604313191</v>
          </cell>
        </row>
        <row r="16">
          <cell r="T16">
            <v>76.884349689999908</v>
          </cell>
          <cell r="U16">
            <v>55.840285974135668</v>
          </cell>
          <cell r="X16">
            <v>53.419959200000122</v>
          </cell>
          <cell r="Y16">
            <v>49.967098119904989</v>
          </cell>
        </row>
        <row r="17">
          <cell r="T17">
            <v>88.366118009162079</v>
          </cell>
          <cell r="U17">
            <v>111.25771036476974</v>
          </cell>
          <cell r="X17">
            <v>26.14208989060306</v>
          </cell>
          <cell r="Y17">
            <v>9.797056484408202</v>
          </cell>
        </row>
        <row r="18">
          <cell r="T18">
            <v>85.934296969162077</v>
          </cell>
          <cell r="U18">
            <v>110.89971473476974</v>
          </cell>
          <cell r="X18">
            <v>23.477572850603053</v>
          </cell>
          <cell r="Y18">
            <v>7.6779758544082028</v>
          </cell>
        </row>
        <row r="19">
          <cell r="T19">
            <v>2.43182104</v>
          </cell>
          <cell r="U19">
            <v>0.35799563000000001</v>
          </cell>
          <cell r="X19">
            <v>2.6645170399999998</v>
          </cell>
          <cell r="Y19">
            <v>2.11908063</v>
          </cell>
        </row>
        <row r="20">
          <cell r="T20">
            <v>0.20737030379065369</v>
          </cell>
          <cell r="U20">
            <v>0.20296245205231567</v>
          </cell>
          <cell r="X20">
            <v>0.25564705276503813</v>
          </cell>
          <cell r="Y20">
            <v>0.21268589934873752</v>
          </cell>
        </row>
        <row r="21">
          <cell r="T21">
            <v>100.6309908043855</v>
          </cell>
          <cell r="U21">
            <v>104.03727489308459</v>
          </cell>
          <cell r="X21">
            <v>56.932713847506498</v>
          </cell>
          <cell r="Y21">
            <v>36.598416393231446</v>
          </cell>
        </row>
        <row r="22">
          <cell r="T22">
            <v>47.333889639999164</v>
          </cell>
          <cell r="U22">
            <v>25.123249056982445</v>
          </cell>
          <cell r="X22">
            <v>39.228999559999238</v>
          </cell>
          <cell r="Y22">
            <v>34.651637090854365</v>
          </cell>
        </row>
        <row r="23">
          <cell r="T23">
            <v>53.297101164386341</v>
          </cell>
          <cell r="U23">
            <v>78.914025836102141</v>
          </cell>
          <cell r="X23">
            <v>17.70371428750726</v>
          </cell>
          <cell r="Y23">
            <v>1.946779302377081</v>
          </cell>
        </row>
        <row r="24">
          <cell r="T24">
            <v>50.919290124386343</v>
          </cell>
          <cell r="U24">
            <v>78.9230677113474</v>
          </cell>
          <cell r="X24">
            <v>15.276743247507262</v>
          </cell>
          <cell r="Y24">
            <v>0.17492450745884014</v>
          </cell>
        </row>
        <row r="25">
          <cell r="T25">
            <v>2.3778110399999899</v>
          </cell>
          <cell r="U25">
            <v>-9.0418752452553052E-3</v>
          </cell>
          <cell r="X25">
            <v>2.42697103999999</v>
          </cell>
          <cell r="Y25">
            <v>1.7718547949182484</v>
          </cell>
        </row>
        <row r="26">
          <cell r="T26">
            <v>0.1262803030116067</v>
          </cell>
          <cell r="U26">
            <v>0.12636692766988558</v>
          </cell>
          <cell r="X26">
            <v>0.18293496293007511</v>
          </cell>
          <cell r="Y26">
            <v>0.1302447454811356</v>
          </cell>
        </row>
        <row r="30">
          <cell r="T30">
            <v>802.48513470309115</v>
          </cell>
          <cell r="U30">
            <v>823.29512010346707</v>
          </cell>
          <cell r="X30">
            <v>310.1331619230844</v>
          </cell>
          <cell r="Y30">
            <v>280.99725833878108</v>
          </cell>
        </row>
        <row r="31">
          <cell r="T31">
            <v>416.4222155900012</v>
          </cell>
          <cell r="U31">
            <v>411.68897085000054</v>
          </cell>
          <cell r="X31">
            <v>182.40067347000195</v>
          </cell>
          <cell r="Y31">
            <v>182.57230300000066</v>
          </cell>
        </row>
        <row r="32">
          <cell r="T32">
            <v>386.06291911308995</v>
          </cell>
          <cell r="U32">
            <v>411.60614925346653</v>
          </cell>
          <cell r="X32">
            <v>127.73248845308245</v>
          </cell>
          <cell r="Y32">
            <v>98.424955338780421</v>
          </cell>
        </row>
        <row r="33">
          <cell r="T33">
            <v>382.22972111309002</v>
          </cell>
          <cell r="U33">
            <v>408.06939225346656</v>
          </cell>
          <cell r="X33">
            <v>124.11887945308251</v>
          </cell>
          <cell r="Y33">
            <v>94.918006338780458</v>
          </cell>
        </row>
        <row r="34">
          <cell r="T34">
            <v>3.8331979999999999</v>
          </cell>
          <cell r="U34">
            <v>3.5367570000000002</v>
          </cell>
          <cell r="X34">
            <v>3.6136089999999998</v>
          </cell>
          <cell r="Y34">
            <v>3.5069490000000001</v>
          </cell>
        </row>
        <row r="35">
          <cell r="T35">
            <v>167.18642919512274</v>
          </cell>
          <cell r="U35">
            <v>167.0979963389054</v>
          </cell>
          <cell r="X35">
            <v>80.112999167211555</v>
          </cell>
          <cell r="Y35">
            <v>59.764154604313191</v>
          </cell>
        </row>
        <row r="36">
          <cell r="T36">
            <v>76.884349689999908</v>
          </cell>
          <cell r="U36">
            <v>55.840285974135668</v>
          </cell>
          <cell r="X36">
            <v>53.419959200000143</v>
          </cell>
          <cell r="Y36">
            <v>49.967098119904989</v>
          </cell>
        </row>
        <row r="37">
          <cell r="T37">
            <v>90.302079505122833</v>
          </cell>
          <cell r="U37">
            <v>111.25771036476974</v>
          </cell>
          <cell r="X37">
            <v>26.693039967211412</v>
          </cell>
          <cell r="Y37">
            <v>9.797056484408202</v>
          </cell>
        </row>
        <row r="38">
          <cell r="T38">
            <v>87.870258465122845</v>
          </cell>
          <cell r="U38">
            <v>110.89971473476974</v>
          </cell>
          <cell r="X38">
            <v>24.028522927211419</v>
          </cell>
          <cell r="Y38">
            <v>7.6779758544082028</v>
          </cell>
        </row>
        <row r="39">
          <cell r="T39">
            <v>2.43182104</v>
          </cell>
          <cell r="U39">
            <v>0.35799563000000001</v>
          </cell>
          <cell r="X39">
            <v>2.6645170399999998</v>
          </cell>
          <cell r="Y39">
            <v>2.11908063</v>
          </cell>
        </row>
        <row r="40">
          <cell r="T40">
            <v>0.20833585815515387</v>
          </cell>
          <cell r="U40">
            <v>0.20296245205231567</v>
          </cell>
          <cell r="X40">
            <v>0.25831806785976741</v>
          </cell>
          <cell r="Y40">
            <v>0.21268589934873752</v>
          </cell>
        </row>
        <row r="41">
          <cell r="T41">
            <v>102.44297546088097</v>
          </cell>
          <cell r="U41">
            <v>104.03727489308459</v>
          </cell>
          <cell r="X41">
            <v>58.109070612288257</v>
          </cell>
          <cell r="Y41">
            <v>36.598416393231446</v>
          </cell>
        </row>
        <row r="42">
          <cell r="T42">
            <v>47.333889639999164</v>
          </cell>
          <cell r="U42">
            <v>25.123249056982445</v>
          </cell>
          <cell r="X42">
            <v>39.228999559999245</v>
          </cell>
          <cell r="Y42">
            <v>34.651637090854365</v>
          </cell>
        </row>
        <row r="43">
          <cell r="T43">
            <v>55.109085820881809</v>
          </cell>
          <cell r="U43">
            <v>78.914025836102141</v>
          </cell>
          <cell r="X43">
            <v>18.880071052289011</v>
          </cell>
          <cell r="Y43">
            <v>1.946779302377081</v>
          </cell>
        </row>
        <row r="44">
          <cell r="T44">
            <v>52.731274780881819</v>
          </cell>
          <cell r="U44">
            <v>78.9230677113474</v>
          </cell>
          <cell r="X44">
            <v>16.453100012289021</v>
          </cell>
          <cell r="Y44">
            <v>0.17492450745884014</v>
          </cell>
        </row>
        <row r="45">
          <cell r="T45">
            <v>2.3778110399999899</v>
          </cell>
          <cell r="U45">
            <v>-9.0418752452553052E-3</v>
          </cell>
          <cell r="X45">
            <v>2.42697103999999</v>
          </cell>
          <cell r="Y45">
            <v>1.7718547949182484</v>
          </cell>
        </row>
        <row r="46">
          <cell r="T46">
            <v>0.12765716276948047</v>
          </cell>
          <cell r="U46">
            <v>0.12636692766988558</v>
          </cell>
          <cell r="X46">
            <v>0.18736813003796024</v>
          </cell>
          <cell r="Y46">
            <v>0.1302447454811356</v>
          </cell>
        </row>
        <row r="51">
          <cell r="T51">
            <v>796.88588326507499</v>
          </cell>
          <cell r="U51">
            <v>823.29512010346707</v>
          </cell>
          <cell r="X51">
            <v>311.218331015643</v>
          </cell>
          <cell r="Y51">
            <v>280.99725833878108</v>
          </cell>
        </row>
        <row r="52">
          <cell r="T52">
            <v>416.42221559000103</v>
          </cell>
          <cell r="U52">
            <v>411.68897085000054</v>
          </cell>
          <cell r="X52">
            <v>182.40067347000178</v>
          </cell>
          <cell r="Y52">
            <v>182.57230300000066</v>
          </cell>
        </row>
        <row r="53">
          <cell r="T53">
            <v>380.46366767507396</v>
          </cell>
          <cell r="U53">
            <v>411.60614925346653</v>
          </cell>
          <cell r="X53">
            <v>128.81765754564123</v>
          </cell>
          <cell r="Y53">
            <v>98.424955338780421</v>
          </cell>
        </row>
        <row r="54">
          <cell r="T54">
            <v>376.63046967507398</v>
          </cell>
          <cell r="U54">
            <v>408.06939225346656</v>
          </cell>
          <cell r="X54">
            <v>125.20404854564123</v>
          </cell>
          <cell r="Y54">
            <v>94.918006338780458</v>
          </cell>
        </row>
        <row r="55">
          <cell r="T55">
            <v>3.8331979999999999</v>
          </cell>
          <cell r="U55">
            <v>3.5367570000000002</v>
          </cell>
          <cell r="X55">
            <v>3.6136089999999998</v>
          </cell>
          <cell r="Y55">
            <v>3.5069490000000001</v>
          </cell>
        </row>
        <row r="56">
          <cell r="T56">
            <v>682.67124106591302</v>
          </cell>
          <cell r="U56">
            <v>680.83852986168904</v>
          </cell>
          <cell r="X56">
            <v>231.65628192503982</v>
          </cell>
          <cell r="Y56">
            <v>229.32179343065326</v>
          </cell>
        </row>
        <row r="57">
          <cell r="T57">
            <v>390.57369140000111</v>
          </cell>
          <cell r="U57">
            <v>370.62956424000038</v>
          </cell>
          <cell r="X57">
            <v>128.98071427000167</v>
          </cell>
          <cell r="Y57">
            <v>137.56858469000065</v>
          </cell>
        </row>
        <row r="58">
          <cell r="T58">
            <v>292.09754966591186</v>
          </cell>
          <cell r="U58">
            <v>310.20896562168866</v>
          </cell>
          <cell r="X58">
            <v>102.67556765503815</v>
          </cell>
          <cell r="Y58">
            <v>91.753208740652582</v>
          </cell>
        </row>
        <row r="59">
          <cell r="T59">
            <v>290.69617270591192</v>
          </cell>
          <cell r="U59">
            <v>307.01916425168872</v>
          </cell>
          <cell r="X59">
            <v>101.72647569503818</v>
          </cell>
          <cell r="Y59">
            <v>90.361660370652658</v>
          </cell>
        </row>
        <row r="60">
          <cell r="T60">
            <v>1.4013769599999999</v>
          </cell>
          <cell r="U60">
            <v>3.1898013700000001</v>
          </cell>
          <cell r="X60">
            <v>0.94909195999999985</v>
          </cell>
          <cell r="Y60">
            <v>1.39154837</v>
          </cell>
        </row>
        <row r="61">
          <cell r="T61">
            <v>114.214642199162</v>
          </cell>
          <cell r="U61">
            <v>142.456590241778</v>
          </cell>
          <cell r="X61">
            <v>79.562049090603196</v>
          </cell>
          <cell r="Y61">
            <v>51.675464908127807</v>
          </cell>
        </row>
        <row r="62">
          <cell r="T62">
            <v>25.848524189999921</v>
          </cell>
          <cell r="U62">
            <v>41.059406610000138</v>
          </cell>
          <cell r="X62">
            <v>53.419959200000136</v>
          </cell>
          <cell r="Y62">
            <v>45.003718309999968</v>
          </cell>
        </row>
        <row r="63">
          <cell r="T63">
            <v>88.366118009162079</v>
          </cell>
          <cell r="U63">
            <v>101.39718363177786</v>
          </cell>
          <cell r="X63">
            <v>26.14208989060306</v>
          </cell>
          <cell r="Y63">
            <v>6.6717465981278394</v>
          </cell>
        </row>
        <row r="64">
          <cell r="T64">
            <v>85.934296969162077</v>
          </cell>
          <cell r="U64">
            <v>101.05022800177787</v>
          </cell>
          <cell r="X64">
            <v>23.477572850603053</v>
          </cell>
          <cell r="Y64">
            <v>4.5563459681278289</v>
          </cell>
        </row>
        <row r="65">
          <cell r="T65">
            <v>2.43182104</v>
          </cell>
          <cell r="U65">
            <v>0.34695562999999996</v>
          </cell>
          <cell r="X65">
            <v>2.6645170399999998</v>
          </cell>
          <cell r="Y65">
            <v>2.1154006299999999</v>
          </cell>
        </row>
        <row r="66">
          <cell r="T66">
            <v>0.16730548370666518</v>
          </cell>
          <cell r="U66">
            <v>0.20923696881655299</v>
          </cell>
          <cell r="X66">
            <v>0.25564705276503813</v>
          </cell>
          <cell r="Y66">
            <v>0.18390024590854151</v>
          </cell>
        </row>
        <row r="67">
          <cell r="T67">
            <v>49.595165304385503</v>
          </cell>
          <cell r="U67">
            <v>98.645203957271534</v>
          </cell>
          <cell r="X67">
            <v>56.932713847506498</v>
          </cell>
          <cell r="Y67">
            <v>34.913502233272304</v>
          </cell>
        </row>
        <row r="68">
          <cell r="T68">
            <v>-3.7019358600008374</v>
          </cell>
          <cell r="U68">
            <v>21.925525770000647</v>
          </cell>
          <cell r="X68">
            <v>39.228999559999238</v>
          </cell>
          <cell r="Y68">
            <v>33.549312640000572</v>
          </cell>
        </row>
        <row r="69">
          <cell r="T69">
            <v>53.297101164386341</v>
          </cell>
          <cell r="U69">
            <v>76.719678187270887</v>
          </cell>
          <cell r="X69">
            <v>17.70371428750726</v>
          </cell>
          <cell r="Y69">
            <v>1.3641895932717318</v>
          </cell>
        </row>
        <row r="70">
          <cell r="T70">
            <v>50.919290124386343</v>
          </cell>
          <cell r="U70">
            <v>76.712890557270882</v>
          </cell>
          <cell r="X70">
            <v>15.276743247507262</v>
          </cell>
          <cell r="Y70">
            <v>-0.41294503672826011</v>
          </cell>
        </row>
        <row r="71">
          <cell r="T71">
            <v>2.3778110399999899</v>
          </cell>
          <cell r="U71">
            <v>6.7876299999999933E-3</v>
          </cell>
          <cell r="X71">
            <v>2.42697103999999</v>
          </cell>
          <cell r="Y71">
            <v>1.7771346299999999</v>
          </cell>
        </row>
        <row r="72">
          <cell r="T72">
            <v>6.2236220199032237E-2</v>
          </cell>
          <cell r="U72">
            <v>0.11981754968361086</v>
          </cell>
          <cell r="X72">
            <v>0.18293496293007511</v>
          </cell>
          <cell r="Y72">
            <v>0.12424855117689172</v>
          </cell>
        </row>
        <row r="73">
          <cell r="T73">
            <v>-61.435525641319302</v>
          </cell>
          <cell r="U73">
            <v>-62.167173532541611</v>
          </cell>
          <cell r="X73">
            <v>-21.976677437270396</v>
          </cell>
          <cell r="Y73">
            <v>-19.660346486366308</v>
          </cell>
        </row>
        <row r="74">
          <cell r="T74">
            <v>-44.158677069347199</v>
          </cell>
          <cell r="U74">
            <v>-37.186007778383797</v>
          </cell>
          <cell r="X74">
            <v>-15.651786847649802</v>
          </cell>
          <cell r="Y74">
            <v>-13.488624533651297</v>
          </cell>
        </row>
        <row r="75">
          <cell r="T75">
            <v>-17.276848571972103</v>
          </cell>
          <cell r="U75">
            <v>-24.981165754157814</v>
          </cell>
          <cell r="X75">
            <v>-6.324890589620594</v>
          </cell>
          <cell r="Y75">
            <v>-6.1717219527150107</v>
          </cell>
        </row>
        <row r="76">
          <cell r="T76">
            <v>1.13788140134777</v>
          </cell>
          <cell r="U76">
            <v>3.0623384392276396</v>
          </cell>
          <cell r="X76">
            <v>0.54172976482838409</v>
          </cell>
          <cell r="Y76">
            <v>0.62306511645319951</v>
          </cell>
        </row>
        <row r="77">
          <cell r="T77">
            <v>-10.702478935586029</v>
          </cell>
          <cell r="U77">
            <v>39.540368863957561</v>
          </cell>
          <cell r="X77">
            <v>35.497766175064484</v>
          </cell>
          <cell r="Y77">
            <v>15.876220863359194</v>
          </cell>
        </row>
        <row r="78">
          <cell r="T78">
            <v>29.56358476505785</v>
          </cell>
          <cell r="U78">
            <v>32.107569207245199</v>
          </cell>
          <cell r="X78">
            <v>16.446725799241889</v>
          </cell>
          <cell r="Y78">
            <v>13.599780242584561</v>
          </cell>
        </row>
        <row r="79">
          <cell r="T79">
            <v>-69.859885081028111</v>
          </cell>
          <cell r="U79">
            <v>12.663824840376201</v>
          </cell>
          <cell r="X79">
            <v>-76.871206105722337</v>
          </cell>
          <cell r="Y79">
            <v>1.7951525690375991</v>
          </cell>
        </row>
        <row r="80">
          <cell r="T80">
            <v>0.31189006975065148</v>
          </cell>
          <cell r="U80">
            <v>23.0640010601565</v>
          </cell>
          <cell r="X80">
            <v>1.0696159104756386</v>
          </cell>
          <cell r="Y80">
            <v>7.4413496825367993</v>
          </cell>
        </row>
        <row r="81">
          <cell r="T81">
            <v>-110.43783885142301</v>
          </cell>
          <cell r="U81">
            <v>-2.9673765630683335</v>
          </cell>
          <cell r="X81">
            <v>-58.88978164037551</v>
          </cell>
          <cell r="Y81">
            <v>-3.3697564927239068</v>
          </cell>
        </row>
        <row r="82">
          <cell r="T82">
            <v>-76.379000000000005</v>
          </cell>
          <cell r="X82">
            <v>-76.379000000000005</v>
          </cell>
        </row>
        <row r="83">
          <cell r="T83">
            <v>-40.828660400000004</v>
          </cell>
          <cell r="X83">
            <v>0</v>
          </cell>
        </row>
        <row r="84">
          <cell r="U84">
            <v>-3.9480821973919338</v>
          </cell>
          <cell r="Y84">
            <v>-1.3793002967819761</v>
          </cell>
        </row>
        <row r="85">
          <cell r="T85">
            <v>6.7698215485780313</v>
          </cell>
          <cell r="U85">
            <v>-6.9154587604602673</v>
          </cell>
          <cell r="X85">
            <v>17.489218359626122</v>
          </cell>
          <cell r="Y85">
            <v>-4.7490567895058824</v>
          </cell>
        </row>
        <row r="99">
          <cell r="T99">
            <v>51.035825500000001</v>
          </cell>
          <cell r="U99">
            <v>-24.641406097127422</v>
          </cell>
          <cell r="X99">
            <v>0</v>
          </cell>
          <cell r="Y99">
            <v>-8.088689696185412</v>
          </cell>
        </row>
        <row r="103">
          <cell r="T103">
            <v>51.035825500000001</v>
          </cell>
          <cell r="X103">
            <v>0</v>
          </cell>
          <cell r="Y103">
            <v>0</v>
          </cell>
        </row>
        <row r="104">
          <cell r="U104">
            <v>-24.641406097127422</v>
          </cell>
          <cell r="X104">
            <v>0</v>
          </cell>
          <cell r="Y104">
            <v>-8.088689696185412</v>
          </cell>
        </row>
        <row r="105">
          <cell r="T105">
            <v>0</v>
          </cell>
          <cell r="U105">
            <v>19.249335161314367</v>
          </cell>
          <cell r="X105">
            <v>0</v>
          </cell>
          <cell r="Y105">
            <v>6.4037755362262629</v>
          </cell>
        </row>
        <row r="110">
          <cell r="U110">
            <v>19.249335161314367</v>
          </cell>
          <cell r="X110">
            <v>0</v>
          </cell>
          <cell r="Y110">
            <v>6.4037755362262629</v>
          </cell>
        </row>
        <row r="120">
          <cell r="T120">
            <v>796.88588326507499</v>
          </cell>
          <cell r="U120">
            <v>823.29512010346707</v>
          </cell>
          <cell r="X120">
            <v>311.218331015643</v>
          </cell>
          <cell r="Y120">
            <v>280.99725833878108</v>
          </cell>
        </row>
        <row r="121">
          <cell r="T121">
            <v>461.13603968567099</v>
          </cell>
          <cell r="U121">
            <v>467.59816027889303</v>
          </cell>
          <cell r="X121">
            <v>205.156496230269</v>
          </cell>
          <cell r="Y121">
            <v>166.26297127451301</v>
          </cell>
        </row>
        <row r="122">
          <cell r="T122">
            <v>196.37257326384102</v>
          </cell>
          <cell r="U122">
            <v>204.77720739574499</v>
          </cell>
          <cell r="X122">
            <v>61.872456748335026</v>
          </cell>
          <cell r="Y122">
            <v>68.800627108537981</v>
          </cell>
        </row>
        <row r="123">
          <cell r="T123">
            <v>152.93424918526998</v>
          </cell>
          <cell r="U123">
            <v>158.46020069447701</v>
          </cell>
          <cell r="X123">
            <v>48.402927849129981</v>
          </cell>
          <cell r="Y123">
            <v>48.899451987794009</v>
          </cell>
        </row>
        <row r="124">
          <cell r="T124">
            <v>-13.556978869706995</v>
          </cell>
          <cell r="U124">
            <v>-7.5404482656479672</v>
          </cell>
          <cell r="X124">
            <v>-4.2135498120910029</v>
          </cell>
          <cell r="Y124">
            <v>-2.9657920320639164</v>
          </cell>
        </row>
        <row r="132">
          <cell r="T132">
            <v>165.25046769916199</v>
          </cell>
          <cell r="U132">
            <v>167.0979963389054</v>
          </cell>
          <cell r="X132">
            <v>79.562049090603182</v>
          </cell>
          <cell r="Y132">
            <v>59.764154604313191</v>
          </cell>
        </row>
        <row r="133">
          <cell r="T133">
            <v>129.21480552604999</v>
          </cell>
          <cell r="U133">
            <v>138.98440006600089</v>
          </cell>
          <cell r="X133">
            <v>67.362332028400687</v>
          </cell>
          <cell r="Y133">
            <v>47.96797481205617</v>
          </cell>
        </row>
        <row r="134">
          <cell r="T134">
            <v>41.822380985898704</v>
          </cell>
          <cell r="U134">
            <v>40.179288020950104</v>
          </cell>
          <cell r="X134">
            <v>13.677193606604504</v>
          </cell>
          <cell r="Y134">
            <v>13.036188704209504</v>
          </cell>
        </row>
        <row r="135">
          <cell r="T135">
            <v>1.1243398419538499</v>
          </cell>
          <cell r="U135">
            <v>-1.7179928909750697</v>
          </cell>
          <cell r="X135">
            <v>-0.52044125079057002</v>
          </cell>
          <cell r="Y135">
            <v>0.25749713954377018</v>
          </cell>
        </row>
        <row r="136">
          <cell r="T136">
            <v>-6.9110586547405521</v>
          </cell>
          <cell r="U136">
            <v>-10.347698857070517</v>
          </cell>
          <cell r="X136">
            <v>-0.95703529361143858</v>
          </cell>
          <cell r="Y136">
            <v>-1.4975060514962522</v>
          </cell>
        </row>
        <row r="160">
          <cell r="U160">
            <v>164.7127907770992</v>
          </cell>
          <cell r="Y160">
            <v>70.106267293714069</v>
          </cell>
        </row>
        <row r="161">
          <cell r="U161">
            <v>-22.256200535321202</v>
          </cell>
          <cell r="Y161">
            <v>-18.430802385586272</v>
          </cell>
        </row>
        <row r="162">
          <cell r="T162">
            <v>114.214642199162</v>
          </cell>
          <cell r="U162">
            <v>142.456590241778</v>
          </cell>
          <cell r="X162">
            <v>79.562049090603196</v>
          </cell>
          <cell r="Y162">
            <v>51.675464908127807</v>
          </cell>
        </row>
        <row r="163">
          <cell r="T163">
            <v>51.035825500000001</v>
          </cell>
          <cell r="X163">
            <v>0</v>
          </cell>
        </row>
        <row r="164">
          <cell r="U164">
            <v>24.641406097127401</v>
          </cell>
          <cell r="Y164">
            <v>8.0886896961853836</v>
          </cell>
        </row>
        <row r="165">
          <cell r="T165">
            <v>165.25046769916199</v>
          </cell>
          <cell r="U165">
            <v>167.0979963389054</v>
          </cell>
          <cell r="X165">
            <v>79.562049090603182</v>
          </cell>
          <cell r="Y165">
            <v>59.764154604313191</v>
          </cell>
        </row>
        <row r="166">
          <cell r="T166">
            <v>63.211849490382498</v>
          </cell>
          <cell r="U166">
            <v>62.435232402096268</v>
          </cell>
          <cell r="X166">
            <v>22.510223617836395</v>
          </cell>
          <cell r="Y166">
            <v>22.922943031364966</v>
          </cell>
        </row>
        <row r="167">
          <cell r="T167">
            <v>1.4076274043939847</v>
          </cell>
          <cell r="U167">
            <v>0.62548904372454928</v>
          </cell>
          <cell r="X167">
            <v>0.11911162526028818</v>
          </cell>
          <cell r="Y167">
            <v>0.24279517971677933</v>
          </cell>
        </row>
        <row r="168">
          <cell r="T168">
            <v>100.6309908043855</v>
          </cell>
          <cell r="U168">
            <v>104.03727489308459</v>
          </cell>
          <cell r="X168">
            <v>56.932713847506498</v>
          </cell>
          <cell r="Y168">
            <v>36.598416393231446</v>
          </cell>
        </row>
        <row r="169">
          <cell r="T169">
            <v>-51.035825500000001</v>
          </cell>
          <cell r="X169">
            <v>0</v>
          </cell>
        </row>
        <row r="170">
          <cell r="U170">
            <v>-5.3920709358130523</v>
          </cell>
          <cell r="Y170">
            <v>-1.684914159959142</v>
          </cell>
        </row>
        <row r="171">
          <cell r="T171">
            <v>49.595165304385503</v>
          </cell>
          <cell r="U171">
            <v>98.645203957271534</v>
          </cell>
          <cell r="X171">
            <v>56.932713847506498</v>
          </cell>
          <cell r="Y171">
            <v>34.913502233272304</v>
          </cell>
        </row>
        <row r="178">
          <cell r="U178">
            <v>-11.145674050883947</v>
          </cell>
          <cell r="Y178">
            <v>-1.8030154960631819</v>
          </cell>
        </row>
        <row r="179">
          <cell r="U179">
            <v>-0.13564877040046142</v>
          </cell>
          <cell r="Y179">
            <v>-6.3257800436564704E-3</v>
          </cell>
        </row>
        <row r="180">
          <cell r="T180">
            <v>-57.946884154740538</v>
          </cell>
          <cell r="U180">
            <v>-11.281322821284396</v>
          </cell>
          <cell r="X180">
            <v>-0.95703529361142614</v>
          </cell>
          <cell r="Y180">
            <v>-1.8093412761068262</v>
          </cell>
        </row>
        <row r="181">
          <cell r="T181">
            <v>51.035825500000001</v>
          </cell>
          <cell r="X181">
            <v>0</v>
          </cell>
        </row>
        <row r="182">
          <cell r="T182">
            <v>0</v>
          </cell>
          <cell r="U182">
            <v>0.93362396421387839</v>
          </cell>
          <cell r="Y182">
            <v>0.31183522461057311</v>
          </cell>
        </row>
        <row r="183">
          <cell r="T183">
            <v>-6.9110586547405521</v>
          </cell>
          <cell r="U183">
            <v>-10.347698857070517</v>
          </cell>
          <cell r="X183">
            <v>-0.95703529361143858</v>
          </cell>
          <cell r="Y183">
            <v>-1.4975060514962522</v>
          </cell>
        </row>
        <row r="184">
          <cell r="T184">
            <v>1.024238729999988</v>
          </cell>
          <cell r="U184">
            <v>1.0520525674233339</v>
          </cell>
          <cell r="X184">
            <v>0.35627560999995644</v>
          </cell>
          <cell r="Y184">
            <v>0.34212882799064026</v>
          </cell>
        </row>
        <row r="185">
          <cell r="T185">
            <v>6.5991656583719305E-13</v>
          </cell>
          <cell r="U185">
            <v>0.10195510999956525</v>
          </cell>
          <cell r="X185">
            <v>2.4158453015843406E-13</v>
          </cell>
          <cell r="Y185">
            <v>-1.0000000040655266E-4</v>
          </cell>
        </row>
        <row r="186">
          <cell r="T186">
            <v>-7.9352973847412001</v>
          </cell>
          <cell r="U186">
            <v>-11.501706534493417</v>
          </cell>
          <cell r="X186">
            <v>-1.3133109036116366</v>
          </cell>
          <cell r="Y186">
            <v>-1.8395348794864876</v>
          </cell>
        </row>
        <row r="187">
          <cell r="T187">
            <v>-51.035825500000001</v>
          </cell>
          <cell r="X187">
            <v>0</v>
          </cell>
        </row>
        <row r="188">
          <cell r="T188">
            <v>0</v>
          </cell>
          <cell r="U188">
            <v>-9.1466723304243658E-2</v>
          </cell>
          <cell r="Y188">
            <v>-3.1116144307391735E-2</v>
          </cell>
        </row>
        <row r="189">
          <cell r="T189">
            <v>-58.971122884741199</v>
          </cell>
          <cell r="U189">
            <v>-11.593173257797661</v>
          </cell>
          <cell r="X189">
            <v>-1.3133109036116295</v>
          </cell>
          <cell r="Y189">
            <v>-1.8706510237938776</v>
          </cell>
        </row>
      </sheetData>
      <sheetData sheetId="1">
        <row r="10">
          <cell r="T10">
            <v>461.13603968567099</v>
          </cell>
          <cell r="U10">
            <v>467.59816027889303</v>
          </cell>
          <cell r="X10">
            <v>205.156496230269</v>
          </cell>
          <cell r="Y10">
            <v>166.26297127451301</v>
          </cell>
        </row>
        <row r="11">
          <cell r="T11">
            <v>149.5858448574329</v>
          </cell>
          <cell r="U11">
            <v>127.81477648009786</v>
          </cell>
          <cell r="X11">
            <v>102.93576051995419</v>
          </cell>
          <cell r="Y11">
            <v>90.513662002182286</v>
          </cell>
        </row>
        <row r="12">
          <cell r="T12">
            <v>311.55019482823809</v>
          </cell>
          <cell r="U12">
            <v>339.78338379879517</v>
          </cell>
          <cell r="X12">
            <v>102.22073571031481</v>
          </cell>
          <cell r="Y12">
            <v>75.74930927233072</v>
          </cell>
        </row>
        <row r="13">
          <cell r="T13">
            <v>307.71699682823811</v>
          </cell>
          <cell r="U13">
            <v>336.24662679879515</v>
          </cell>
          <cell r="X13">
            <v>98.607126710314844</v>
          </cell>
          <cell r="Y13">
            <v>72.2423602723307</v>
          </cell>
        </row>
        <row r="14">
          <cell r="T14">
            <v>3.8331979999999999</v>
          </cell>
          <cell r="U14">
            <v>3.5367570000000002</v>
          </cell>
          <cell r="X14">
            <v>3.6136089999999998</v>
          </cell>
          <cell r="Y14">
            <v>3.5069490000000001</v>
          </cell>
        </row>
        <row r="15">
          <cell r="T15">
            <v>129.21480552604999</v>
          </cell>
          <cell r="U15">
            <v>138.98440006600089</v>
          </cell>
          <cell r="X15">
            <v>67.362332028400687</v>
          </cell>
          <cell r="Y15">
            <v>47.96797481205617</v>
          </cell>
        </row>
        <row r="16">
          <cell r="T16">
            <v>53.888281930000204</v>
          </cell>
          <cell r="U16">
            <v>40.811198929999421</v>
          </cell>
          <cell r="X16">
            <v>50.869506420000164</v>
          </cell>
          <cell r="Y16">
            <v>43.475025639999373</v>
          </cell>
        </row>
        <row r="17">
          <cell r="T17">
            <v>75.326523596049782</v>
          </cell>
          <cell r="U17">
            <v>98.173201136001467</v>
          </cell>
          <cell r="X17">
            <v>16.492825608400523</v>
          </cell>
          <cell r="Y17">
            <v>4.4929491720567967</v>
          </cell>
        </row>
        <row r="18">
          <cell r="T18">
            <v>72.936984596049783</v>
          </cell>
          <cell r="U18">
            <v>97.700648136001462</v>
          </cell>
          <cell r="X18">
            <v>13.870590608400526</v>
          </cell>
          <cell r="Y18">
            <v>2.2593111720567975</v>
          </cell>
        </row>
        <row r="19">
          <cell r="T19">
            <v>2.3895390000000001</v>
          </cell>
          <cell r="U19">
            <v>0.472553000000001</v>
          </cell>
          <cell r="X19">
            <v>2.6222349999999999</v>
          </cell>
          <cell r="Y19">
            <v>2.2336380000000009</v>
          </cell>
        </row>
        <row r="20">
          <cell r="T20">
            <v>0.2802097307643272</v>
          </cell>
          <cell r="U20">
            <v>0.29723042533594529</v>
          </cell>
          <cell r="X20">
            <v>0.32834608343472954</v>
          </cell>
          <cell r="Y20">
            <v>0.28850666173201811</v>
          </cell>
        </row>
        <row r="21">
          <cell r="T21">
            <v>86.389801575300794</v>
          </cell>
          <cell r="U21">
            <v>96.727014648000008</v>
          </cell>
          <cell r="X21">
            <v>51.859808965320795</v>
          </cell>
          <cell r="Y21">
            <v>31.670192269014194</v>
          </cell>
        </row>
        <row r="22">
          <cell r="T22">
            <v>40.940197979999859</v>
          </cell>
          <cell r="U22">
            <v>26.620421179999767</v>
          </cell>
          <cell r="X22">
            <v>42.22640317999943</v>
          </cell>
          <cell r="Y22">
            <v>33.638256449999943</v>
          </cell>
        </row>
        <row r="23">
          <cell r="T23">
            <v>45.449603595300935</v>
          </cell>
          <cell r="U23">
            <v>70.106593468000241</v>
          </cell>
          <cell r="X23">
            <v>9.633405785321365</v>
          </cell>
          <cell r="Y23">
            <v>-1.9680641809857491</v>
          </cell>
        </row>
        <row r="24">
          <cell r="T24">
            <v>43.114074595300934</v>
          </cell>
          <cell r="U24">
            <v>69.984218468000236</v>
          </cell>
          <cell r="X24">
            <v>7.2487167853213634</v>
          </cell>
          <cell r="Y24">
            <v>-3.8600961809857495</v>
          </cell>
        </row>
        <row r="25">
          <cell r="T25">
            <v>2.3355290000000002</v>
          </cell>
          <cell r="U25">
            <v>0.12237500000000001</v>
          </cell>
          <cell r="X25">
            <v>2.3846890000000003</v>
          </cell>
          <cell r="Y25">
            <v>1.8920319999999999</v>
          </cell>
        </row>
        <row r="26">
          <cell r="T26">
            <v>0.18734124887351589</v>
          </cell>
          <cell r="U26">
            <v>0.20685927119625191</v>
          </cell>
          <cell r="X26">
            <v>0.25278170527494781</v>
          </cell>
          <cell r="Y26">
            <v>0.19048253514442648</v>
          </cell>
        </row>
        <row r="30">
          <cell r="T30">
            <v>463.49198919224483</v>
          </cell>
          <cell r="U30">
            <v>467.59816027889303</v>
          </cell>
          <cell r="X30">
            <v>203.01062031380275</v>
          </cell>
          <cell r="Y30">
            <v>166.26297127451301</v>
          </cell>
        </row>
        <row r="31">
          <cell r="T31">
            <v>149.5858448574329</v>
          </cell>
          <cell r="U31">
            <v>127.81477648009786</v>
          </cell>
          <cell r="X31">
            <v>102.93576051995421</v>
          </cell>
          <cell r="Y31">
            <v>90.513662002182286</v>
          </cell>
        </row>
        <row r="32">
          <cell r="T32">
            <v>313.90614433481193</v>
          </cell>
          <cell r="U32">
            <v>339.78338379879517</v>
          </cell>
          <cell r="X32">
            <v>100.07485979384853</v>
          </cell>
          <cell r="Y32">
            <v>75.74930927233072</v>
          </cell>
        </row>
        <row r="33">
          <cell r="T33">
            <v>310.07294633481195</v>
          </cell>
          <cell r="U33">
            <v>336.24662679879515</v>
          </cell>
          <cell r="X33">
            <v>96.461250793848563</v>
          </cell>
          <cell r="Y33">
            <v>72.2423602723307</v>
          </cell>
        </row>
        <row r="34">
          <cell r="T34">
            <v>3.8331979999999999</v>
          </cell>
          <cell r="U34">
            <v>3.5367570000000002</v>
          </cell>
          <cell r="X34">
            <v>3.6136089999999998</v>
          </cell>
          <cell r="Y34">
            <v>3.5069490000000001</v>
          </cell>
        </row>
        <row r="35">
          <cell r="T35">
            <v>130.60836169908396</v>
          </cell>
          <cell r="U35">
            <v>138.98440006600089</v>
          </cell>
          <cell r="X35">
            <v>67.23412641283565</v>
          </cell>
          <cell r="Y35">
            <v>47.96797481205617</v>
          </cell>
        </row>
        <row r="36">
          <cell r="T36">
            <v>53.888281930000204</v>
          </cell>
          <cell r="U36">
            <v>40.811198929999421</v>
          </cell>
          <cell r="X36">
            <v>50.869506420000171</v>
          </cell>
          <cell r="Y36">
            <v>43.475025639999373</v>
          </cell>
        </row>
        <row r="37">
          <cell r="T37">
            <v>76.720079769083753</v>
          </cell>
          <cell r="U37">
            <v>98.173201136001467</v>
          </cell>
          <cell r="X37">
            <v>16.364619992835486</v>
          </cell>
          <cell r="Y37">
            <v>4.4929491720567967</v>
          </cell>
        </row>
        <row r="38">
          <cell r="T38">
            <v>74.330540769083754</v>
          </cell>
          <cell r="U38">
            <v>97.700648136001462</v>
          </cell>
          <cell r="X38">
            <v>13.74238499283549</v>
          </cell>
          <cell r="Y38">
            <v>2.2593111720567975</v>
          </cell>
        </row>
        <row r="39">
          <cell r="T39">
            <v>2.3895390000000001</v>
          </cell>
          <cell r="U39">
            <v>0.472553000000001</v>
          </cell>
          <cell r="X39">
            <v>2.6222349999999999</v>
          </cell>
          <cell r="Y39">
            <v>2.2336380000000009</v>
          </cell>
        </row>
        <row r="40">
          <cell r="T40">
            <v>0.2817920584273807</v>
          </cell>
          <cell r="U40">
            <v>0.29723042533594529</v>
          </cell>
          <cell r="X40">
            <v>0.33118526660777059</v>
          </cell>
          <cell r="Y40">
            <v>0.28850666173201811</v>
          </cell>
        </row>
        <row r="41">
          <cell r="T41">
            <v>87.887914148464148</v>
          </cell>
          <cell r="U41">
            <v>96.727014648000008</v>
          </cell>
          <cell r="X41">
            <v>52.441866461954312</v>
          </cell>
          <cell r="Y41">
            <v>31.670192269014194</v>
          </cell>
        </row>
        <row r="42">
          <cell r="T42">
            <v>40.940197979999866</v>
          </cell>
          <cell r="U42">
            <v>26.620421179999767</v>
          </cell>
          <cell r="X42">
            <v>42.226403179999437</v>
          </cell>
          <cell r="Y42">
            <v>33.638256449999943</v>
          </cell>
        </row>
        <row r="43">
          <cell r="T43">
            <v>46.947716168464282</v>
          </cell>
          <cell r="U43">
            <v>70.106593468000241</v>
          </cell>
          <cell r="X43">
            <v>10.215463281954875</v>
          </cell>
          <cell r="Y43">
            <v>-1.9680641809857491</v>
          </cell>
        </row>
        <row r="44">
          <cell r="T44">
            <v>44.612187168464281</v>
          </cell>
          <cell r="U44">
            <v>69.984218468000236</v>
          </cell>
          <cell r="X44">
            <v>7.8307742819548736</v>
          </cell>
          <cell r="Y44">
            <v>-3.8600961809857495</v>
          </cell>
        </row>
        <row r="45">
          <cell r="T45">
            <v>2.3355290000000002</v>
          </cell>
          <cell r="U45">
            <v>0.12237500000000001</v>
          </cell>
          <cell r="X45">
            <v>2.3846890000000003</v>
          </cell>
          <cell r="Y45">
            <v>1.8920319999999999</v>
          </cell>
        </row>
        <row r="46">
          <cell r="T46">
            <v>0.18962121503250071</v>
          </cell>
          <cell r="U46">
            <v>0.20685927119625191</v>
          </cell>
          <cell r="X46">
            <v>0.25832080302445526</v>
          </cell>
          <cell r="Y46">
            <v>0.19048253514442648</v>
          </cell>
        </row>
        <row r="51">
          <cell r="T51">
            <v>461.13603968567099</v>
          </cell>
          <cell r="U51">
            <v>467.59816027889303</v>
          </cell>
          <cell r="X51">
            <v>205.156496230269</v>
          </cell>
          <cell r="Y51">
            <v>166.26297127451301</v>
          </cell>
        </row>
        <row r="52">
          <cell r="T52">
            <v>149.5858448574329</v>
          </cell>
          <cell r="U52">
            <v>127.81477648009786</v>
          </cell>
          <cell r="X52">
            <v>102.93576051995419</v>
          </cell>
          <cell r="Y52">
            <v>90.513662002182286</v>
          </cell>
        </row>
        <row r="53">
          <cell r="T53">
            <v>311.55019482823809</v>
          </cell>
          <cell r="U53">
            <v>339.78338379879517</v>
          </cell>
          <cell r="X53">
            <v>102.22073571031481</v>
          </cell>
          <cell r="Y53">
            <v>75.74930927233072</v>
          </cell>
        </row>
        <row r="54">
          <cell r="T54">
            <v>307.71699682823811</v>
          </cell>
          <cell r="U54">
            <v>336.24662679879515</v>
          </cell>
          <cell r="X54">
            <v>98.607126710314844</v>
          </cell>
          <cell r="Y54">
            <v>72.2423602723307</v>
          </cell>
        </row>
        <row r="55">
          <cell r="T55">
            <v>3.8331979999999999</v>
          </cell>
          <cell r="U55">
            <v>3.5367570000000002</v>
          </cell>
          <cell r="X55">
            <v>3.6136089999999998</v>
          </cell>
          <cell r="Y55">
            <v>3.5069490000000001</v>
          </cell>
        </row>
        <row r="56">
          <cell r="T56">
            <v>331.92123415962101</v>
          </cell>
          <cell r="U56">
            <v>338.67768994588403</v>
          </cell>
          <cell r="X56">
            <v>137.79416420186831</v>
          </cell>
          <cell r="Y56">
            <v>121.5362763487372</v>
          </cell>
        </row>
        <row r="57">
          <cell r="T57">
            <v>95.697562927432699</v>
          </cell>
          <cell r="U57">
            <v>90.293177550098463</v>
          </cell>
          <cell r="X57">
            <v>52.066254099954023</v>
          </cell>
          <cell r="Y57">
            <v>48.162296362182943</v>
          </cell>
        </row>
        <row r="58">
          <cell r="T58">
            <v>236.22367123218831</v>
          </cell>
          <cell r="U58">
            <v>248.38451239578558</v>
          </cell>
          <cell r="X58">
            <v>85.72791010191429</v>
          </cell>
          <cell r="Y58">
            <v>73.373979986554275</v>
          </cell>
        </row>
        <row r="59">
          <cell r="T59">
            <v>234.78001223218831</v>
          </cell>
          <cell r="U59">
            <v>245.30926839578552</v>
          </cell>
          <cell r="X59">
            <v>84.736536101914311</v>
          </cell>
          <cell r="Y59">
            <v>72.096988986554209</v>
          </cell>
        </row>
        <row r="60">
          <cell r="T60">
            <v>1.4436589999999998</v>
          </cell>
          <cell r="U60">
            <v>3.0752439999999992</v>
          </cell>
          <cell r="X60">
            <v>0.99137399999999976</v>
          </cell>
          <cell r="Y60">
            <v>1.2769909999999991</v>
          </cell>
        </row>
        <row r="61">
          <cell r="T61">
            <v>129.21480552604999</v>
          </cell>
          <cell r="U61">
            <v>128.92047033300901</v>
          </cell>
          <cell r="X61">
            <v>67.362332028400687</v>
          </cell>
          <cell r="Y61">
            <v>44.726694925775803</v>
          </cell>
        </row>
        <row r="62">
          <cell r="T62">
            <v>53.888281930000204</v>
          </cell>
          <cell r="U62">
            <v>37.521598929999399</v>
          </cell>
          <cell r="X62">
            <v>50.869506420000164</v>
          </cell>
          <cell r="Y62">
            <v>42.351365639999344</v>
          </cell>
        </row>
        <row r="63">
          <cell r="T63">
            <v>75.326523596049782</v>
          </cell>
          <cell r="U63">
            <v>91.398871403009608</v>
          </cell>
          <cell r="X63">
            <v>16.492825608400523</v>
          </cell>
          <cell r="Y63">
            <v>2.3753292857764592</v>
          </cell>
        </row>
        <row r="64">
          <cell r="T64">
            <v>72.936984596049783</v>
          </cell>
          <cell r="U64">
            <v>90.937358403009611</v>
          </cell>
          <cell r="X64">
            <v>13.870590608400526</v>
          </cell>
          <cell r="Y64">
            <v>0.14537128577646286</v>
          </cell>
        </row>
        <row r="65">
          <cell r="T65">
            <v>2.3895390000000001</v>
          </cell>
          <cell r="U65">
            <v>0.46151300000000101</v>
          </cell>
          <cell r="X65">
            <v>2.6222349999999999</v>
          </cell>
          <cell r="Y65">
            <v>2.2299580000000012</v>
          </cell>
        </row>
        <row r="66">
          <cell r="T66">
            <v>0.2802097307643272</v>
          </cell>
          <cell r="U66">
            <v>0.27570782198141247</v>
          </cell>
          <cell r="X66">
            <v>0.32834608343472954</v>
          </cell>
          <cell r="Y66">
            <v>0.26901176240817071</v>
          </cell>
        </row>
        <row r="67">
          <cell r="T67">
            <v>86.389801575300794</v>
          </cell>
          <cell r="U67">
            <v>94.944594493923503</v>
          </cell>
          <cell r="X67">
            <v>51.859808965320795</v>
          </cell>
          <cell r="Y67">
            <v>31.1894127248271</v>
          </cell>
        </row>
        <row r="68">
          <cell r="T68">
            <v>40.940197979999859</v>
          </cell>
          <cell r="U68">
            <v>26.253261179999782</v>
          </cell>
          <cell r="X68">
            <v>42.22640317999943</v>
          </cell>
          <cell r="Y68">
            <v>33.488746449999958</v>
          </cell>
        </row>
        <row r="69">
          <cell r="T69">
            <v>45.449603595300935</v>
          </cell>
          <cell r="U69">
            <v>68.691333313923721</v>
          </cell>
          <cell r="X69">
            <v>9.633405785321365</v>
          </cell>
          <cell r="Y69">
            <v>-2.2993337251728576</v>
          </cell>
        </row>
        <row r="70">
          <cell r="T70">
            <v>43.114074595300934</v>
          </cell>
          <cell r="U70">
            <v>68.569988313923716</v>
          </cell>
          <cell r="X70">
            <v>7.2487167853213634</v>
          </cell>
          <cell r="Y70">
            <v>-4.1910257251728638</v>
          </cell>
        </row>
        <row r="71">
          <cell r="T71">
            <v>2.3355290000000002</v>
          </cell>
          <cell r="U71">
            <v>0.12134499999999999</v>
          </cell>
          <cell r="X71">
            <v>2.3846890000000003</v>
          </cell>
          <cell r="Y71">
            <v>1.8916919999999999</v>
          </cell>
        </row>
        <row r="72">
          <cell r="T72">
            <v>0.18734124887351589</v>
          </cell>
          <cell r="U72">
            <v>0.20304740813628308</v>
          </cell>
          <cell r="X72">
            <v>0.25278170527494781</v>
          </cell>
          <cell r="Y72">
            <v>0.18759085372852485</v>
          </cell>
        </row>
        <row r="80">
          <cell r="AC80">
            <v>0</v>
          </cell>
          <cell r="AD80">
            <v>0</v>
          </cell>
          <cell r="AG80">
            <v>0</v>
          </cell>
          <cell r="AH80">
            <v>0</v>
          </cell>
        </row>
        <row r="87">
          <cell r="U87">
            <v>-10.063929732991873</v>
          </cell>
          <cell r="X87">
            <v>0</v>
          </cell>
          <cell r="Y87">
            <v>-3.2412798862803598</v>
          </cell>
        </row>
        <row r="92">
          <cell r="U92">
            <v>8.2815095789153634</v>
          </cell>
          <cell r="X92">
            <v>0</v>
          </cell>
          <cell r="Y92">
            <v>2.7605003420932617</v>
          </cell>
        </row>
        <row r="167">
          <cell r="U167">
            <v>148.57634113183371</v>
          </cell>
          <cell r="Y167">
            <v>62.720535293190764</v>
          </cell>
        </row>
        <row r="168">
          <cell r="U168">
            <v>-19.655870798824701</v>
          </cell>
          <cell r="Y168">
            <v>-17.993840367414961</v>
          </cell>
        </row>
        <row r="169">
          <cell r="T169">
            <v>129.21480552604999</v>
          </cell>
          <cell r="U169">
            <v>128.92047033300901</v>
          </cell>
          <cell r="X169">
            <v>67.362332028400687</v>
          </cell>
          <cell r="Y169">
            <v>44.726694925775803</v>
          </cell>
        </row>
        <row r="170">
          <cell r="U170">
            <v>10.06392973299188</v>
          </cell>
          <cell r="Y170">
            <v>3.2412798862803669</v>
          </cell>
        </row>
        <row r="171">
          <cell r="T171">
            <v>129.21480552604999</v>
          </cell>
          <cell r="U171">
            <v>138.98440006600089</v>
          </cell>
          <cell r="X171">
            <v>67.362332028400687</v>
          </cell>
          <cell r="Y171">
            <v>47.96797481205617</v>
          </cell>
        </row>
        <row r="172">
          <cell r="T172">
            <v>41.4439632363556</v>
          </cell>
          <cell r="U172">
            <v>41.668202052954861</v>
          </cell>
          <cell r="X172">
            <v>15.383411437819699</v>
          </cell>
          <cell r="Y172">
            <v>16.013734492003859</v>
          </cell>
        </row>
        <row r="173">
          <cell r="T173">
            <v>1.3810407143935919</v>
          </cell>
          <cell r="U173">
            <v>0.58918336504601854</v>
          </cell>
          <cell r="X173">
            <v>0.11911162526019226</v>
          </cell>
          <cell r="Y173">
            <v>0.28404805103811626</v>
          </cell>
        </row>
        <row r="174">
          <cell r="T174">
            <v>86.389801575300794</v>
          </cell>
          <cell r="U174">
            <v>96.727014648000008</v>
          </cell>
          <cell r="X174">
            <v>51.859808965320795</v>
          </cell>
          <cell r="Y174">
            <v>31.670192269014194</v>
          </cell>
        </row>
        <row r="175">
          <cell r="U175">
            <v>-1.7824201540765046</v>
          </cell>
          <cell r="Y175">
            <v>-0.48077954418709368</v>
          </cell>
        </row>
        <row r="176">
          <cell r="T176">
            <v>86.389801575300794</v>
          </cell>
          <cell r="U176">
            <v>94.944594493923503</v>
          </cell>
          <cell r="X176">
            <v>51.859808965320795</v>
          </cell>
          <cell r="Y176">
            <v>31.1894127248271</v>
          </cell>
        </row>
      </sheetData>
      <sheetData sheetId="2">
        <row r="10">
          <cell r="T10">
            <v>196.37257326384102</v>
          </cell>
          <cell r="U10">
            <v>204.77720739574499</v>
          </cell>
          <cell r="X10">
            <v>61.872456748335026</v>
          </cell>
          <cell r="Y10">
            <v>68.800627108537981</v>
          </cell>
        </row>
        <row r="11">
          <cell r="T11">
            <v>133.15707760000001</v>
          </cell>
          <cell r="U11">
            <v>133.80983763</v>
          </cell>
          <cell r="X11">
            <v>37.155630799999997</v>
          </cell>
          <cell r="Y11">
            <v>40.194304450000004</v>
          </cell>
        </row>
        <row r="12">
          <cell r="T12">
            <v>66.196770385400299</v>
          </cell>
          <cell r="U12">
            <v>64.858720202276899</v>
          </cell>
          <cell r="X12">
            <v>25.663951134878801</v>
          </cell>
          <cell r="Y12">
            <v>21.008810753749195</v>
          </cell>
        </row>
        <row r="13">
          <cell r="T13">
            <v>3.4724490000000004E-2</v>
          </cell>
          <cell r="U13">
            <v>12.3321652053998</v>
          </cell>
          <cell r="X13">
            <v>8.7313700000000022E-3</v>
          </cell>
          <cell r="Y13">
            <v>9.8532002521037505</v>
          </cell>
        </row>
        <row r="14">
          <cell r="T14">
            <v>-3.0159992115592877</v>
          </cell>
          <cell r="U14">
            <v>-6.2235156419317086</v>
          </cell>
          <cell r="X14">
            <v>-0.95585655654377222</v>
          </cell>
          <cell r="Y14">
            <v>-2.2556883473149685</v>
          </cell>
        </row>
        <row r="15">
          <cell r="T15">
            <v>209.65237414265451</v>
          </cell>
          <cell r="U15">
            <v>219.36274851951899</v>
          </cell>
          <cell r="X15">
            <v>66.478301924358107</v>
          </cell>
          <cell r="Y15">
            <v>73.182352351024491</v>
          </cell>
        </row>
        <row r="16">
          <cell r="T16">
            <v>41.822380985898704</v>
          </cell>
          <cell r="U16">
            <v>40.179288020950104</v>
          </cell>
          <cell r="X16">
            <v>13.677193606604504</v>
          </cell>
          <cell r="Y16">
            <v>13.036188704209504</v>
          </cell>
        </row>
        <row r="17">
          <cell r="T17">
            <v>25.024464700000099</v>
          </cell>
          <cell r="U17">
            <v>23.767473709999997</v>
          </cell>
          <cell r="X17">
            <v>3.4758251299999969</v>
          </cell>
          <cell r="Y17">
            <v>6.389837240000098</v>
          </cell>
        </row>
        <row r="18">
          <cell r="T18">
            <v>16.931259415898701</v>
          </cell>
          <cell r="U18">
            <v>16.7279530251007</v>
          </cell>
          <cell r="X18">
            <v>10.223321476604522</v>
          </cell>
          <cell r="Y18">
            <v>6.2132200501433505</v>
          </cell>
        </row>
        <row r="19">
          <cell r="T19">
            <v>-4.6556130000000001E-2</v>
          </cell>
          <cell r="U19">
            <v>0.111691285849216</v>
          </cell>
          <cell r="X19">
            <v>1.4409999999999978E-3</v>
          </cell>
          <cell r="Y19">
            <v>0.43213141406590605</v>
          </cell>
        </row>
        <row r="20">
          <cell r="T20">
            <v>-8.678700000009601E-2</v>
          </cell>
          <cell r="U20">
            <v>-0.42782999999980936</v>
          </cell>
          <cell r="X20">
            <v>-2.339400000001321E-2</v>
          </cell>
          <cell r="Y20">
            <v>1.0000000001495479E-3</v>
          </cell>
        </row>
        <row r="21">
          <cell r="T21">
            <v>0.21297465471263777</v>
          </cell>
          <cell r="U21">
            <v>0.1962097663696579</v>
          </cell>
          <cell r="X21">
            <v>0.221054639259537</v>
          </cell>
          <cell r="Y21">
            <v>0.18947775989954235</v>
          </cell>
        </row>
        <row r="22">
          <cell r="T22">
            <v>45.694294780931784</v>
          </cell>
          <cell r="U22">
            <v>45.976241127282904</v>
          </cell>
          <cell r="X22">
            <v>15.068552123939167</v>
          </cell>
          <cell r="Y22">
            <v>14.550925592766419</v>
          </cell>
        </row>
        <row r="23">
          <cell r="T23">
            <v>28.3653771076156</v>
          </cell>
          <cell r="U23">
            <v>27.084196248669198</v>
          </cell>
          <cell r="X23">
            <v>9.3572877868645996</v>
          </cell>
          <cell r="Y23">
            <v>8.7290848720239964</v>
          </cell>
        </row>
        <row r="24">
          <cell r="T24">
            <v>16.5681210300001</v>
          </cell>
          <cell r="U24">
            <v>14.805944300000101</v>
          </cell>
          <cell r="X24">
            <v>0.67812074000000244</v>
          </cell>
          <cell r="Y24">
            <v>3.4242196400001035</v>
          </cell>
        </row>
        <row r="25">
          <cell r="T25">
            <v>11.9305992076153</v>
          </cell>
          <cell r="U25">
            <v>12.598401299018001</v>
          </cell>
          <cell r="X25">
            <v>8.7011200468644709</v>
          </cell>
          <cell r="Y25">
            <v>4.8730732466632807</v>
          </cell>
        </row>
        <row r="26">
          <cell r="T26">
            <v>-4.6556130000000001E-2</v>
          </cell>
          <cell r="U26">
            <v>0.107680649651046</v>
          </cell>
          <cell r="X26">
            <v>1.4409999999999978E-3</v>
          </cell>
          <cell r="Y26">
            <v>0.43079198536063301</v>
          </cell>
        </row>
        <row r="27">
          <cell r="T27">
            <v>-8.6786999999799358E-2</v>
          </cell>
          <cell r="U27">
            <v>-0.42782999999995036</v>
          </cell>
          <cell r="X27">
            <v>-2.3393999999872878E-2</v>
          </cell>
          <cell r="Y27">
            <v>9.9999999997923972E-4</v>
          </cell>
        </row>
        <row r="28">
          <cell r="T28">
            <v>0.14444673528570931</v>
          </cell>
          <cell r="U28">
            <v>0.13226177167426287</v>
          </cell>
          <cell r="X28">
            <v>0.15123510975045293</v>
          </cell>
          <cell r="Y28">
            <v>0.12687507714505614</v>
          </cell>
        </row>
        <row r="29">
          <cell r="T29">
            <v>31.456321626489022</v>
          </cell>
          <cell r="U29">
            <v>32.26563472780235</v>
          </cell>
          <cell r="X29">
            <v>10.473498102677397</v>
          </cell>
          <cell r="Y29">
            <v>10.034259194320292</v>
          </cell>
        </row>
        <row r="33">
          <cell r="T33">
            <v>199.77136930690799</v>
          </cell>
          <cell r="U33">
            <v>204.77720739574499</v>
          </cell>
          <cell r="X33">
            <v>62.988919533157969</v>
          </cell>
          <cell r="Y33">
            <v>68.800627108537981</v>
          </cell>
        </row>
        <row r="34">
          <cell r="T34">
            <v>133.15707760000001</v>
          </cell>
          <cell r="U34">
            <v>133.80983763</v>
          </cell>
          <cell r="X34">
            <v>37.155630799999997</v>
          </cell>
          <cell r="Y34">
            <v>40.194304450000004</v>
          </cell>
        </row>
        <row r="35">
          <cell r="T35">
            <v>69.574668061759098</v>
          </cell>
          <cell r="U35">
            <v>64.858720202276899</v>
          </cell>
          <cell r="X35">
            <v>26.773793349089999</v>
          </cell>
          <cell r="Y35">
            <v>21.008810753749195</v>
          </cell>
        </row>
        <row r="36">
          <cell r="T36">
            <v>3.4724490000000004E-2</v>
          </cell>
          <cell r="U36">
            <v>12.3321652053998</v>
          </cell>
          <cell r="X36">
            <v>8.7313700000000022E-3</v>
          </cell>
          <cell r="Y36">
            <v>9.8532002521037505</v>
          </cell>
        </row>
        <row r="37">
          <cell r="T37">
            <v>-2.9951008448511209</v>
          </cell>
          <cell r="U37">
            <v>-6.2235156419317086</v>
          </cell>
          <cell r="X37">
            <v>-0.94923598593202785</v>
          </cell>
          <cell r="Y37">
            <v>-2.2556883473149685</v>
          </cell>
        </row>
        <row r="38">
          <cell r="T38">
            <v>212.41475945112487</v>
          </cell>
          <cell r="U38">
            <v>219.36274851951899</v>
          </cell>
          <cell r="X38">
            <v>67.503149006740784</v>
          </cell>
          <cell r="Y38">
            <v>73.182352351024491</v>
          </cell>
        </row>
        <row r="39">
          <cell r="T39">
            <v>42.3285183309616</v>
          </cell>
          <cell r="U39">
            <v>40.179288020950104</v>
          </cell>
          <cell r="X39">
            <v>14.334198778647298</v>
          </cell>
          <cell r="Y39">
            <v>13.036188704209504</v>
          </cell>
        </row>
        <row r="40">
          <cell r="T40">
            <v>25.024464700000099</v>
          </cell>
          <cell r="U40">
            <v>23.767473709999997</v>
          </cell>
          <cell r="X40">
            <v>3.4758251299999969</v>
          </cell>
          <cell r="Y40">
            <v>6.389837240000098</v>
          </cell>
        </row>
        <row r="41">
          <cell r="T41">
            <v>17.437396760961601</v>
          </cell>
          <cell r="U41">
            <v>16.7279530251007</v>
          </cell>
          <cell r="X41">
            <v>10.880326648647431</v>
          </cell>
          <cell r="Y41">
            <v>6.2132200501433505</v>
          </cell>
        </row>
        <row r="42">
          <cell r="T42">
            <v>-4.6556130000000001E-2</v>
          </cell>
          <cell r="U42">
            <v>0.111691285849216</v>
          </cell>
          <cell r="X42">
            <v>1.4409999999999978E-3</v>
          </cell>
          <cell r="Y42">
            <v>0.43213141406590605</v>
          </cell>
        </row>
        <row r="43">
          <cell r="T43">
            <v>-8.6787000000099562E-2</v>
          </cell>
          <cell r="U43">
            <v>-0.42782999999980936</v>
          </cell>
          <cell r="X43">
            <v>-2.3394000000129561E-2</v>
          </cell>
          <cell r="Y43">
            <v>1.0000000001495479E-3</v>
          </cell>
        </row>
        <row r="44">
          <cell r="T44">
            <v>0.21188480850793218</v>
          </cell>
          <cell r="U44">
            <v>0.1962097663696579</v>
          </cell>
          <cell r="X44">
            <v>0.22756698931947292</v>
          </cell>
          <cell r="Y44">
            <v>0.18947775989954235</v>
          </cell>
        </row>
        <row r="45">
          <cell r="T45">
            <v>46.00929998660974</v>
          </cell>
          <cell r="U45">
            <v>45.976241127282904</v>
          </cell>
          <cell r="X45">
            <v>15.697391569322033</v>
          </cell>
          <cell r="Y45">
            <v>14.550925592766419</v>
          </cell>
        </row>
        <row r="46">
          <cell r="T46">
            <v>28.634860375783799</v>
          </cell>
          <cell r="U46">
            <v>27.084196248669198</v>
          </cell>
          <cell r="X46">
            <v>9.9283750053004987</v>
          </cell>
          <cell r="Y46">
            <v>8.7290848720239964</v>
          </cell>
        </row>
        <row r="47">
          <cell r="T47">
            <v>16.5681210300001</v>
          </cell>
          <cell r="U47">
            <v>14.805944300000101</v>
          </cell>
          <cell r="X47">
            <v>0.67812074000000244</v>
          </cell>
          <cell r="Y47">
            <v>3.4242196400001035</v>
          </cell>
        </row>
        <row r="48">
          <cell r="T48">
            <v>12.200082475783701</v>
          </cell>
          <cell r="U48">
            <v>12.598401299018001</v>
          </cell>
          <cell r="X48">
            <v>9.2722072653005601</v>
          </cell>
          <cell r="Y48">
            <v>4.8730732466632807</v>
          </cell>
        </row>
        <row r="49">
          <cell r="T49">
            <v>-4.6556130000000001E-2</v>
          </cell>
          <cell r="U49">
            <v>0.107680649651046</v>
          </cell>
          <cell r="X49">
            <v>1.4409999999999978E-3</v>
          </cell>
          <cell r="Y49">
            <v>0.43079198536063301</v>
          </cell>
        </row>
        <row r="50">
          <cell r="T50">
            <v>-8.6787000000001863E-2</v>
          </cell>
          <cell r="U50">
            <v>-0.42782999999995036</v>
          </cell>
          <cell r="X50">
            <v>-2.339400000006428E-2</v>
          </cell>
          <cell r="Y50">
            <v>9.9999999997923972E-4</v>
          </cell>
        </row>
        <row r="51">
          <cell r="T51">
            <v>0.14333815939256125</v>
          </cell>
          <cell r="U51">
            <v>0.13226177167426287</v>
          </cell>
          <cell r="X51">
            <v>0.15762097649689177</v>
          </cell>
          <cell r="Y51">
            <v>0.12687507714505614</v>
          </cell>
        </row>
        <row r="52">
          <cell r="T52">
            <v>31.5712232099381</v>
          </cell>
          <cell r="U52">
            <v>32.26563472780235</v>
          </cell>
          <cell r="X52">
            <v>11.021797429627917</v>
          </cell>
          <cell r="Y52">
            <v>10.034259194320292</v>
          </cell>
        </row>
        <row r="56">
          <cell r="T56">
            <v>196.37257326384102</v>
          </cell>
          <cell r="U56">
            <v>204.77720739574499</v>
          </cell>
          <cell r="X56">
            <v>61.872456748335026</v>
          </cell>
          <cell r="Y56">
            <v>68.800627108537981</v>
          </cell>
        </row>
        <row r="57">
          <cell r="T57">
            <v>181.13950660322499</v>
          </cell>
          <cell r="U57">
            <v>183.82172244491599</v>
          </cell>
          <cell r="X57">
            <v>54.782423203936986</v>
          </cell>
          <cell r="Y57">
            <v>55.988067600998988</v>
          </cell>
        </row>
        <row r="58">
          <cell r="T58">
            <v>123.57022860000001</v>
          </cell>
          <cell r="U58">
            <v>121.96309372</v>
          </cell>
          <cell r="X58">
            <v>34.101068859999998</v>
          </cell>
          <cell r="Y58">
            <v>35.913670530000005</v>
          </cell>
        </row>
        <row r="59">
          <cell r="T59">
            <v>57.767303534008704</v>
          </cell>
          <cell r="U59">
            <v>62.006190773596401</v>
          </cell>
          <cell r="X59">
            <v>20.737495150125305</v>
          </cell>
          <cell r="Y59">
            <v>20.1041003072298</v>
          </cell>
        </row>
        <row r="60">
          <cell r="T60">
            <v>-0.19802553078372398</v>
          </cell>
          <cell r="U60">
            <v>-0.14756204868041323</v>
          </cell>
          <cell r="X60">
            <v>-5.6140806188317072E-2</v>
          </cell>
          <cell r="Y60">
            <v>-2.9703236230815833E-2</v>
          </cell>
        </row>
        <row r="61">
          <cell r="T61">
            <v>15.233066660616032</v>
          </cell>
          <cell r="U61">
            <v>20.955484950829003</v>
          </cell>
          <cell r="X61">
            <v>7.0900335443980396</v>
          </cell>
          <cell r="Y61">
            <v>12.812559507538992</v>
          </cell>
        </row>
        <row r="62">
          <cell r="T62">
            <v>154.5501922779423</v>
          </cell>
          <cell r="U62">
            <v>174.13711637479489</v>
          </cell>
          <cell r="X62">
            <v>48.195263141730507</v>
          </cell>
          <cell r="Y62">
            <v>58.92312840432848</v>
          </cell>
        </row>
        <row r="63">
          <cell r="T63">
            <v>108.13261289999991</v>
          </cell>
          <cell r="U63">
            <v>116.49536392</v>
          </cell>
          <cell r="X63">
            <v>33.679805670000007</v>
          </cell>
          <cell r="Y63">
            <v>35.955467209999895</v>
          </cell>
        </row>
        <row r="64">
          <cell r="T64">
            <v>49.265510969501598</v>
          </cell>
          <cell r="U64">
            <v>51.216964177176202</v>
          </cell>
          <cell r="X64">
            <v>15.440629658274283</v>
          </cell>
          <cell r="Y64">
            <v>15.803280703605843</v>
          </cell>
        </row>
        <row r="65">
          <cell r="T65">
            <v>8.1280619999999998E-2</v>
          </cell>
          <cell r="U65">
            <v>12.220473919550583</v>
          </cell>
          <cell r="X65">
            <v>7.2903699999999905E-3</v>
          </cell>
          <cell r="Y65">
            <v>9.4210688380378436</v>
          </cell>
        </row>
        <row r="66">
          <cell r="T66">
            <v>-2.9292122115592094</v>
          </cell>
          <cell r="U66">
            <v>-5.7956856419319021</v>
          </cell>
          <cell r="X66">
            <v>-0.93246255654378274</v>
          </cell>
          <cell r="Y66">
            <v>-2.2566883473151012</v>
          </cell>
        </row>
        <row r="67">
          <cell r="T67">
            <v>41.822380985898704</v>
          </cell>
          <cell r="U67">
            <v>30.640091020950102</v>
          </cell>
          <cell r="X67">
            <v>13.677193606604504</v>
          </cell>
          <cell r="Y67">
            <v>9.8774987042095006</v>
          </cell>
        </row>
        <row r="68">
          <cell r="T68">
            <v>25.024464700000099</v>
          </cell>
          <cell r="U68">
            <v>17.314473709999998</v>
          </cell>
          <cell r="X68">
            <v>3.4758251299999969</v>
          </cell>
          <cell r="Y68">
            <v>4.2388372400000982</v>
          </cell>
        </row>
        <row r="69">
          <cell r="T69">
            <v>16.931259415898701</v>
          </cell>
          <cell r="U69">
            <v>13.641756025100699</v>
          </cell>
          <cell r="X69">
            <v>10.223321476604522</v>
          </cell>
          <cell r="Y69">
            <v>5.2055300501433504</v>
          </cell>
        </row>
        <row r="70">
          <cell r="T70">
            <v>-4.6556130000000001E-2</v>
          </cell>
          <cell r="U70">
            <v>0.111691285849216</v>
          </cell>
          <cell r="X70">
            <v>1.4409999999999978E-3</v>
          </cell>
          <cell r="Y70">
            <v>0.43213141406590605</v>
          </cell>
        </row>
        <row r="71">
          <cell r="T71">
            <v>-8.678700000009601E-2</v>
          </cell>
          <cell r="U71">
            <v>-0.42782999999981114</v>
          </cell>
          <cell r="X71">
            <v>-2.339400000001321E-2</v>
          </cell>
          <cell r="Y71">
            <v>1.0000000001459952E-3</v>
          </cell>
        </row>
        <row r="72">
          <cell r="T72">
            <v>0.21297465471263777</v>
          </cell>
          <cell r="U72">
            <v>0.14962647166945769</v>
          </cell>
          <cell r="X72">
            <v>0.221054639259537</v>
          </cell>
          <cell r="Y72">
            <v>0.14356698651346636</v>
          </cell>
        </row>
        <row r="73">
          <cell r="T73">
            <v>28.3653771076156</v>
          </cell>
          <cell r="U73">
            <v>24.692249248669199</v>
          </cell>
          <cell r="X73">
            <v>9.3572877868645996</v>
          </cell>
          <cell r="Y73">
            <v>7.9401448720239998</v>
          </cell>
        </row>
        <row r="74">
          <cell r="T74">
            <v>16.5681210300001</v>
          </cell>
          <cell r="U74">
            <v>13.209944300000101</v>
          </cell>
          <cell r="X74">
            <v>0.67812074000000244</v>
          </cell>
          <cell r="Y74">
            <v>2.8922196400001035</v>
          </cell>
        </row>
        <row r="75">
          <cell r="T75">
            <v>11.9305992076153</v>
          </cell>
          <cell r="U75">
            <v>11.802454299018001</v>
          </cell>
          <cell r="X75">
            <v>8.7011200468644709</v>
          </cell>
          <cell r="Y75">
            <v>4.6161332466632805</v>
          </cell>
        </row>
        <row r="76">
          <cell r="T76">
            <v>-4.6556130000000001E-2</v>
          </cell>
          <cell r="U76">
            <v>0.107680649651046</v>
          </cell>
          <cell r="X76">
            <v>1.4409999999999978E-3</v>
          </cell>
          <cell r="Y76">
            <v>0.43079198536063301</v>
          </cell>
        </row>
        <row r="77">
          <cell r="T77">
            <v>-8.6786999999799358E-2</v>
          </cell>
          <cell r="U77">
            <v>-0.42782999999994858</v>
          </cell>
          <cell r="X77">
            <v>-2.3393999999872878E-2</v>
          </cell>
          <cell r="Y77">
            <v>9.9999999998279243E-4</v>
          </cell>
        </row>
        <row r="78">
          <cell r="T78">
            <v>0.14444673528570931</v>
          </cell>
          <cell r="U78">
            <v>0.12058104299151738</v>
          </cell>
          <cell r="X78">
            <v>0.15123510975045293</v>
          </cell>
          <cell r="Y78">
            <v>0.11540803050381859</v>
          </cell>
        </row>
        <row r="86">
          <cell r="AC86">
            <v>0</v>
          </cell>
          <cell r="AD86">
            <v>0</v>
          </cell>
          <cell r="AG86">
            <v>0</v>
          </cell>
          <cell r="AH86">
            <v>0</v>
          </cell>
        </row>
        <row r="95">
          <cell r="U95">
            <v>-9.5391969999999997</v>
          </cell>
        </row>
        <row r="101">
          <cell r="U101">
            <v>7.1472500000000005</v>
          </cell>
        </row>
        <row r="113">
          <cell r="U113">
            <v>31.978222092699603</v>
          </cell>
          <cell r="Y113">
            <v>10.283676066892767</v>
          </cell>
        </row>
        <row r="114">
          <cell r="U114">
            <v>-1.3381310717495001</v>
          </cell>
          <cell r="Y114">
            <v>-0.4061773626832651</v>
          </cell>
        </row>
        <row r="115">
          <cell r="T115">
            <v>41.822380985898704</v>
          </cell>
          <cell r="U115">
            <v>30.640091020950102</v>
          </cell>
          <cell r="X115">
            <v>13.677193606604504</v>
          </cell>
          <cell r="Y115">
            <v>9.8774987042095006</v>
          </cell>
        </row>
        <row r="116">
          <cell r="U116">
            <v>9.5391970000000015</v>
          </cell>
          <cell r="Y116">
            <v>3.1586900000000036</v>
          </cell>
        </row>
        <row r="117">
          <cell r="T117">
            <v>41.822380985898704</v>
          </cell>
          <cell r="U117">
            <v>40.179288020950104</v>
          </cell>
          <cell r="X117">
            <v>13.677193606604504</v>
          </cell>
          <cell r="Y117">
            <v>13.036188704209504</v>
          </cell>
        </row>
        <row r="118">
          <cell r="T118">
            <v>13.4304171882834</v>
          </cell>
          <cell r="U118">
            <v>13.160802762280852</v>
          </cell>
          <cell r="X118">
            <v>4.3199058197400593</v>
          </cell>
          <cell r="Y118">
            <v>4.3483182621853302</v>
          </cell>
        </row>
        <row r="119">
          <cell r="T119">
            <v>2.6586689999703594E-2</v>
          </cell>
          <cell r="U119">
            <v>-6.5710989999946179E-2</v>
          </cell>
          <cell r="X119">
            <v>-1.5454304502782179E-13</v>
          </cell>
          <cell r="Y119">
            <v>-4.1214429999822499E-2</v>
          </cell>
        </row>
        <row r="120">
          <cell r="T120">
            <v>28.3653771076156</v>
          </cell>
          <cell r="U120">
            <v>27.084196248669198</v>
          </cell>
          <cell r="X120">
            <v>9.3572877868645996</v>
          </cell>
          <cell r="Y120">
            <v>8.7290848720239964</v>
          </cell>
        </row>
        <row r="121">
          <cell r="U121">
            <v>-2.3919469999999983</v>
          </cell>
          <cell r="Y121">
            <v>-0.78893999999999664</v>
          </cell>
        </row>
        <row r="122">
          <cell r="T122">
            <v>28.3653771076156</v>
          </cell>
          <cell r="U122">
            <v>24.692249248669199</v>
          </cell>
          <cell r="X122">
            <v>9.3572877868645996</v>
          </cell>
          <cell r="Y122">
            <v>7.9401448720239998</v>
          </cell>
        </row>
      </sheetData>
      <sheetData sheetId="3">
        <row r="10">
          <cell r="T10">
            <v>152.93424918526998</v>
          </cell>
          <cell r="U10">
            <v>158.46020069447701</v>
          </cell>
          <cell r="X10">
            <v>48.402927849129981</v>
          </cell>
          <cell r="Y10">
            <v>48.899451987794009</v>
          </cell>
        </row>
        <row r="11">
          <cell r="T11">
            <v>136.38621281489299</v>
          </cell>
          <cell r="U11">
            <v>144.90139858759801</v>
          </cell>
          <cell r="X11">
            <v>42.176887576143983</v>
          </cell>
          <cell r="Y11">
            <v>44.644046409705012</v>
          </cell>
        </row>
        <row r="12">
          <cell r="T12">
            <v>72.183539512369308</v>
          </cell>
          <cell r="U12">
            <v>71.678472599159306</v>
          </cell>
          <cell r="X12">
            <v>20.754648784530907</v>
          </cell>
          <cell r="Y12">
            <v>21.856112694577305</v>
          </cell>
        </row>
        <row r="13">
          <cell r="T13">
            <v>46.458601294430004</v>
          </cell>
          <cell r="U13">
            <v>52.392342247532099</v>
          </cell>
          <cell r="X13">
            <v>15.744350465085706</v>
          </cell>
          <cell r="Y13">
            <v>17.173803822758501</v>
          </cell>
        </row>
        <row r="14">
          <cell r="T14">
            <v>17.744072008093674</v>
          </cell>
          <cell r="U14">
            <v>20.830583740906604</v>
          </cell>
          <cell r="X14">
            <v>5.6778883265273699</v>
          </cell>
          <cell r="Y14">
            <v>5.6141298923692062</v>
          </cell>
        </row>
        <row r="15">
          <cell r="T15">
            <v>16.548036370376991</v>
          </cell>
          <cell r="U15">
            <v>13.558802106879</v>
          </cell>
          <cell r="X15">
            <v>6.2260402729859976</v>
          </cell>
          <cell r="Y15">
            <v>4.2554055780889968</v>
          </cell>
        </row>
        <row r="16">
          <cell r="T16">
            <v>1.1243398419538499</v>
          </cell>
          <cell r="U16">
            <v>-1.7179928909750697</v>
          </cell>
          <cell r="X16">
            <v>-0.52044125079057002</v>
          </cell>
          <cell r="Y16">
            <v>0.25749713954377018</v>
          </cell>
        </row>
        <row r="17">
          <cell r="T17">
            <v>1.83828380857494</v>
          </cell>
          <cell r="U17">
            <v>0.56735277130225992</v>
          </cell>
          <cell r="X17">
            <v>-0.83458320738706027</v>
          </cell>
          <cell r="Y17">
            <v>4.835849264813985E-2</v>
          </cell>
        </row>
        <row r="18">
          <cell r="T18">
            <v>1.3478516417710843E-2</v>
          </cell>
          <cell r="U18">
            <v>3.9154402706422127E-3</v>
          </cell>
          <cell r="X18">
            <v>-1.9787690731810085E-2</v>
          </cell>
          <cell r="Y18">
            <v>1.0832013792913577E-3</v>
          </cell>
        </row>
        <row r="19">
          <cell r="T19">
            <v>-0.71394396662109005</v>
          </cell>
          <cell r="U19">
            <v>-2.2853456622773294</v>
          </cell>
          <cell r="X19">
            <v>0.31414195659649025</v>
          </cell>
          <cell r="Y19">
            <v>0.20913864689563066</v>
          </cell>
        </row>
        <row r="20">
          <cell r="T20">
            <v>-6.1888904937896898</v>
          </cell>
          <cell r="U20">
            <v>-8.2722294690912026</v>
          </cell>
          <cell r="X20">
            <v>-2.9710720010672595</v>
          </cell>
          <cell r="Y20">
            <v>-1.9613258683202579</v>
          </cell>
        </row>
        <row r="21">
          <cell r="T21">
            <v>-4.0513872028003499</v>
          </cell>
          <cell r="U21">
            <v>-5.1044893730423277</v>
          </cell>
          <cell r="X21">
            <v>-2.7929252921749002</v>
          </cell>
          <cell r="Y21">
            <v>-1.8847975182772894</v>
          </cell>
        </row>
        <row r="22">
          <cell r="T22">
            <v>-2.9705254799464231E-2</v>
          </cell>
          <cell r="U22">
            <v>-3.522732991397929E-2</v>
          </cell>
          <cell r="X22">
            <v>-6.6219331313452104E-2</v>
          </cell>
          <cell r="Y22">
            <v>-4.2218339730682654E-2</v>
          </cell>
        </row>
        <row r="23">
          <cell r="T23">
            <v>-2.1375032909893399</v>
          </cell>
          <cell r="U23">
            <v>-3.1677400960488749</v>
          </cell>
          <cell r="X23">
            <v>-0.1781467088923594</v>
          </cell>
          <cell r="Y23">
            <v>-7.652835004296854E-2</v>
          </cell>
        </row>
        <row r="28">
          <cell r="T28">
            <v>152.93424918526998</v>
          </cell>
          <cell r="U28">
            <v>158.46020069447701</v>
          </cell>
          <cell r="X28">
            <v>48.402927849129981</v>
          </cell>
          <cell r="Y28">
            <v>48.899451987794009</v>
          </cell>
        </row>
        <row r="29">
          <cell r="T29">
            <v>136.38621281489299</v>
          </cell>
          <cell r="U29">
            <v>144.90139858759801</v>
          </cell>
          <cell r="X29">
            <v>42.176887576143983</v>
          </cell>
          <cell r="Y29">
            <v>44.644046409705012</v>
          </cell>
        </row>
        <row r="30">
          <cell r="T30">
            <v>72.183539512369308</v>
          </cell>
          <cell r="U30">
            <v>71.678472599159306</v>
          </cell>
          <cell r="X30">
            <v>20.754648784530907</v>
          </cell>
          <cell r="Y30">
            <v>21.856112694577305</v>
          </cell>
        </row>
        <row r="31">
          <cell r="T31">
            <v>46.458601294430004</v>
          </cell>
          <cell r="U31">
            <v>52.392342247532099</v>
          </cell>
          <cell r="X31">
            <v>15.744350465085706</v>
          </cell>
          <cell r="Y31">
            <v>17.173803822758501</v>
          </cell>
        </row>
        <row r="32">
          <cell r="T32">
            <v>17.744072008093674</v>
          </cell>
          <cell r="U32">
            <v>20.830583740906604</v>
          </cell>
          <cell r="X32">
            <v>5.6778883265273699</v>
          </cell>
          <cell r="Y32">
            <v>5.6141298923692062</v>
          </cell>
        </row>
        <row r="33">
          <cell r="T33">
            <v>16.548036370376991</v>
          </cell>
          <cell r="U33">
            <v>13.558802106879</v>
          </cell>
          <cell r="X33">
            <v>6.2260402729859976</v>
          </cell>
          <cell r="Y33">
            <v>4.2554055780889968</v>
          </cell>
        </row>
        <row r="34">
          <cell r="T34">
            <v>151.09596537669503</v>
          </cell>
          <cell r="U34">
            <v>161.3061516904564</v>
          </cell>
          <cell r="X34">
            <v>49.237511056517036</v>
          </cell>
          <cell r="Y34">
            <v>49.99640088780032</v>
          </cell>
        </row>
        <row r="35">
          <cell r="T35">
            <v>134.54792900631804</v>
          </cell>
          <cell r="U35">
            <v>147.7473495835774</v>
          </cell>
          <cell r="X35">
            <v>43.011470783531038</v>
          </cell>
          <cell r="Y35">
            <v>45.740995309711323</v>
          </cell>
        </row>
        <row r="36">
          <cell r="T36">
            <v>16.548036370376991</v>
          </cell>
          <cell r="U36">
            <v>13.558802106879</v>
          </cell>
          <cell r="X36">
            <v>6.2260402729859976</v>
          </cell>
          <cell r="Y36">
            <v>4.2554055780889968</v>
          </cell>
        </row>
        <row r="37">
          <cell r="T37">
            <v>1.1243398419538499</v>
          </cell>
          <cell r="U37">
            <v>-5.8226482908967103</v>
          </cell>
          <cell r="X37">
            <v>-0.52044125079057002</v>
          </cell>
          <cell r="Y37">
            <v>-1.1193874457506698</v>
          </cell>
        </row>
        <row r="38">
          <cell r="T38">
            <v>1.83828380857494</v>
          </cell>
          <cell r="U38">
            <v>-2.8459509959793801</v>
          </cell>
          <cell r="X38">
            <v>-0.83458320738706027</v>
          </cell>
          <cell r="Y38">
            <v>-1.0969489000063</v>
          </cell>
        </row>
        <row r="39">
          <cell r="T39">
            <v>1.3478516417710843E-2</v>
          </cell>
          <cell r="U39">
            <v>-1.9640604050201092E-2</v>
          </cell>
          <cell r="X39">
            <v>-1.9787690731810085E-2</v>
          </cell>
          <cell r="Y39">
            <v>-2.4571000799063727E-2</v>
          </cell>
        </row>
        <row r="40">
          <cell r="T40">
            <v>-0.71394396662109005</v>
          </cell>
          <cell r="U40">
            <v>-2.9766972949173303</v>
          </cell>
          <cell r="X40">
            <v>0.31414195659649025</v>
          </cell>
          <cell r="Y40">
            <v>-2.2438545744369875E-2</v>
          </cell>
        </row>
        <row r="41">
          <cell r="T41">
            <v>-6.1888904937896898</v>
          </cell>
          <cell r="U41">
            <v>-9.3984665275235084</v>
          </cell>
          <cell r="X41">
            <v>-2.9710720010672595</v>
          </cell>
          <cell r="Y41">
            <v>-2.3454043397849178</v>
          </cell>
        </row>
        <row r="42">
          <cell r="T42">
            <v>-4.0513872028003499</v>
          </cell>
          <cell r="U42">
            <v>-6.0465751088147703</v>
          </cell>
          <cell r="X42">
            <v>-2.7929252921749002</v>
          </cell>
          <cell r="Y42">
            <v>-2.2063655670953302</v>
          </cell>
        </row>
        <row r="43">
          <cell r="T43">
            <v>-2.9705254799464231E-2</v>
          </cell>
          <cell r="U43">
            <v>-4.1728894046246232E-2</v>
          </cell>
          <cell r="X43">
            <v>-6.6219331313452104E-2</v>
          </cell>
          <cell r="Y43">
            <v>-4.9421272141131366E-2</v>
          </cell>
        </row>
        <row r="44">
          <cell r="T44">
            <v>-2.1375032909893399</v>
          </cell>
          <cell r="U44">
            <v>-3.3518914187087381</v>
          </cell>
          <cell r="X44">
            <v>-0.1781467088923594</v>
          </cell>
          <cell r="Y44">
            <v>-0.13903877268958764</v>
          </cell>
        </row>
        <row r="52">
          <cell r="AC52">
            <v>0</v>
          </cell>
          <cell r="AD52">
            <v>0</v>
          </cell>
          <cell r="AG52">
            <v>0</v>
          </cell>
          <cell r="AH52">
            <v>0</v>
          </cell>
        </row>
        <row r="60">
          <cell r="U60">
            <v>-3.41330376728164</v>
          </cell>
          <cell r="X60">
            <v>0</v>
          </cell>
          <cell r="Y60">
            <v>-1.1453073926544399</v>
          </cell>
        </row>
        <row r="61">
          <cell r="U61">
            <v>-0.6913516326400001</v>
          </cell>
          <cell r="X61">
            <v>0</v>
          </cell>
          <cell r="Y61">
            <v>-0.23157719264000015</v>
          </cell>
        </row>
        <row r="67">
          <cell r="U67">
            <v>2.4712180315091983</v>
          </cell>
          <cell r="X67">
            <v>0</v>
          </cell>
          <cell r="Y67">
            <v>0.82373934383639935</v>
          </cell>
        </row>
        <row r="68">
          <cell r="U68">
            <v>0.50720030998013443</v>
          </cell>
          <cell r="X68">
            <v>0</v>
          </cell>
          <cell r="Y68">
            <v>0.16906676999337816</v>
          </cell>
        </row>
        <row r="81">
          <cell r="U81">
            <v>-4.6960983965501706</v>
          </cell>
          <cell r="Y81">
            <v>-1.0949285703062799</v>
          </cell>
        </row>
        <row r="82">
          <cell r="U82">
            <v>-1.12654989434654</v>
          </cell>
          <cell r="Y82">
            <v>-2.445887544438996E-2</v>
          </cell>
        </row>
        <row r="83">
          <cell r="T83">
            <v>1.1243398419538499</v>
          </cell>
          <cell r="U83">
            <v>-5.8226482908967103</v>
          </cell>
          <cell r="X83">
            <v>-0.52044125079057002</v>
          </cell>
          <cell r="Y83">
            <v>-1.1193874457506698</v>
          </cell>
        </row>
        <row r="84">
          <cell r="U84">
            <v>4.1046553999216409</v>
          </cell>
          <cell r="Y84">
            <v>1.37688458529444</v>
          </cell>
        </row>
        <row r="85">
          <cell r="T85">
            <v>1.1243398419538499</v>
          </cell>
          <cell r="U85">
            <v>-1.7179928909750697</v>
          </cell>
          <cell r="X85">
            <v>-0.52044125079057002</v>
          </cell>
          <cell r="Y85">
            <v>0.25749713954377018</v>
          </cell>
        </row>
        <row r="86">
          <cell r="T86">
            <v>7.3132303357435102</v>
          </cell>
          <cell r="U86">
            <v>6.5541750194372215</v>
          </cell>
          <cell r="X86">
            <v>2.4506307502766802</v>
          </cell>
          <cell r="Y86">
            <v>2.218761449185136</v>
          </cell>
        </row>
        <row r="87">
          <cell r="T87">
            <v>2.9309887850104133E-14</v>
          </cell>
          <cell r="U87">
            <v>6.155867891166622E-5</v>
          </cell>
          <cell r="X87">
            <v>8.8817841970012523E-15</v>
          </cell>
          <cell r="Y87">
            <v>6.1558678892126295E-5</v>
          </cell>
        </row>
        <row r="88">
          <cell r="T88">
            <v>-6.1888904937896898</v>
          </cell>
          <cell r="U88">
            <v>-8.2722294690912026</v>
          </cell>
          <cell r="X88">
            <v>-2.9710720010672595</v>
          </cell>
          <cell r="Y88">
            <v>-1.9613258683202579</v>
          </cell>
        </row>
        <row r="89">
          <cell r="U89">
            <v>-1.1262370584323058</v>
          </cell>
          <cell r="Y89">
            <v>-0.3840784714646599</v>
          </cell>
        </row>
        <row r="90">
          <cell r="T90">
            <v>-6.1888904937896898</v>
          </cell>
          <cell r="U90">
            <v>-9.3984665275235084</v>
          </cell>
          <cell r="X90">
            <v>-2.9710720010672595</v>
          </cell>
          <cell r="Y90">
            <v>-2.3454043397849178</v>
          </cell>
        </row>
        <row r="94">
          <cell r="U94">
            <v>-1.83337445721434</v>
          </cell>
          <cell r="Y94">
            <v>-1.0826421292297188</v>
          </cell>
        </row>
        <row r="95">
          <cell r="U95">
            <v>-1.0125765387650401</v>
          </cell>
          <cell r="Y95">
            <v>-1.4306770776581046E-2</v>
          </cell>
        </row>
        <row r="96">
          <cell r="T96">
            <v>1.83828380857494</v>
          </cell>
          <cell r="U96">
            <v>-2.8459509959793801</v>
          </cell>
          <cell r="X96">
            <v>-0.83458320738706027</v>
          </cell>
          <cell r="Y96">
            <v>-1.0969489000063</v>
          </cell>
        </row>
        <row r="97">
          <cell r="U97">
            <v>3.41330376728164</v>
          </cell>
          <cell r="Y97">
            <v>1.1453073926544399</v>
          </cell>
        </row>
        <row r="98">
          <cell r="T98">
            <v>1.83828380857494</v>
          </cell>
          <cell r="U98">
            <v>0.56735277130225992</v>
          </cell>
          <cell r="X98">
            <v>-0.83458320738706027</v>
          </cell>
          <cell r="Y98">
            <v>4.835849264813985E-2</v>
          </cell>
        </row>
        <row r="99">
          <cell r="T99">
            <v>5.88967101137525</v>
          </cell>
          <cell r="U99">
            <v>5.6717805856657781</v>
          </cell>
          <cell r="X99">
            <v>1.9583420847878101</v>
          </cell>
          <cell r="Y99">
            <v>1.9330944522466194</v>
          </cell>
        </row>
        <row r="100">
          <cell r="T100">
            <v>3.9968028886505635E-14</v>
          </cell>
          <cell r="U100">
            <v>6.1558678809525702E-5</v>
          </cell>
          <cell r="X100">
            <v>2.9753977059954195E-14</v>
          </cell>
          <cell r="Y100">
            <v>6.1558678809525702E-5</v>
          </cell>
        </row>
        <row r="101">
          <cell r="T101">
            <v>-4.0513872028003499</v>
          </cell>
          <cell r="U101">
            <v>-5.1044893730423277</v>
          </cell>
          <cell r="X101">
            <v>-2.7929252921749002</v>
          </cell>
          <cell r="Y101">
            <v>-1.8847975182772894</v>
          </cell>
        </row>
        <row r="102">
          <cell r="U102">
            <v>-0.94208573577244259</v>
          </cell>
          <cell r="Y102">
            <v>-0.3215680488180408</v>
          </cell>
        </row>
        <row r="103">
          <cell r="T103">
            <v>-4.0513872028003499</v>
          </cell>
          <cell r="U103">
            <v>-6.0465751088147703</v>
          </cell>
          <cell r="X103">
            <v>-2.7929252921749002</v>
          </cell>
          <cell r="Y103">
            <v>-2.2063655670953302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C25E9-BB20-4E43-8A13-A8EB04C73743}">
  <dimension ref="A2:AU196"/>
  <sheetViews>
    <sheetView tabSelected="1" workbookViewId="0">
      <selection activeCell="B8" sqref="B8"/>
    </sheetView>
  </sheetViews>
  <sheetFormatPr baseColWidth="10" defaultRowHeight="12.75"/>
  <cols>
    <col min="1" max="1" width="6.5703125" style="1" bestFit="1" customWidth="1"/>
    <col min="2" max="3" width="11.42578125" style="1"/>
    <col min="4" max="4" width="48.7109375" style="1" customWidth="1"/>
    <col min="5" max="5" width="1" style="1" customWidth="1"/>
    <col min="6" max="8" width="11.42578125" style="1"/>
    <col min="9" max="9" width="6.85546875" style="1" customWidth="1"/>
    <col min="10" max="12" width="11.42578125" style="1"/>
    <col min="13" max="13" width="0.85546875" style="1" customWidth="1"/>
    <col min="14" max="14" width="11.42578125" style="1"/>
    <col min="15" max="15" width="48.7109375" style="1" customWidth="1"/>
    <col min="16" max="16" width="0.85546875" style="1" customWidth="1"/>
    <col min="17" max="19" width="11.42578125" style="1"/>
    <col min="20" max="20" width="6.85546875" style="1" customWidth="1"/>
    <col min="21" max="23" width="11.42578125" style="1"/>
    <col min="24" max="24" width="0.85546875" style="1" customWidth="1"/>
    <col min="25" max="25" width="11.42578125" style="1"/>
    <col min="26" max="26" width="48.7109375" style="1" customWidth="1"/>
    <col min="27" max="27" width="0.85546875" style="1" customWidth="1"/>
    <col min="28" max="30" width="11.42578125" style="1"/>
    <col min="31" max="31" width="6.85546875" style="1" customWidth="1"/>
    <col min="32" max="34" width="11.42578125" style="1"/>
    <col min="35" max="35" width="0.85546875" style="1" customWidth="1"/>
    <col min="36" max="36" width="11.42578125" style="1"/>
    <col min="37" max="37" width="48.7109375" style="1" customWidth="1"/>
    <col min="38" max="38" width="0.85546875" style="1" customWidth="1"/>
    <col min="39" max="41" width="11.42578125" style="1"/>
    <col min="42" max="42" width="6.85546875" style="1" customWidth="1"/>
    <col min="43" max="45" width="11.42578125" style="1"/>
    <col min="46" max="46" width="0.85546875" style="1" customWidth="1"/>
    <col min="47" max="16384" width="11.42578125" style="1"/>
  </cols>
  <sheetData>
    <row r="2" spans="1:45" ht="13.5" thickBot="1"/>
    <row r="3" spans="1:45" ht="16.5" thickBot="1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I3" s="4"/>
      <c r="J3" s="4"/>
      <c r="K3" s="5"/>
      <c r="L3" s="4"/>
      <c r="O3" s="3" t="str">
        <f>+IF($B$3="esp","EDUCACIÓN","EDUCATION")</f>
        <v>EDUCATION</v>
      </c>
      <c r="P3" s="4"/>
      <c r="Q3" s="4"/>
      <c r="R3" s="5"/>
      <c r="S3" s="4"/>
      <c r="T3" s="4"/>
      <c r="U3" s="4"/>
      <c r="V3" s="5"/>
      <c r="W3" s="4"/>
      <c r="Z3" s="3" t="str">
        <f>+IF($B$3="esp","RADIO","RADIO")</f>
        <v>RADIO</v>
      </c>
      <c r="AA3" s="4"/>
      <c r="AB3" s="4"/>
      <c r="AC3" s="5"/>
      <c r="AD3" s="4"/>
      <c r="AE3" s="4"/>
      <c r="AF3" s="4"/>
      <c r="AG3" s="5"/>
      <c r="AH3" s="4"/>
      <c r="AK3" s="3" t="str">
        <f>+IF($B$3="esp","PRENSA - incluye PBS y Tecnología","PRESS - includes PBS &amp; IT")</f>
        <v>PRESS - includes PBS &amp; IT</v>
      </c>
      <c r="AL3" s="4"/>
      <c r="AM3" s="4"/>
      <c r="AN3" s="5"/>
      <c r="AO3" s="4"/>
      <c r="AP3" s="4"/>
      <c r="AQ3" s="4"/>
      <c r="AR3" s="5"/>
      <c r="AS3" s="4"/>
    </row>
    <row r="4" spans="1:45">
      <c r="A4" s="1" t="s">
        <v>2</v>
      </c>
      <c r="B4" s="6" t="s">
        <v>3</v>
      </c>
    </row>
    <row r="5" spans="1:45">
      <c r="A5" s="1" t="s">
        <v>4</v>
      </c>
      <c r="B5" s="1" t="s">
        <v>1</v>
      </c>
    </row>
    <row r="6" spans="1:45">
      <c r="F6" s="7" t="str">
        <f>+IF($B$3="esp","ENERO - SEPTIEMBRE","JANUARY - SEPTEMBER")</f>
        <v>JANUARY - SEPTEMBER</v>
      </c>
      <c r="G6" s="8"/>
      <c r="H6" s="8"/>
      <c r="J6" s="7" t="str">
        <f>+IF($B$3="esp","JULIO - SEPTIEMBRE","JULY - SEPTEMBER")</f>
        <v>JULY - SEPTEMBER</v>
      </c>
      <c r="K6" s="8"/>
      <c r="L6" s="8"/>
      <c r="Q6" s="7" t="str">
        <f>+$F$6</f>
        <v>JANUARY - SEPTEMBER</v>
      </c>
      <c r="R6" s="8"/>
      <c r="S6" s="8"/>
      <c r="U6" s="7" t="str">
        <f>+$J$6</f>
        <v>JULY - SEPTEMBER</v>
      </c>
      <c r="V6" s="8"/>
      <c r="W6" s="8"/>
      <c r="AB6" s="7" t="str">
        <f>+$F$6</f>
        <v>JANUARY - SEPTEMBER</v>
      </c>
      <c r="AC6" s="8"/>
      <c r="AD6" s="8"/>
      <c r="AF6" s="7" t="str">
        <f>+$J$6</f>
        <v>JULY - SEPTEMBER</v>
      </c>
      <c r="AG6" s="8"/>
      <c r="AH6" s="8"/>
      <c r="AM6" s="7" t="str">
        <f>+$F$6</f>
        <v>JANUARY - SEPTEMBER</v>
      </c>
      <c r="AN6" s="8"/>
      <c r="AO6" s="8"/>
      <c r="AQ6" s="7" t="str">
        <f>+$J$6</f>
        <v>JULY - SEPTEMBER</v>
      </c>
      <c r="AR6" s="8"/>
      <c r="AS6" s="8"/>
    </row>
    <row r="8" spans="1:45">
      <c r="D8" s="9" t="str">
        <f>+IF($B$3="esp","Millones de €","€ Millions")</f>
        <v>€ Millions</v>
      </c>
      <c r="F8" s="10">
        <v>2019</v>
      </c>
      <c r="G8" s="10">
        <v>2018</v>
      </c>
      <c r="H8" s="10" t="s">
        <v>5</v>
      </c>
      <c r="J8" s="10">
        <v>2019</v>
      </c>
      <c r="K8" s="10">
        <v>2018</v>
      </c>
      <c r="L8" s="10" t="s">
        <v>5</v>
      </c>
      <c r="O8" s="9" t="str">
        <f>+IF($B$3="esp","Millones de €","€ Millions")</f>
        <v>€ Millions</v>
      </c>
      <c r="Q8" s="10">
        <v>2019</v>
      </c>
      <c r="R8" s="10">
        <v>2018</v>
      </c>
      <c r="S8" s="10" t="s">
        <v>5</v>
      </c>
      <c r="U8" s="10">
        <v>2019</v>
      </c>
      <c r="V8" s="10">
        <v>2018</v>
      </c>
      <c r="W8" s="10" t="s">
        <v>5</v>
      </c>
      <c r="Z8" s="9" t="str">
        <f>+IF($B$3="esp","Millones de €","€ Millions")</f>
        <v>€ Millions</v>
      </c>
      <c r="AB8" s="10">
        <v>2019</v>
      </c>
      <c r="AC8" s="10">
        <v>2018</v>
      </c>
      <c r="AD8" s="10" t="s">
        <v>5</v>
      </c>
      <c r="AF8" s="10">
        <v>2019</v>
      </c>
      <c r="AG8" s="10">
        <v>2018</v>
      </c>
      <c r="AH8" s="10" t="s">
        <v>5</v>
      </c>
      <c r="AK8" s="9" t="str">
        <f>+IF($B$3="esp","Millones de €","€ Millions")</f>
        <v>€ Millions</v>
      </c>
      <c r="AM8" s="10">
        <v>2019</v>
      </c>
      <c r="AN8" s="10">
        <v>2018</v>
      </c>
      <c r="AO8" s="10" t="s">
        <v>5</v>
      </c>
      <c r="AQ8" s="10">
        <v>2019</v>
      </c>
      <c r="AR8" s="10">
        <v>2018</v>
      </c>
      <c r="AS8" s="10" t="s">
        <v>5</v>
      </c>
    </row>
    <row r="9" spans="1:45" ht="15.75" customHeight="1">
      <c r="D9" s="11" t="str">
        <f>+IF($B$3="esp","Resultados Comparables","Comparable Results")</f>
        <v>Comparable Results</v>
      </c>
      <c r="F9" s="12"/>
      <c r="G9" s="12"/>
      <c r="H9" s="12"/>
      <c r="J9" s="12"/>
      <c r="K9" s="12"/>
      <c r="L9" s="12"/>
      <c r="O9" s="11" t="str">
        <f>+IF($B$3="esp","Resultados Comparables","Comparable Results")</f>
        <v>Comparable Results</v>
      </c>
      <c r="Q9" s="12"/>
      <c r="R9" s="12"/>
      <c r="S9" s="12"/>
      <c r="U9" s="12"/>
      <c r="V9" s="12"/>
      <c r="W9" s="12"/>
      <c r="Z9" s="11" t="str">
        <f>+IF($B$3="esp","Resultados Comparables","Comparable Results")</f>
        <v>Comparable Results</v>
      </c>
      <c r="AB9" s="12"/>
      <c r="AC9" s="12"/>
      <c r="AD9" s="12"/>
      <c r="AF9" s="12"/>
      <c r="AG9" s="12"/>
      <c r="AH9" s="12"/>
      <c r="AK9" s="11" t="str">
        <f>+IF($B$3="esp","Resultados Comparables","Comparable Results")</f>
        <v>Comparable Results</v>
      </c>
      <c r="AM9" s="12"/>
      <c r="AN9" s="12"/>
      <c r="AO9" s="12"/>
      <c r="AQ9" s="12"/>
      <c r="AR9" s="12"/>
      <c r="AS9" s="12"/>
    </row>
    <row r="10" spans="1:45" s="13" customFormat="1" ht="15" customHeight="1">
      <c r="D10" s="13" t="str">
        <f>+IF($B$3="esp","Ingresos de Explotación","Operating Revenues")</f>
        <v>Operating Revenues</v>
      </c>
      <c r="F10" s="14">
        <f>+[1]GRUPO!T10</f>
        <v>796.88588326507499</v>
      </c>
      <c r="G10" s="15">
        <f>+[1]GRUPO!U10</f>
        <v>823.29512010346707</v>
      </c>
      <c r="H10" s="16">
        <f t="shared" ref="H10:H19" si="0">IF(G10=0,"---",IF(OR(ABS((F10-G10)/ABS(G10))&gt;2,(F10*G10)&lt;0),"---",IF(G10="0","---",((F10-G10)/ABS(G10))*100)))</f>
        <v>-3.2077484966840459</v>
      </c>
      <c r="J10" s="14">
        <f>+[1]GRUPO!X10</f>
        <v>311.218331015643</v>
      </c>
      <c r="K10" s="15">
        <f>+[1]GRUPO!Y10</f>
        <v>280.99725833878108</v>
      </c>
      <c r="L10" s="16">
        <f t="shared" ref="L10:L19" si="1">IF(K10=0,"---",IF(OR(ABS((J10-K10)/ABS(K10))&gt;2,(J10*K10)&lt;0),"---",IF(K10="0","---",((J10-K10)/ABS(K10))*100)))</f>
        <v>10.754935067881068</v>
      </c>
      <c r="O10" s="13" t="str">
        <f>+IF($B$3="esp","Ingresos de Explotación Ajustados","Operating Adjusted Revenues")</f>
        <v>Operating Adjusted Revenues</v>
      </c>
      <c r="Q10" s="14">
        <f>+[1]SANTILLANA!T10</f>
        <v>461.13603968567099</v>
      </c>
      <c r="R10" s="15">
        <f>+[1]SANTILLANA!U10</f>
        <v>467.59816027889303</v>
      </c>
      <c r="S10" s="16">
        <f t="shared" ref="S10:S19" si="2">IF(R10=0,"---",IF(OR(ABS((Q10-R10)/ABS(R10))&gt;2,(Q10*R10)&lt;0),"---",IF(R10="0","---",((Q10-R10)/ABS(R10))*100)))</f>
        <v>-1.3819816120251176</v>
      </c>
      <c r="U10" s="14">
        <f>+[1]SANTILLANA!X10</f>
        <v>205.156496230269</v>
      </c>
      <c r="V10" s="15">
        <f>+[1]SANTILLANA!Y10</f>
        <v>166.26297127451301</v>
      </c>
      <c r="W10" s="16">
        <f t="shared" ref="W10:W19" si="3">IF(V10=0,"---",IF(OR(ABS((U10-V10)/ABS(V10))&gt;2,(U10*V10)&lt;0),"---",IF(V10="0","---",((U10-V10)/ABS(V10))*100)))</f>
        <v>23.392776309488529</v>
      </c>
      <c r="Z10" s="13" t="str">
        <f>+IF($B$3="esp","Ingresos de Explotación","Operating Revenues")</f>
        <v>Operating Revenues</v>
      </c>
      <c r="AB10" s="14">
        <f>+[1]RADIO!T10</f>
        <v>196.37257326384102</v>
      </c>
      <c r="AC10" s="15">
        <f>+[1]RADIO!U10</f>
        <v>204.77720739574499</v>
      </c>
      <c r="AD10" s="16">
        <f t="shared" ref="AD10:AD20" si="4">IF(AC10=0,"---",IF(OR(ABS((AB10-AC10)/ABS(AC10))&gt;2,(AB10*AC10)&lt;0),"---",IF(AC10="0","---",((AB10-AC10)/ABS(AC10))*100)))</f>
        <v>-4.1042820335280208</v>
      </c>
      <c r="AF10" s="14">
        <f>+[1]RADIO!X10</f>
        <v>61.872456748335026</v>
      </c>
      <c r="AG10" s="15">
        <f>+[1]RADIO!Y10</f>
        <v>68.800627108537981</v>
      </c>
      <c r="AH10" s="16">
        <f t="shared" ref="AH10:AH20" si="5">IF(AG10=0,"---",IF(OR(ABS((AF10-AG10)/ABS(AG10))&gt;2,(AF10*AG10)&lt;0),"---",IF(AG10="0","---",((AF10-AG10)/ABS(AG10))*100)))</f>
        <v>-10.069923271590627</v>
      </c>
      <c r="AK10" s="17" t="str">
        <f>+IF($B$3="esp","Ingresos de Explotación Noticias Gestión","Total Press Operating Revenues")</f>
        <v>Total Press Operating Revenues</v>
      </c>
      <c r="AM10" s="18">
        <f>+[1]NOTICIAS!T10</f>
        <v>152.93424918526998</v>
      </c>
      <c r="AN10" s="19">
        <f>+[1]NOTICIAS!U10</f>
        <v>158.46020069447701</v>
      </c>
      <c r="AO10" s="20">
        <f t="shared" ref="AO10:AO17" si="6">IF(AN10=0,"---",IF(OR(ABS((AM10-AN10)/ABS(AN10))&gt;2,(AM10*AN10)&lt;0),"---",IF(AN10="0","---",((AM10-AN10)/ABS(AN10))*100)))</f>
        <v>-3.4872803927981111</v>
      </c>
      <c r="AQ10" s="18">
        <f>+[1]NOTICIAS!X10</f>
        <v>48.402927849129981</v>
      </c>
      <c r="AR10" s="19">
        <f>+[1]NOTICIAS!Y10</f>
        <v>48.899451987794009</v>
      </c>
      <c r="AS10" s="20">
        <f t="shared" ref="AS10:AS17" si="7">IF(AR10=0,"---",IF(OR(ABS((AQ10-AR10)/ABS(AR10))&gt;2,(AQ10*AR10)&lt;0),"---",IF(AR10="0","---",((AQ10-AR10)/ABS(AR10))*100)))</f>
        <v>-1.0153981659916518</v>
      </c>
    </row>
    <row r="11" spans="1:45" ht="15" customHeight="1">
      <c r="D11" s="21" t="str">
        <f>+IF($B$3="esp","España","Spain")</f>
        <v>Spain</v>
      </c>
      <c r="F11" s="22">
        <f>+[1]GRUPO!T11</f>
        <v>416.42221559000103</v>
      </c>
      <c r="G11" s="23">
        <f>+[1]GRUPO!U11</f>
        <v>411.68897085000054</v>
      </c>
      <c r="H11" s="24">
        <f t="shared" si="0"/>
        <v>1.1497137584783759</v>
      </c>
      <c r="J11" s="22">
        <f>+[1]GRUPO!X11</f>
        <v>182.40067347000178</v>
      </c>
      <c r="K11" s="23">
        <f>+[1]GRUPO!Y11</f>
        <v>182.57230300000066</v>
      </c>
      <c r="L11" s="24">
        <f t="shared" si="1"/>
        <v>-9.4006334574681272E-2</v>
      </c>
      <c r="O11" s="21" t="str">
        <f>+IF($B$3="esp","España","Spain")</f>
        <v>Spain</v>
      </c>
      <c r="Q11" s="22">
        <f>+[1]SANTILLANA!T11</f>
        <v>149.5858448574329</v>
      </c>
      <c r="R11" s="23">
        <f>+[1]SANTILLANA!U11</f>
        <v>127.81477648009786</v>
      </c>
      <c r="S11" s="24">
        <f t="shared" si="2"/>
        <v>17.033295348855873</v>
      </c>
      <c r="U11" s="22">
        <f>+[1]SANTILLANA!X11</f>
        <v>102.93576051995419</v>
      </c>
      <c r="V11" s="23">
        <f>+[1]SANTILLANA!Y11</f>
        <v>90.513662002182286</v>
      </c>
      <c r="W11" s="24">
        <f t="shared" si="3"/>
        <v>13.724003916085511</v>
      </c>
      <c r="Z11" s="21" t="str">
        <f>+IF($B$3="esp","España","Spain")</f>
        <v>Spain</v>
      </c>
      <c r="AB11" s="22">
        <f>+[1]RADIO!T11</f>
        <v>133.15707760000001</v>
      </c>
      <c r="AC11" s="23">
        <f>+[1]RADIO!U11</f>
        <v>133.80983763</v>
      </c>
      <c r="AD11" s="24">
        <f t="shared" si="4"/>
        <v>-0.48782663633817014</v>
      </c>
      <c r="AF11" s="22">
        <f>+[1]RADIO!X11</f>
        <v>37.155630799999997</v>
      </c>
      <c r="AG11" s="23">
        <f>+[1]RADIO!Y11</f>
        <v>40.194304450000004</v>
      </c>
      <c r="AH11" s="24">
        <f t="shared" si="5"/>
        <v>-7.5599607744922848</v>
      </c>
      <c r="AK11" s="25" t="str">
        <f>+IF($B$3="esp","Ingresos de Explotación PRENSA","PRESS Operating Revenues")</f>
        <v>PRESS Operating Revenues</v>
      </c>
      <c r="AL11" s="13"/>
      <c r="AM11" s="14">
        <f>+[1]NOTICIAS!T11</f>
        <v>136.38621281489299</v>
      </c>
      <c r="AN11" s="15">
        <f>+[1]NOTICIAS!U11</f>
        <v>144.90139858759801</v>
      </c>
      <c r="AO11" s="16">
        <f t="shared" si="6"/>
        <v>-5.8765380153023807</v>
      </c>
      <c r="AQ11" s="14">
        <f>+[1]NOTICIAS!X11</f>
        <v>42.176887576143983</v>
      </c>
      <c r="AR11" s="15">
        <f>+[1]NOTICIAS!Y11</f>
        <v>44.644046409705012</v>
      </c>
      <c r="AS11" s="16">
        <f t="shared" si="7"/>
        <v>-5.5262885691846755</v>
      </c>
    </row>
    <row r="12" spans="1:45" ht="15" customHeight="1">
      <c r="D12" s="21" t="str">
        <f>+IF($B$3="esp","Internacional","International")</f>
        <v>International</v>
      </c>
      <c r="F12" s="22">
        <f>+[1]GRUPO!T12</f>
        <v>380.46366767507396</v>
      </c>
      <c r="G12" s="23">
        <f>+[1]GRUPO!U12</f>
        <v>411.60614925346653</v>
      </c>
      <c r="H12" s="24">
        <f t="shared" si="0"/>
        <v>-7.5660875414218021</v>
      </c>
      <c r="J12" s="22">
        <f>+[1]GRUPO!X12</f>
        <v>128.81765754564123</v>
      </c>
      <c r="K12" s="23">
        <f>+[1]GRUPO!Y12</f>
        <v>98.424955338780421</v>
      </c>
      <c r="L12" s="24">
        <f t="shared" si="1"/>
        <v>30.879061211913779</v>
      </c>
      <c r="O12" s="21" t="str">
        <f>+IF($B$3="esp","Internacional","International")</f>
        <v>International</v>
      </c>
      <c r="Q12" s="22">
        <f>+[1]SANTILLANA!T12</f>
        <v>311.55019482823809</v>
      </c>
      <c r="R12" s="23">
        <f>+[1]SANTILLANA!U12</f>
        <v>339.78338379879517</v>
      </c>
      <c r="S12" s="24">
        <f t="shared" si="2"/>
        <v>-8.3091729368601328</v>
      </c>
      <c r="U12" s="22">
        <f>+[1]SANTILLANA!X12</f>
        <v>102.22073571031481</v>
      </c>
      <c r="V12" s="23">
        <f>+[1]SANTILLANA!Y12</f>
        <v>75.74930927233072</v>
      </c>
      <c r="W12" s="24">
        <f t="shared" si="3"/>
        <v>34.946096132461271</v>
      </c>
      <c r="Z12" s="21" t="str">
        <f>+IF($B$3="esp","Latam","Latam")</f>
        <v>Latam</v>
      </c>
      <c r="AB12" s="22">
        <f>+[1]RADIO!T12</f>
        <v>66.196770385400299</v>
      </c>
      <c r="AC12" s="23">
        <f>+[1]RADIO!U12</f>
        <v>64.858720202276899</v>
      </c>
      <c r="AD12" s="24">
        <f t="shared" si="4"/>
        <v>2.0630227962414023</v>
      </c>
      <c r="AF12" s="22">
        <f>+[1]RADIO!X12</f>
        <v>25.663951134878801</v>
      </c>
      <c r="AG12" s="23">
        <f>+[1]RADIO!Y12</f>
        <v>21.008810753749195</v>
      </c>
      <c r="AH12" s="24">
        <f t="shared" si="5"/>
        <v>22.158038528186836</v>
      </c>
      <c r="AK12" s="26" t="str">
        <f>+IF($B$3="esp","Publicidad","Advertising")</f>
        <v>Advertising</v>
      </c>
      <c r="AL12" s="27"/>
      <c r="AM12" s="28">
        <f>+[1]NOTICIAS!T12</f>
        <v>72.183539512369308</v>
      </c>
      <c r="AN12" s="29">
        <f>+[1]NOTICIAS!U12</f>
        <v>71.678472599159306</v>
      </c>
      <c r="AO12" s="30">
        <f t="shared" si="6"/>
        <v>0.70462845383779138</v>
      </c>
      <c r="AQ12" s="28">
        <f>+[1]NOTICIAS!X12</f>
        <v>20.754648784530907</v>
      </c>
      <c r="AR12" s="29">
        <f>+[1]NOTICIAS!Y12</f>
        <v>21.856112694577305</v>
      </c>
      <c r="AS12" s="30">
        <f t="shared" si="7"/>
        <v>-5.0396148914426169</v>
      </c>
    </row>
    <row r="13" spans="1:45" ht="15" customHeight="1">
      <c r="D13" s="31" t="str">
        <f>+IF($B$3="esp","Latam","Latam")</f>
        <v>Latam</v>
      </c>
      <c r="F13" s="22">
        <f>+[1]GRUPO!T13</f>
        <v>376.63046967507398</v>
      </c>
      <c r="G13" s="23">
        <f>+[1]GRUPO!U13</f>
        <v>408.06939225346656</v>
      </c>
      <c r="H13" s="24">
        <f t="shared" si="0"/>
        <v>-7.7043079376227102</v>
      </c>
      <c r="J13" s="22">
        <f>+[1]GRUPO!X13</f>
        <v>125.20404854564123</v>
      </c>
      <c r="K13" s="23">
        <f>+[1]GRUPO!Y13</f>
        <v>94.918006338780458</v>
      </c>
      <c r="L13" s="24">
        <f t="shared" si="1"/>
        <v>31.907583581943467</v>
      </c>
      <c r="O13" s="31" t="str">
        <f>+IF($B$3="esp","Latam","Latam")</f>
        <v>Latam</v>
      </c>
      <c r="Q13" s="22">
        <f>+[1]SANTILLANA!T13</f>
        <v>307.71699682823811</v>
      </c>
      <c r="R13" s="23">
        <f>+[1]SANTILLANA!U13</f>
        <v>336.24662679879515</v>
      </c>
      <c r="S13" s="24">
        <f t="shared" si="2"/>
        <v>-8.4847334357435003</v>
      </c>
      <c r="U13" s="22">
        <f>+[1]SANTILLANA!X13</f>
        <v>98.607126710314844</v>
      </c>
      <c r="V13" s="23">
        <f>+[1]SANTILLANA!Y13</f>
        <v>72.2423602723307</v>
      </c>
      <c r="W13" s="24">
        <f t="shared" si="3"/>
        <v>36.494885187301982</v>
      </c>
      <c r="Z13" s="21" t="str">
        <f>+IF($B$3="esp","Música","Music")</f>
        <v>Music</v>
      </c>
      <c r="AB13" s="22">
        <f>+[1]RADIO!T13</f>
        <v>3.4724490000000004E-2</v>
      </c>
      <c r="AC13" s="23">
        <f>+[1]RADIO!U13</f>
        <v>12.3321652053998</v>
      </c>
      <c r="AD13" s="24">
        <f t="shared" si="4"/>
        <v>-99.718423412096385</v>
      </c>
      <c r="AF13" s="22">
        <f>+[1]RADIO!X13</f>
        <v>8.7313700000000022E-3</v>
      </c>
      <c r="AG13" s="23">
        <f>+[1]RADIO!Y13</f>
        <v>9.8532002521037505</v>
      </c>
      <c r="AH13" s="24">
        <f t="shared" si="5"/>
        <v>-99.911385440500553</v>
      </c>
      <c r="AK13" s="26" t="str">
        <f>+IF($B$3="esp","Circulación","Circulation")</f>
        <v>Circulation</v>
      </c>
      <c r="AL13" s="27"/>
      <c r="AM13" s="28">
        <f>+[1]NOTICIAS!T13</f>
        <v>46.458601294430004</v>
      </c>
      <c r="AN13" s="29">
        <f>+[1]NOTICIAS!U13</f>
        <v>52.392342247532099</v>
      </c>
      <c r="AO13" s="30">
        <f t="shared" si="6"/>
        <v>-11.325588241632008</v>
      </c>
      <c r="AQ13" s="28">
        <f>+[1]NOTICIAS!X13</f>
        <v>15.744350465085706</v>
      </c>
      <c r="AR13" s="29">
        <f>+[1]NOTICIAS!Y13</f>
        <v>17.173803822758501</v>
      </c>
      <c r="AS13" s="30">
        <f t="shared" si="7"/>
        <v>-8.3234522323965408</v>
      </c>
    </row>
    <row r="14" spans="1:45" ht="15" customHeight="1">
      <c r="D14" s="31" t="str">
        <f>+IF($B$3="esp","Portugal","Portugal")</f>
        <v>Portugal</v>
      </c>
      <c r="F14" s="22">
        <f>+[1]GRUPO!T14</f>
        <v>3.8331979999999999</v>
      </c>
      <c r="G14" s="23">
        <f>+[1]GRUPO!U14</f>
        <v>3.5367570000000002</v>
      </c>
      <c r="H14" s="24">
        <f t="shared" si="0"/>
        <v>8.3817180541382896</v>
      </c>
      <c r="J14" s="22">
        <f>+[1]GRUPO!X14</f>
        <v>3.6136089999999998</v>
      </c>
      <c r="K14" s="23">
        <f>+[1]GRUPO!Y14</f>
        <v>3.5069490000000001</v>
      </c>
      <c r="L14" s="24">
        <f t="shared" si="1"/>
        <v>3.0413901086100696</v>
      </c>
      <c r="O14" s="31" t="str">
        <f>+IF($B$3="esp","Portugal","Portugal")</f>
        <v>Portugal</v>
      </c>
      <c r="Q14" s="22">
        <f>+[1]SANTILLANA!T14</f>
        <v>3.8331979999999999</v>
      </c>
      <c r="R14" s="23">
        <f>+[1]SANTILLANA!U14</f>
        <v>3.5367570000000002</v>
      </c>
      <c r="S14" s="24">
        <f t="shared" si="2"/>
        <v>8.3817180541382896</v>
      </c>
      <c r="U14" s="22">
        <f>+[1]SANTILLANA!X14</f>
        <v>3.6136089999999998</v>
      </c>
      <c r="V14" s="23">
        <f>+[1]SANTILLANA!Y14</f>
        <v>3.5069490000000001</v>
      </c>
      <c r="W14" s="24">
        <f t="shared" si="3"/>
        <v>3.0413901086100696</v>
      </c>
      <c r="Z14" s="21" t="str">
        <f>+IF($B$3="esp","Ajustes y Otros","Adjustments &amp; others")</f>
        <v>Adjustments &amp; others</v>
      </c>
      <c r="AB14" s="22">
        <f>+[1]RADIO!T14</f>
        <v>-3.0159992115592877</v>
      </c>
      <c r="AC14" s="23">
        <f>+[1]RADIO!U14</f>
        <v>-6.2235156419317086</v>
      </c>
      <c r="AD14" s="24">
        <f t="shared" si="4"/>
        <v>51.538657808801524</v>
      </c>
      <c r="AF14" s="22">
        <f>+[1]RADIO!X14</f>
        <v>-0.95585655654377222</v>
      </c>
      <c r="AG14" s="23">
        <f>+[1]RADIO!Y14</f>
        <v>-2.2556883473149685</v>
      </c>
      <c r="AH14" s="24">
        <f t="shared" si="5"/>
        <v>57.624617882981724</v>
      </c>
      <c r="AK14" s="26" t="str">
        <f>+IF($B$3="esp","Promociones y Otros","Add-ons and Others")</f>
        <v>Add-ons and Others</v>
      </c>
      <c r="AL14" s="27"/>
      <c r="AM14" s="28">
        <f>+[1]NOTICIAS!T14</f>
        <v>17.744072008093674</v>
      </c>
      <c r="AN14" s="29">
        <f>+[1]NOTICIAS!U14</f>
        <v>20.830583740906604</v>
      </c>
      <c r="AO14" s="30">
        <f t="shared" si="6"/>
        <v>-14.817211899596034</v>
      </c>
      <c r="AQ14" s="28">
        <f>+[1]NOTICIAS!X14</f>
        <v>5.6778883265273699</v>
      </c>
      <c r="AR14" s="29">
        <f>+[1]NOTICIAS!Y14</f>
        <v>5.6141298923692062</v>
      </c>
      <c r="AS14" s="30">
        <f t="shared" si="7"/>
        <v>1.1356779301601994</v>
      </c>
    </row>
    <row r="15" spans="1:45" s="13" customFormat="1" ht="15" customHeight="1" thickBot="1">
      <c r="D15" s="13" t="str">
        <f>+IF($B$3="esp","EBITDA","EBITDA")</f>
        <v>EBITDA</v>
      </c>
      <c r="F15" s="14">
        <f>+[1]GRUPO!T15</f>
        <v>165.25046769916199</v>
      </c>
      <c r="G15" s="15">
        <f>+[1]GRUPO!U15</f>
        <v>167.0979963389054</v>
      </c>
      <c r="H15" s="16">
        <f t="shared" si="0"/>
        <v>-1.1056557709981687</v>
      </c>
      <c r="J15" s="14">
        <f>+[1]GRUPO!X15</f>
        <v>79.562049090603182</v>
      </c>
      <c r="K15" s="15">
        <f>+[1]GRUPO!Y15</f>
        <v>59.764154604313191</v>
      </c>
      <c r="L15" s="16">
        <f t="shared" si="1"/>
        <v>33.126703819987064</v>
      </c>
      <c r="O15" s="13" t="str">
        <f>+IF($B$3="esp","EBITDA Comparable","Comparable EBITDA")</f>
        <v>Comparable EBITDA</v>
      </c>
      <c r="Q15" s="14">
        <f>+[1]SANTILLANA!T15</f>
        <v>129.21480552604999</v>
      </c>
      <c r="R15" s="15">
        <f>+[1]SANTILLANA!U15</f>
        <v>138.98440006600089</v>
      </c>
      <c r="S15" s="16">
        <f t="shared" si="2"/>
        <v>-7.0292741741602063</v>
      </c>
      <c r="U15" s="14">
        <f>+[1]SANTILLANA!X15</f>
        <v>67.362332028400687</v>
      </c>
      <c r="V15" s="15">
        <f>+[1]SANTILLANA!Y15</f>
        <v>47.96797481205617</v>
      </c>
      <c r="W15" s="16">
        <f t="shared" si="3"/>
        <v>40.431886675086353</v>
      </c>
      <c r="Z15" s="13" t="str">
        <f>+IF($B$3="esp","Ingresos de Explotación con MX","Operating Revenues w/MX")</f>
        <v>Operating Revenues w/MX</v>
      </c>
      <c r="AB15" s="14">
        <f>+[1]RADIO!T15</f>
        <v>209.65237414265451</v>
      </c>
      <c r="AC15" s="15">
        <f>+[1]RADIO!U15</f>
        <v>219.36274851951899</v>
      </c>
      <c r="AD15" s="16">
        <f t="shared" si="4"/>
        <v>-4.4266286971693578</v>
      </c>
      <c r="AF15" s="14">
        <f>+[1]RADIO!X15</f>
        <v>66.478301924358107</v>
      </c>
      <c r="AG15" s="15">
        <f>+[1]RADIO!Y15</f>
        <v>73.182352351024491</v>
      </c>
      <c r="AH15" s="16">
        <f t="shared" si="5"/>
        <v>-9.1607473814314115</v>
      </c>
      <c r="AK15" s="25" t="str">
        <f>+IF($B$3="esp","PBS y Prisa Tecnología","PBS &amp; IT")</f>
        <v>PBS &amp; IT</v>
      </c>
      <c r="AM15" s="14">
        <f>+[1]NOTICIAS!T15</f>
        <v>16.548036370376991</v>
      </c>
      <c r="AN15" s="15">
        <f>+[1]NOTICIAS!U15</f>
        <v>13.558802106879</v>
      </c>
      <c r="AO15" s="16">
        <f t="shared" si="6"/>
        <v>22.046448055919456</v>
      </c>
      <c r="AQ15" s="14">
        <f>+[1]NOTICIAS!X15</f>
        <v>6.2260402729859976</v>
      </c>
      <c r="AR15" s="15">
        <f>+[1]NOTICIAS!Y15</f>
        <v>4.2554055780889968</v>
      </c>
      <c r="AS15" s="16">
        <f t="shared" si="7"/>
        <v>46.308974755397273</v>
      </c>
    </row>
    <row r="16" spans="1:45" ht="15" customHeight="1" thickTop="1" thickBot="1">
      <c r="D16" s="21" t="str">
        <f>+IF($B$3="esp","España","Spain")</f>
        <v>Spain</v>
      </c>
      <c r="F16" s="22">
        <f>+[1]GRUPO!T16</f>
        <v>76.884349689999908</v>
      </c>
      <c r="G16" s="23">
        <f>+[1]GRUPO!U16</f>
        <v>55.840285974135668</v>
      </c>
      <c r="H16" s="24">
        <f t="shared" si="0"/>
        <v>37.686167520007899</v>
      </c>
      <c r="J16" s="22">
        <f>+[1]GRUPO!X16</f>
        <v>53.419959200000122</v>
      </c>
      <c r="K16" s="23">
        <f>+[1]GRUPO!Y16</f>
        <v>49.967098119904989</v>
      </c>
      <c r="L16" s="24">
        <f t="shared" si="1"/>
        <v>6.910269377279775</v>
      </c>
      <c r="O16" s="21" t="str">
        <f>+IF($B$3="esp","España","Spain")</f>
        <v>Spain</v>
      </c>
      <c r="Q16" s="22">
        <f>+[1]SANTILLANA!T16</f>
        <v>53.888281930000204</v>
      </c>
      <c r="R16" s="23">
        <f>+[1]SANTILLANA!U16</f>
        <v>40.811198929999421</v>
      </c>
      <c r="S16" s="24">
        <f t="shared" si="2"/>
        <v>32.042878775580654</v>
      </c>
      <c r="U16" s="22">
        <f>+[1]SANTILLANA!X16</f>
        <v>50.869506420000164</v>
      </c>
      <c r="V16" s="23">
        <f>+[1]SANTILLANA!Y16</f>
        <v>43.475025639999373</v>
      </c>
      <c r="W16" s="24">
        <f t="shared" si="3"/>
        <v>17.008571406562826</v>
      </c>
      <c r="Z16" s="13" t="str">
        <f>+IF($B$3="esp","EBITDA Comparable","Comparable EBITDA")</f>
        <v>Comparable EBITDA</v>
      </c>
      <c r="AA16" s="13"/>
      <c r="AB16" s="14">
        <f>+[1]RADIO!T16</f>
        <v>41.822380985898704</v>
      </c>
      <c r="AC16" s="15">
        <f>+[1]RADIO!U16</f>
        <v>40.179288020950104</v>
      </c>
      <c r="AD16" s="16">
        <f t="shared" si="4"/>
        <v>4.0894028886023719</v>
      </c>
      <c r="AE16" s="13"/>
      <c r="AF16" s="14">
        <f>+[1]RADIO!X16</f>
        <v>13.677193606604504</v>
      </c>
      <c r="AG16" s="15">
        <f>+[1]RADIO!Y16</f>
        <v>13.036188704209504</v>
      </c>
      <c r="AH16" s="16">
        <f t="shared" si="5"/>
        <v>4.9171189290011883</v>
      </c>
      <c r="AK16" s="32" t="str">
        <f>+IF($B$3="esp","EBITDA Comparable Noticias Gestión","Total Press Comparable EBITDA")</f>
        <v>Total Press Comparable EBITDA</v>
      </c>
      <c r="AL16" s="33"/>
      <c r="AM16" s="34">
        <f>+[1]NOTICIAS!T16</f>
        <v>1.1243398419538499</v>
      </c>
      <c r="AN16" s="35">
        <f>+[1]NOTICIAS!U16</f>
        <v>-1.7179928909750697</v>
      </c>
      <c r="AO16" s="36" t="str">
        <f t="shared" si="6"/>
        <v>---</v>
      </c>
      <c r="AQ16" s="34">
        <f>+[1]NOTICIAS!X16</f>
        <v>-0.52044125079057002</v>
      </c>
      <c r="AR16" s="35">
        <f>+[1]NOTICIAS!Y16</f>
        <v>0.25749713954377018</v>
      </c>
      <c r="AS16" s="36" t="str">
        <f t="shared" si="7"/>
        <v>---</v>
      </c>
    </row>
    <row r="17" spans="4:45" ht="15" customHeight="1" thickTop="1">
      <c r="D17" s="21" t="str">
        <f>+IF($B$3="esp","Internacional","International")</f>
        <v>International</v>
      </c>
      <c r="F17" s="22">
        <f>+[1]GRUPO!T17</f>
        <v>88.366118009162079</v>
      </c>
      <c r="G17" s="23">
        <f>+[1]GRUPO!U17</f>
        <v>111.25771036476974</v>
      </c>
      <c r="H17" s="24">
        <f t="shared" si="0"/>
        <v>-20.575286225606511</v>
      </c>
      <c r="J17" s="22">
        <f>+[1]GRUPO!X17</f>
        <v>26.14208989060306</v>
      </c>
      <c r="K17" s="23">
        <f>+[1]GRUPO!Y17</f>
        <v>9.797056484408202</v>
      </c>
      <c r="L17" s="24">
        <f t="shared" si="1"/>
        <v>166.83616586479434</v>
      </c>
      <c r="O17" s="21" t="str">
        <f>+IF($B$3="esp","Internacional","International")</f>
        <v>International</v>
      </c>
      <c r="Q17" s="22">
        <f>+[1]SANTILLANA!T17</f>
        <v>75.326523596049782</v>
      </c>
      <c r="R17" s="23">
        <f>+[1]SANTILLANA!U17</f>
        <v>98.173201136001467</v>
      </c>
      <c r="S17" s="24">
        <f t="shared" si="2"/>
        <v>-23.271806639269801</v>
      </c>
      <c r="U17" s="22">
        <f>+[1]SANTILLANA!X17</f>
        <v>16.492825608400523</v>
      </c>
      <c r="V17" s="23">
        <f>+[1]SANTILLANA!Y17</f>
        <v>4.4929491720567967</v>
      </c>
      <c r="W17" s="24" t="str">
        <f t="shared" si="3"/>
        <v>---</v>
      </c>
      <c r="Z17" s="21" t="str">
        <f>+IF($B$3="esp","España","Spain")</f>
        <v>Spain</v>
      </c>
      <c r="AB17" s="22">
        <f>+[1]RADIO!T17</f>
        <v>25.024464700000099</v>
      </c>
      <c r="AC17" s="23">
        <f>+[1]RADIO!U17</f>
        <v>23.767473709999997</v>
      </c>
      <c r="AD17" s="24">
        <f t="shared" si="4"/>
        <v>5.2887025576943474</v>
      </c>
      <c r="AF17" s="22">
        <f>+[1]RADIO!X17</f>
        <v>3.4758251299999969</v>
      </c>
      <c r="AG17" s="23">
        <f>+[1]RADIO!Y17</f>
        <v>6.389837240000098</v>
      </c>
      <c r="AH17" s="24">
        <f t="shared" si="5"/>
        <v>-45.603855005234159</v>
      </c>
      <c r="AK17" s="25" t="str">
        <f>+IF($B$3="esp","EBITDA Comparable","PRESS Comparable EBITDA")</f>
        <v>PRESS Comparable EBITDA</v>
      </c>
      <c r="AL17" s="33"/>
      <c r="AM17" s="14">
        <f>+[1]NOTICIAS!T17</f>
        <v>1.83828380857494</v>
      </c>
      <c r="AN17" s="15">
        <f>+[1]NOTICIAS!U17</f>
        <v>0.56735277130225992</v>
      </c>
      <c r="AO17" s="16" t="str">
        <f t="shared" si="6"/>
        <v>---</v>
      </c>
      <c r="AQ17" s="14">
        <f>+[1]NOTICIAS!X17</f>
        <v>-0.83458320738706027</v>
      </c>
      <c r="AR17" s="15">
        <f>+[1]NOTICIAS!Y17</f>
        <v>4.835849264813985E-2</v>
      </c>
      <c r="AS17" s="16" t="str">
        <f t="shared" si="7"/>
        <v>---</v>
      </c>
    </row>
    <row r="18" spans="4:45" ht="15" customHeight="1">
      <c r="D18" s="31" t="str">
        <f>+IF($B$3="esp","Latam","Latam")</f>
        <v>Latam</v>
      </c>
      <c r="F18" s="22">
        <f>+[1]GRUPO!T18</f>
        <v>85.934296969162077</v>
      </c>
      <c r="G18" s="23">
        <f>+[1]GRUPO!U18</f>
        <v>110.89971473476974</v>
      </c>
      <c r="H18" s="24">
        <f t="shared" si="0"/>
        <v>-22.511706026760773</v>
      </c>
      <c r="J18" s="22">
        <f>+[1]GRUPO!X18</f>
        <v>23.477572850603053</v>
      </c>
      <c r="K18" s="23">
        <f>+[1]GRUPO!Y18</f>
        <v>7.6779758544082028</v>
      </c>
      <c r="L18" s="24" t="str">
        <f t="shared" si="1"/>
        <v>---</v>
      </c>
      <c r="O18" s="31" t="str">
        <f>+IF($B$3="esp","Latam","Latam")</f>
        <v>Latam</v>
      </c>
      <c r="Q18" s="22">
        <f>+[1]SANTILLANA!T18</f>
        <v>72.936984596049783</v>
      </c>
      <c r="R18" s="23">
        <f>+[1]SANTILLANA!U18</f>
        <v>97.700648136001462</v>
      </c>
      <c r="S18" s="24">
        <f t="shared" si="2"/>
        <v>-25.346468024940954</v>
      </c>
      <c r="U18" s="22">
        <f>+[1]SANTILLANA!X18</f>
        <v>13.870590608400526</v>
      </c>
      <c r="V18" s="23">
        <f>+[1]SANTILLANA!Y18</f>
        <v>2.2593111720567975</v>
      </c>
      <c r="W18" s="24" t="str">
        <f t="shared" si="3"/>
        <v>---</v>
      </c>
      <c r="Z18" s="21" t="str">
        <f>+IF($B$3="esp","Latam","Latam")</f>
        <v>Latam</v>
      </c>
      <c r="AB18" s="22">
        <f>+[1]RADIO!T18</f>
        <v>16.931259415898701</v>
      </c>
      <c r="AC18" s="23">
        <f>+[1]RADIO!U18</f>
        <v>16.7279530251007</v>
      </c>
      <c r="AD18" s="24">
        <f t="shared" si="4"/>
        <v>1.2153692116001003</v>
      </c>
      <c r="AF18" s="22">
        <f>+[1]RADIO!X18</f>
        <v>10.223321476604522</v>
      </c>
      <c r="AG18" s="23">
        <f>+[1]RADIO!Y18</f>
        <v>6.2132200501433505</v>
      </c>
      <c r="AH18" s="24">
        <f t="shared" si="5"/>
        <v>64.541435746648801</v>
      </c>
      <c r="AK18" s="26" t="str">
        <f>+IF($B$3="esp","Margen EBITDA ","EBITDA Margin")</f>
        <v>EBITDA Margin</v>
      </c>
      <c r="AL18" s="27"/>
      <c r="AM18" s="37">
        <f>+[1]NOTICIAS!T18</f>
        <v>1.3478516417710843E-2</v>
      </c>
      <c r="AN18" s="38">
        <f>+[1]NOTICIAS!U18</f>
        <v>3.9154402706422127E-3</v>
      </c>
      <c r="AO18" s="39"/>
      <c r="AQ18" s="37">
        <f>+[1]NOTICIAS!X18</f>
        <v>-1.9787690731810085E-2</v>
      </c>
      <c r="AR18" s="38">
        <f>+[1]NOTICIAS!Y18</f>
        <v>1.0832013792913577E-3</v>
      </c>
      <c r="AS18" s="39"/>
    </row>
    <row r="19" spans="4:45" ht="15" customHeight="1" thickBot="1">
      <c r="D19" s="31" t="str">
        <f>+IF($B$3="esp","Portugal","Portugal")</f>
        <v>Portugal</v>
      </c>
      <c r="F19" s="22">
        <f>+[1]GRUPO!T19</f>
        <v>2.43182104</v>
      </c>
      <c r="G19" s="23">
        <f>+[1]GRUPO!U19</f>
        <v>0.35799563000000001</v>
      </c>
      <c r="H19" s="24" t="str">
        <f t="shared" si="0"/>
        <v>---</v>
      </c>
      <c r="J19" s="22">
        <f>+[1]GRUPO!X19</f>
        <v>2.6645170399999998</v>
      </c>
      <c r="K19" s="23">
        <f>+[1]GRUPO!Y19</f>
        <v>2.11908063</v>
      </c>
      <c r="L19" s="24">
        <f t="shared" si="1"/>
        <v>25.73929478086918</v>
      </c>
      <c r="O19" s="31" t="str">
        <f>+IF($B$3="esp","Portugal","Portugal")</f>
        <v>Portugal</v>
      </c>
      <c r="Q19" s="22">
        <f>+[1]SANTILLANA!T19</f>
        <v>2.3895390000000001</v>
      </c>
      <c r="R19" s="23">
        <f>+[1]SANTILLANA!U19</f>
        <v>0.472553000000001</v>
      </c>
      <c r="S19" s="24" t="str">
        <f t="shared" si="2"/>
        <v>---</v>
      </c>
      <c r="U19" s="22">
        <f>+[1]SANTILLANA!X19</f>
        <v>2.6222349999999999</v>
      </c>
      <c r="V19" s="23">
        <f>+[1]SANTILLANA!Y19</f>
        <v>2.2336380000000009</v>
      </c>
      <c r="W19" s="24">
        <f t="shared" si="3"/>
        <v>17.3974923420894</v>
      </c>
      <c r="Z19" s="21" t="str">
        <f>+IF($B$3="esp","Música","Music")</f>
        <v>Music</v>
      </c>
      <c r="AB19" s="22">
        <f>+[1]RADIO!T19</f>
        <v>-4.6556130000000001E-2</v>
      </c>
      <c r="AC19" s="23">
        <f>+[1]RADIO!U19</f>
        <v>0.111691285849216</v>
      </c>
      <c r="AD19" s="24" t="str">
        <f t="shared" si="4"/>
        <v>---</v>
      </c>
      <c r="AF19" s="22">
        <f>+[1]RADIO!X19</f>
        <v>1.4409999999999978E-3</v>
      </c>
      <c r="AG19" s="23">
        <f>+[1]RADIO!Y19</f>
        <v>0.43213141406590605</v>
      </c>
      <c r="AH19" s="24">
        <f t="shared" si="5"/>
        <v>-99.666536624486127</v>
      </c>
      <c r="AK19" s="25" t="str">
        <f>+IF($B$3="esp","PBS y Prisa Tecnología","PBS &amp; IT")</f>
        <v>PBS &amp; IT</v>
      </c>
      <c r="AL19" s="13"/>
      <c r="AM19" s="14">
        <f>+[1]NOTICIAS!T19</f>
        <v>-0.71394396662109005</v>
      </c>
      <c r="AN19" s="15">
        <f>+[1]NOTICIAS!U19</f>
        <v>-2.2853456622773294</v>
      </c>
      <c r="AO19" s="16">
        <f>IF(AN19=0,"---",IF(OR(ABS((AM19-AN19)/ABS(AN19))&gt;2,(AM19*AN19)&lt;0),"---",IF(AN19="0","---",((AM19-AN19)/ABS(AN19))*100)))</f>
        <v>68.759913285518024</v>
      </c>
      <c r="AQ19" s="14">
        <f>+[1]NOTICIAS!X19</f>
        <v>0.31414195659649025</v>
      </c>
      <c r="AR19" s="15">
        <f>+[1]NOTICIAS!Y19</f>
        <v>0.20913864689563066</v>
      </c>
      <c r="AS19" s="16">
        <f>IF(AR19=0,"---",IF(OR(ABS((AQ19-AR19)/ABS(AR19))&gt;2,(AQ19*AR19)&lt;0),"---",IF(AR19="0","---",((AQ19-AR19)/ABS(AR19))*100)))</f>
        <v>50.20751126560593</v>
      </c>
    </row>
    <row r="20" spans="4:45" s="27" customFormat="1" ht="15" customHeight="1" thickTop="1" thickBot="1">
      <c r="D20" s="26" t="str">
        <f>+IF($B$3="esp","Margen EBITDA","EBITDA Margin")</f>
        <v>EBITDA Margin</v>
      </c>
      <c r="F20" s="37">
        <f>+[1]GRUPO!T20</f>
        <v>0.20737030379065369</v>
      </c>
      <c r="G20" s="38">
        <f>+[1]GRUPO!U20</f>
        <v>0.20296245205231567</v>
      </c>
      <c r="H20" s="39"/>
      <c r="J20" s="37">
        <f>+[1]GRUPO!X20</f>
        <v>0.25564705276503813</v>
      </c>
      <c r="K20" s="38">
        <f>+[1]GRUPO!Y20</f>
        <v>0.21268589934873752</v>
      </c>
      <c r="L20" s="39"/>
      <c r="O20" s="26" t="str">
        <f>+IF($B$3="esp","Margen EBITDA Ajustado","Adjusted EBITDA Margin")</f>
        <v>Adjusted EBITDA Margin</v>
      </c>
      <c r="Q20" s="37">
        <f>+[1]SANTILLANA!T20</f>
        <v>0.2802097307643272</v>
      </c>
      <c r="R20" s="38">
        <f>+[1]SANTILLANA!U20</f>
        <v>0.29723042533594529</v>
      </c>
      <c r="S20" s="39"/>
      <c r="U20" s="37">
        <f>+[1]SANTILLANA!X20</f>
        <v>0.32834608343472954</v>
      </c>
      <c r="V20" s="38">
        <f>+[1]SANTILLANA!Y20</f>
        <v>0.28850666173201811</v>
      </c>
      <c r="W20" s="39"/>
      <c r="Z20" s="21" t="str">
        <f>+IF($B$3="esp","Ajustes y Otros","Adjustments &amp; others")</f>
        <v>Adjustments &amp; others</v>
      </c>
      <c r="AA20" s="1"/>
      <c r="AB20" s="22">
        <f>+[1]RADIO!T20</f>
        <v>-8.678700000009601E-2</v>
      </c>
      <c r="AC20" s="23">
        <f>+[1]RADIO!U20</f>
        <v>-0.42782999999980936</v>
      </c>
      <c r="AD20" s="24">
        <f t="shared" si="4"/>
        <v>79.714606268813611</v>
      </c>
      <c r="AE20" s="1"/>
      <c r="AF20" s="22">
        <f>+[1]RADIO!X20</f>
        <v>-2.339400000001321E-2</v>
      </c>
      <c r="AG20" s="23">
        <f>+[1]RADIO!Y20</f>
        <v>1.0000000001495479E-3</v>
      </c>
      <c r="AH20" s="24" t="str">
        <f t="shared" si="5"/>
        <v>---</v>
      </c>
      <c r="AK20" s="32" t="str">
        <f>+IF($B$3="esp","EBIT Comparable Noticias Gestión","Total Press Comparable EBIT")</f>
        <v>Total Press Comparable EBIT</v>
      </c>
      <c r="AL20" s="33"/>
      <c r="AM20" s="34">
        <f>+[1]NOTICIAS!T20</f>
        <v>-6.1888904937896898</v>
      </c>
      <c r="AN20" s="35">
        <f>+[1]NOTICIAS!U20</f>
        <v>-8.2722294690912026</v>
      </c>
      <c r="AO20" s="36">
        <f>IF(AN20=0,"---",IF(OR(ABS((AM20-AN20)/ABS(AN20))&gt;2,(AM20*AN20)&lt;0),"---",IF(AN20="0","---",((AM20-AN20)/ABS(AN20))*100)))</f>
        <v>25.184733850599905</v>
      </c>
      <c r="AQ20" s="34">
        <f>+[1]NOTICIAS!X20</f>
        <v>-2.9710720010672595</v>
      </c>
      <c r="AR20" s="35">
        <f>+[1]NOTICIAS!Y20</f>
        <v>-1.9613258683202579</v>
      </c>
      <c r="AS20" s="36">
        <f>IF(AR20=0,"---",IF(OR(ABS((AQ20-AR20)/ABS(AR20))&gt;2,(AQ20*AR20)&lt;0),"---",IF(AR20="0","---",((AQ20-AR20)/ABS(AR20))*100)))</f>
        <v>-51.482833579907883</v>
      </c>
    </row>
    <row r="21" spans="4:45" s="13" customFormat="1" ht="15" customHeight="1" thickTop="1">
      <c r="D21" s="13" t="str">
        <f>+IF($B$3="esp","EBIT","EBIT")</f>
        <v>EBIT</v>
      </c>
      <c r="F21" s="14">
        <f>+[1]GRUPO!T21</f>
        <v>100.6309908043855</v>
      </c>
      <c r="G21" s="15">
        <f>+[1]GRUPO!U21</f>
        <v>104.03727489308459</v>
      </c>
      <c r="H21" s="16">
        <f>IF(G21=0,"---",IF(OR(ABS((F21-G21)/ABS(G21))&gt;2,(F21*G21)&lt;0),"---",IF(G21="0","---",((F21-G21)/ABS(G21))*100)))</f>
        <v>-3.2740996841753098</v>
      </c>
      <c r="J21" s="14">
        <f>+[1]GRUPO!X21</f>
        <v>56.932713847506498</v>
      </c>
      <c r="K21" s="15">
        <f>+[1]GRUPO!Y21</f>
        <v>36.598416393231446</v>
      </c>
      <c r="L21" s="16">
        <f>IF(K21=0,"---",IF(OR(ABS((J21-K21)/ABS(K21))&gt;2,(J21*K21)&lt;0),"---",IF(K21="0","---",((J21-K21)/ABS(K21))*100)))</f>
        <v>55.560593758465735</v>
      </c>
      <c r="O21" s="13" t="str">
        <f>+IF($B$3="esp","EBIT Comparable","Comparable EBIT")</f>
        <v>Comparable EBIT</v>
      </c>
      <c r="Q21" s="14">
        <f>+[1]SANTILLANA!T21</f>
        <v>86.389801575300794</v>
      </c>
      <c r="R21" s="15">
        <f>+[1]SANTILLANA!U21</f>
        <v>96.727014648000008</v>
      </c>
      <c r="S21" s="16">
        <f>IF(R21=0,"---",IF(OR(ABS((Q21-R21)/ABS(R21))&gt;2,(Q21*R21)&lt;0),"---",IF(R21="0","---",((Q21-R21)/ABS(R21))*100)))</f>
        <v>-10.686996916339703</v>
      </c>
      <c r="U21" s="14">
        <f>+[1]SANTILLANA!X21</f>
        <v>51.859808965320795</v>
      </c>
      <c r="V21" s="15">
        <f>+[1]SANTILLANA!Y21</f>
        <v>31.670192269014194</v>
      </c>
      <c r="W21" s="16">
        <f>IF(V21=0,"---",IF(OR(ABS((U21-V21)/ABS(V21))&gt;2,(U21*V21)&lt;0),"---",IF(V21="0","---",((U21-V21)/ABS(V21))*100)))</f>
        <v>63.749586755934928</v>
      </c>
      <c r="Z21" s="26" t="str">
        <f>+IF($B$3="esp","Margen EBITDA Ajustado","Adjusted EBITDA Margin")</f>
        <v>Adjusted EBITDA Margin</v>
      </c>
      <c r="AA21" s="27"/>
      <c r="AB21" s="37">
        <f>+[1]RADIO!T21</f>
        <v>0.21297465471263777</v>
      </c>
      <c r="AC21" s="38">
        <f>+[1]RADIO!U21</f>
        <v>0.1962097663696579</v>
      </c>
      <c r="AD21" s="39"/>
      <c r="AE21" s="27"/>
      <c r="AF21" s="37">
        <f>+[1]RADIO!X21</f>
        <v>0.221054639259537</v>
      </c>
      <c r="AG21" s="38">
        <f>+[1]RADIO!Y21</f>
        <v>0.18947775989954235</v>
      </c>
      <c r="AH21" s="39"/>
      <c r="AK21" s="25" t="str">
        <f>+IF($B$3="esp","EBIT Comparable","PRESS Comparable EBIT")</f>
        <v>PRESS Comparable EBIT</v>
      </c>
      <c r="AL21" s="33"/>
      <c r="AM21" s="14">
        <f>+[1]NOTICIAS!T21</f>
        <v>-4.0513872028003499</v>
      </c>
      <c r="AN21" s="15">
        <f>+[1]NOTICIAS!U21</f>
        <v>-5.1044893730423277</v>
      </c>
      <c r="AO21" s="16">
        <f>IF(AN21=0,"---",IF(OR(ABS((AM21-AN21)/ABS(AN21))&gt;2,(AM21*AN21)&lt;0),"---",IF(AN21="0","---",((AM21-AN21)/ABS(AN21))*100)))</f>
        <v>20.630901414029555</v>
      </c>
      <c r="AQ21" s="14">
        <f>+[1]NOTICIAS!X21</f>
        <v>-2.7929252921749002</v>
      </c>
      <c r="AR21" s="15">
        <f>+[1]NOTICIAS!Y21</f>
        <v>-1.8847975182772894</v>
      </c>
      <c r="AS21" s="16">
        <f>IF(AR21=0,"---",IF(OR(ABS((AQ21-AR21)/ABS(AR21))&gt;2,(AQ21*AR21)&lt;0),"---",IF(AR21="0","---",((AQ21-AR21)/ABS(AR21))*100)))</f>
        <v>-48.181715281949351</v>
      </c>
    </row>
    <row r="22" spans="4:45" ht="15" customHeight="1">
      <c r="D22" s="21" t="str">
        <f>+IF($B$3="esp","España","Spain")</f>
        <v>Spain</v>
      </c>
      <c r="F22" s="22">
        <f>+[1]GRUPO!T22</f>
        <v>47.333889639999164</v>
      </c>
      <c r="G22" s="23">
        <f>+[1]GRUPO!U22</f>
        <v>25.123249056982445</v>
      </c>
      <c r="H22" s="24">
        <f>IF(G22=0,"---",IF(OR(ABS((F22-G22)/ABS(G22))&gt;2,(F22*G22)&lt;0),"---",IF(G22="0","---",((F22-G22)/ABS(G22))*100)))</f>
        <v>88.406720534594896</v>
      </c>
      <c r="J22" s="22">
        <f>+[1]GRUPO!X22</f>
        <v>39.228999559999238</v>
      </c>
      <c r="K22" s="23">
        <f>+[1]GRUPO!Y22</f>
        <v>34.651637090854365</v>
      </c>
      <c r="L22" s="24">
        <f>IF(K22=0,"---",IF(OR(ABS((J22-K22)/ABS(K22))&gt;2,(J22*K22)&lt;0),"---",IF(K22="0","---",((J22-K22)/ABS(K22))*100)))</f>
        <v>13.209657186306444</v>
      </c>
      <c r="O22" s="21" t="str">
        <f>+IF($B$3="esp","España","Spain")</f>
        <v>Spain</v>
      </c>
      <c r="Q22" s="22">
        <f>+[1]SANTILLANA!T22</f>
        <v>40.940197979999859</v>
      </c>
      <c r="R22" s="23">
        <f>+[1]SANTILLANA!U22</f>
        <v>26.620421179999767</v>
      </c>
      <c r="S22" s="24">
        <f>IF(R22=0,"---",IF(OR(ABS((Q22-R22)/ABS(R22))&gt;2,(Q22*R22)&lt;0),"---",IF(R22="0","---",((Q22-R22)/ABS(R22))*100)))</f>
        <v>53.792450176403328</v>
      </c>
      <c r="U22" s="22">
        <f>+[1]SANTILLANA!X22</f>
        <v>42.22640317999943</v>
      </c>
      <c r="V22" s="23">
        <f>+[1]SANTILLANA!Y22</f>
        <v>33.638256449999943</v>
      </c>
      <c r="W22" s="24">
        <f>IF(V22=0,"---",IF(OR(ABS((U22-V22)/ABS(V22))&gt;2,(U22*V22)&lt;0),"---",IF(V22="0","---",((U22-V22)/ABS(V22))*100)))</f>
        <v>25.530891420501973</v>
      </c>
      <c r="Z22" s="40" t="str">
        <f>+IF($B$3="esp","EBITDA con MX y CR","EBITDA w/MX&amp;CR")</f>
        <v>EBITDA w/MX&amp;CR</v>
      </c>
      <c r="AA22" s="13"/>
      <c r="AB22" s="41">
        <f>+[1]RADIO!T22</f>
        <v>45.694294780931784</v>
      </c>
      <c r="AC22" s="42">
        <f>+[1]RADIO!U22</f>
        <v>45.976241127282904</v>
      </c>
      <c r="AD22" s="43">
        <f t="shared" ref="AD22:AD27" si="8">IF(AC22=0,"---",IF(OR(ABS((AB22-AC22)/ABS(AC22))&gt;2,(AB22*AC22)&lt;0),"---",IF(AC22="0","---",((AB22-AC22)/ABS(AC22))*100)))</f>
        <v>-0.61324357850517963</v>
      </c>
      <c r="AE22" s="13"/>
      <c r="AF22" s="41">
        <f>+[1]RADIO!X22</f>
        <v>15.068552123939167</v>
      </c>
      <c r="AG22" s="42">
        <f>+[1]RADIO!Y22</f>
        <v>14.550925592766419</v>
      </c>
      <c r="AH22" s="43">
        <f t="shared" ref="AH22:AH27" si="9">IF(AG22=0,"---",IF(OR(ABS((AF22-AG22)/ABS(AG22))&gt;2,(AF22*AG22)&lt;0),"---",IF(AG22="0","---",((AF22-AG22)/ABS(AG22))*100)))</f>
        <v>3.5573443618601952</v>
      </c>
      <c r="AK22" s="26" t="str">
        <f>+IF($B$3="esp","Margen EBIT ","EBIT Margin")</f>
        <v>EBIT Margin</v>
      </c>
      <c r="AL22" s="27"/>
      <c r="AM22" s="37">
        <f>+[1]NOTICIAS!T22</f>
        <v>-2.9705254799464231E-2</v>
      </c>
      <c r="AN22" s="38">
        <f>+[1]NOTICIAS!U22</f>
        <v>-3.522732991397929E-2</v>
      </c>
      <c r="AO22" s="39"/>
      <c r="AQ22" s="37">
        <f>+[1]NOTICIAS!X22</f>
        <v>-6.6219331313452104E-2</v>
      </c>
      <c r="AR22" s="38">
        <f>+[1]NOTICIAS!Y22</f>
        <v>-4.2218339730682654E-2</v>
      </c>
      <c r="AS22" s="39"/>
    </row>
    <row r="23" spans="4:45" ht="15" customHeight="1">
      <c r="D23" s="21" t="str">
        <f>+IF($B$3="esp","Internacional","International")</f>
        <v>International</v>
      </c>
      <c r="F23" s="22">
        <f>+[1]GRUPO!T23</f>
        <v>53.297101164386341</v>
      </c>
      <c r="G23" s="23">
        <f>+[1]GRUPO!U23</f>
        <v>78.914025836102141</v>
      </c>
      <c r="H23" s="24">
        <f>IF(G23=0,"---",IF(OR(ABS((F23-G23)/ABS(G23))&gt;2,(F23*G23)&lt;0),"---",IF(G23="0","---",((F23-G23)/ABS(G23))*100)))</f>
        <v>-32.461814487731267</v>
      </c>
      <c r="J23" s="22">
        <f>+[1]GRUPO!X23</f>
        <v>17.70371428750726</v>
      </c>
      <c r="K23" s="23">
        <f>+[1]GRUPO!Y23</f>
        <v>1.946779302377081</v>
      </c>
      <c r="L23" s="24" t="str">
        <f>IF(K23=0,"---",IF(OR(ABS((J23-K23)/ABS(K23))&gt;2,(J23*K23)&lt;0),"---",IF(K23="0","---",((J23-K23)/ABS(K23))*100)))</f>
        <v>---</v>
      </c>
      <c r="O23" s="21" t="str">
        <f>+IF($B$3="esp","Internacional","International")</f>
        <v>International</v>
      </c>
      <c r="Q23" s="22">
        <f>+[1]SANTILLANA!T23</f>
        <v>45.449603595300935</v>
      </c>
      <c r="R23" s="23">
        <f>+[1]SANTILLANA!U23</f>
        <v>70.106593468000241</v>
      </c>
      <c r="S23" s="24">
        <f>IF(R23=0,"---",IF(OR(ABS((Q23-R23)/ABS(R23))&gt;2,(Q23*R23)&lt;0),"---",IF(R23="0","---",((Q23-R23)/ABS(R23))*100)))</f>
        <v>-35.170714554764167</v>
      </c>
      <c r="U23" s="22">
        <f>+[1]SANTILLANA!X23</f>
        <v>9.633405785321365</v>
      </c>
      <c r="V23" s="23">
        <f>+[1]SANTILLANA!Y23</f>
        <v>-1.9680641809857491</v>
      </c>
      <c r="W23" s="24" t="str">
        <f>IF(V23=0,"---",IF(OR(ABS((U23-V23)/ABS(V23))&gt;2,(U23*V23)&lt;0),"---",IF(V23="0","---",((U23-V23)/ABS(V23))*100)))</f>
        <v>---</v>
      </c>
      <c r="Z23" s="13" t="str">
        <f>+IF($B$3="esp","EBIT Comparable","Comparable EBIT")</f>
        <v>Comparable EBIT</v>
      </c>
      <c r="AA23" s="13"/>
      <c r="AB23" s="14">
        <f>+[1]RADIO!T23</f>
        <v>28.3653771076156</v>
      </c>
      <c r="AC23" s="15">
        <f>+[1]RADIO!U23</f>
        <v>27.084196248669198</v>
      </c>
      <c r="AD23" s="16">
        <f t="shared" si="8"/>
        <v>4.7303632243078093</v>
      </c>
      <c r="AE23" s="13"/>
      <c r="AF23" s="14">
        <f>+[1]RADIO!X23</f>
        <v>9.3572877868645996</v>
      </c>
      <c r="AG23" s="15">
        <f>+[1]RADIO!Y23</f>
        <v>8.7290848720239964</v>
      </c>
      <c r="AH23" s="16">
        <f t="shared" si="9"/>
        <v>7.1966640724727302</v>
      </c>
      <c r="AK23" s="44" t="str">
        <f>+IF($B$3="esp","PBS y Prisa Tecnología","PBS &amp; IT")</f>
        <v>PBS &amp; IT</v>
      </c>
      <c r="AL23" s="13"/>
      <c r="AM23" s="41">
        <f>+[1]NOTICIAS!T23</f>
        <v>-2.1375032909893399</v>
      </c>
      <c r="AN23" s="42">
        <f>+[1]NOTICIAS!U23</f>
        <v>-3.1677400960488749</v>
      </c>
      <c r="AO23" s="43">
        <f>IF(AN23=0,"---",IF(OR(ABS((AM23-AN23)/ABS(AN23))&gt;2,(AM23*AN23)&lt;0),"---",IF(AN23="0","---",((AM23-AN23)/ABS(AN23))*100)))</f>
        <v>32.522769350444825</v>
      </c>
      <c r="AQ23" s="41">
        <f>+[1]NOTICIAS!X23</f>
        <v>-0.1781467088923594</v>
      </c>
      <c r="AR23" s="42">
        <f>+[1]NOTICIAS!Y23</f>
        <v>-7.652835004296854E-2</v>
      </c>
      <c r="AS23" s="43">
        <f>IF(AR23=0,"---",IF(OR(ABS((AQ23-AR23)/ABS(AR23))&gt;2,(AQ23*AR23)&lt;0),"---",IF(AR23="0","---",((AQ23-AR23)/ABS(AR23))*100)))</f>
        <v>-132.78524728722752</v>
      </c>
    </row>
    <row r="24" spans="4:45" ht="15" customHeight="1">
      <c r="D24" s="31" t="str">
        <f>+IF($B$3="esp","Latam","Latam")</f>
        <v>Latam</v>
      </c>
      <c r="F24" s="22">
        <f>+[1]GRUPO!T24</f>
        <v>50.919290124386343</v>
      </c>
      <c r="G24" s="23">
        <f>+[1]GRUPO!U24</f>
        <v>78.9230677113474</v>
      </c>
      <c r="H24" s="24">
        <f>IF(G24=0,"---",IF(OR(ABS((F24-G24)/ABS(G24))&gt;2,(F24*G24)&lt;0),"---",IF(G24="0","---",((F24-G24)/ABS(G24))*100)))</f>
        <v>-35.482373403656645</v>
      </c>
      <c r="J24" s="22">
        <f>+[1]GRUPO!X24</f>
        <v>15.276743247507262</v>
      </c>
      <c r="K24" s="23">
        <f>+[1]GRUPO!Y24</f>
        <v>0.17492450745884014</v>
      </c>
      <c r="L24" s="24" t="str">
        <f>IF(K24=0,"---",IF(OR(ABS((J24-K24)/ABS(K24))&gt;2,(J24*K24)&lt;0),"---",IF(K24="0","---",((J24-K24)/ABS(K24))*100)))</f>
        <v>---</v>
      </c>
      <c r="O24" s="31" t="str">
        <f>+IF($B$3="esp","Latam","Latam")</f>
        <v>Latam</v>
      </c>
      <c r="Q24" s="22">
        <f>+[1]SANTILLANA!T24</f>
        <v>43.114074595300934</v>
      </c>
      <c r="R24" s="23">
        <f>+[1]SANTILLANA!U24</f>
        <v>69.984218468000236</v>
      </c>
      <c r="S24" s="24">
        <f>IF(R24=0,"---",IF(OR(ABS((Q24-R24)/ABS(R24))&gt;2,(Q24*R24)&lt;0),"---",IF(R24="0","---",((Q24-R24)/ABS(R24))*100)))</f>
        <v>-38.394575892828577</v>
      </c>
      <c r="U24" s="22">
        <f>+[1]SANTILLANA!X24</f>
        <v>7.2487167853213634</v>
      </c>
      <c r="V24" s="23">
        <f>+[1]SANTILLANA!Y24</f>
        <v>-3.8600961809857495</v>
      </c>
      <c r="W24" s="24" t="str">
        <f>IF(V24=0,"---",IF(OR(ABS((U24-V24)/ABS(V24))&gt;2,(U24*V24)&lt;0),"---",IF(V24="0","---",((U24-V24)/ABS(V24))*100)))</f>
        <v>---</v>
      </c>
      <c r="Z24" s="21" t="str">
        <f>+IF($B$3="esp","España","Spain")</f>
        <v>Spain</v>
      </c>
      <c r="AB24" s="22">
        <f>+[1]RADIO!T24</f>
        <v>16.5681210300001</v>
      </c>
      <c r="AC24" s="23">
        <f>+[1]RADIO!U24</f>
        <v>14.805944300000101</v>
      </c>
      <c r="AD24" s="24">
        <f t="shared" si="8"/>
        <v>11.901819257823268</v>
      </c>
      <c r="AF24" s="22">
        <f>+[1]RADIO!X24</f>
        <v>0.67812074000000244</v>
      </c>
      <c r="AG24" s="23">
        <f>+[1]RADIO!Y24</f>
        <v>3.4242196400001035</v>
      </c>
      <c r="AH24" s="24">
        <f t="shared" si="9"/>
        <v>-80.196342194918842</v>
      </c>
    </row>
    <row r="25" spans="4:45" ht="15" customHeight="1">
      <c r="D25" s="31" t="str">
        <f>+IF($B$3="esp","Portugal","Portugal")</f>
        <v>Portugal</v>
      </c>
      <c r="F25" s="22">
        <f>+[1]GRUPO!T25</f>
        <v>2.3778110399999899</v>
      </c>
      <c r="G25" s="23">
        <f>+[1]GRUPO!U25</f>
        <v>-9.0418752452553052E-3</v>
      </c>
      <c r="H25" s="24" t="str">
        <f>IF(G25=0,"---",IF(OR(ABS((F25-G25)/ABS(G25))&gt;2,(F25*G25)&lt;0),"---",IF(G25="0","---",((F25-G25)/ABS(G25))*100)))</f>
        <v>---</v>
      </c>
      <c r="J25" s="22">
        <f>+[1]GRUPO!X25</f>
        <v>2.42697103999999</v>
      </c>
      <c r="K25" s="23">
        <f>+[1]GRUPO!Y25</f>
        <v>1.7718547949182484</v>
      </c>
      <c r="L25" s="24">
        <f>IF(K25=0,"---",IF(OR(ABS((J25-K25)/ABS(K25))&gt;2,(J25*K25)&lt;0),"---",IF(K25="0","---",((J25-K25)/ABS(K25))*100)))</f>
        <v>36.973472485479149</v>
      </c>
      <c r="O25" s="31" t="str">
        <f>+IF($B$3="esp","Portugal","Portugal")</f>
        <v>Portugal</v>
      </c>
      <c r="Q25" s="22">
        <f>+[1]SANTILLANA!T25</f>
        <v>2.3355290000000002</v>
      </c>
      <c r="R25" s="23">
        <f>+[1]SANTILLANA!U25</f>
        <v>0.12237500000000001</v>
      </c>
      <c r="S25" s="24" t="str">
        <f>IF(R25=0,"---",IF(OR(ABS((Q25-R25)/ABS(R25))&gt;2,(Q25*R25)&lt;0),"---",IF(R25="0","---",((Q25-R25)/ABS(R25))*100)))</f>
        <v>---</v>
      </c>
      <c r="U25" s="22">
        <f>+[1]SANTILLANA!X25</f>
        <v>2.3846890000000003</v>
      </c>
      <c r="V25" s="23">
        <f>+[1]SANTILLANA!Y25</f>
        <v>1.8920319999999999</v>
      </c>
      <c r="W25" s="24">
        <f>IF(V25=0,"---",IF(OR(ABS((U25-V25)/ABS(V25))&gt;2,(U25*V25)&lt;0),"---",IF(V25="0","---",((U25-V25)/ABS(V25))*100)))</f>
        <v>26.038513090687704</v>
      </c>
      <c r="Z25" s="21" t="str">
        <f>+IF($B$3="esp","Latam","Latam")</f>
        <v>Latam</v>
      </c>
      <c r="AB25" s="22">
        <f>+[1]RADIO!T25</f>
        <v>11.9305992076153</v>
      </c>
      <c r="AC25" s="23">
        <f>+[1]RADIO!U25</f>
        <v>12.598401299018001</v>
      </c>
      <c r="AD25" s="24">
        <f t="shared" si="8"/>
        <v>-5.3006891553355517</v>
      </c>
      <c r="AF25" s="22">
        <f>+[1]RADIO!X25</f>
        <v>8.7011200468644709</v>
      </c>
      <c r="AG25" s="23">
        <f>+[1]RADIO!Y25</f>
        <v>4.8730732466632807</v>
      </c>
      <c r="AH25" s="24">
        <f t="shared" si="9"/>
        <v>78.555084367392851</v>
      </c>
    </row>
    <row r="26" spans="4:45" s="27" customFormat="1" ht="15" customHeight="1">
      <c r="D26" s="45" t="str">
        <f>+IF($B$3="esp","Margen EBIT","EBIT Margin")</f>
        <v>EBIT Margin</v>
      </c>
      <c r="F26" s="46">
        <f>+[1]GRUPO!T26</f>
        <v>0.1262803030116067</v>
      </c>
      <c r="G26" s="47">
        <f>+[1]GRUPO!U26</f>
        <v>0.12636692766988558</v>
      </c>
      <c r="H26" s="48"/>
      <c r="J26" s="46">
        <f>+[1]GRUPO!X26</f>
        <v>0.18293496293007511</v>
      </c>
      <c r="K26" s="47">
        <f>+[1]GRUPO!Y26</f>
        <v>0.1302447454811356</v>
      </c>
      <c r="L26" s="48"/>
      <c r="O26" s="45" t="str">
        <f>+IF($B$3="esp","Margen EBIT Ajustado","Adjusted EBIT Margin")</f>
        <v>Adjusted EBIT Margin</v>
      </c>
      <c r="Q26" s="46">
        <f>+[1]SANTILLANA!T26</f>
        <v>0.18734124887351589</v>
      </c>
      <c r="R26" s="47">
        <f>+[1]SANTILLANA!U26</f>
        <v>0.20685927119625191</v>
      </c>
      <c r="S26" s="48"/>
      <c r="U26" s="46">
        <f>+[1]SANTILLANA!X26</f>
        <v>0.25278170527494781</v>
      </c>
      <c r="V26" s="47">
        <f>+[1]SANTILLANA!Y26</f>
        <v>0.19048253514442648</v>
      </c>
      <c r="W26" s="48"/>
      <c r="Z26" s="21" t="str">
        <f>+IF($B$3="esp","Música","Music")</f>
        <v>Music</v>
      </c>
      <c r="AA26" s="1"/>
      <c r="AB26" s="22">
        <f>+[1]RADIO!T26</f>
        <v>-4.6556130000000001E-2</v>
      </c>
      <c r="AC26" s="23">
        <f>+[1]RADIO!U26</f>
        <v>0.107680649651046</v>
      </c>
      <c r="AD26" s="24" t="str">
        <f t="shared" si="8"/>
        <v>---</v>
      </c>
      <c r="AE26" s="1"/>
      <c r="AF26" s="22">
        <f>+[1]RADIO!X26</f>
        <v>1.4409999999999978E-3</v>
      </c>
      <c r="AG26" s="23">
        <f>+[1]RADIO!Y26</f>
        <v>0.43079198536063301</v>
      </c>
      <c r="AH26" s="24">
        <f t="shared" si="9"/>
        <v>-99.665499812213611</v>
      </c>
    </row>
    <row r="27" spans="4:45">
      <c r="Z27" s="21" t="str">
        <f>+IF($B$3="esp","Ajustes y Otros","Adjustments &amp; others")</f>
        <v>Adjustments &amp; others</v>
      </c>
      <c r="AB27" s="22">
        <f>+[1]RADIO!T27</f>
        <v>-8.6786999999799358E-2</v>
      </c>
      <c r="AC27" s="23">
        <f>+[1]RADIO!U27</f>
        <v>-0.42782999999995036</v>
      </c>
      <c r="AD27" s="24">
        <f t="shared" si="8"/>
        <v>79.714606268889639</v>
      </c>
      <c r="AF27" s="22">
        <f>+[1]RADIO!X27</f>
        <v>-2.3393999999872878E-2</v>
      </c>
      <c r="AG27" s="23">
        <f>+[1]RADIO!Y27</f>
        <v>9.9999999997923972E-4</v>
      </c>
      <c r="AH27" s="24" t="str">
        <f t="shared" si="9"/>
        <v>---</v>
      </c>
    </row>
    <row r="28" spans="4:45">
      <c r="D28" s="9"/>
      <c r="F28" s="10">
        <v>2019</v>
      </c>
      <c r="G28" s="10">
        <v>2018</v>
      </c>
      <c r="H28" s="10" t="s">
        <v>5</v>
      </c>
      <c r="J28" s="10">
        <v>2019</v>
      </c>
      <c r="K28" s="10">
        <v>2018</v>
      </c>
      <c r="L28" s="10" t="s">
        <v>5</v>
      </c>
      <c r="O28" s="9"/>
      <c r="Q28" s="10">
        <v>2019</v>
      </c>
      <c r="R28" s="10">
        <v>2018</v>
      </c>
      <c r="S28" s="10" t="s">
        <v>5</v>
      </c>
      <c r="U28" s="10">
        <v>2019</v>
      </c>
      <c r="V28" s="10">
        <v>2018</v>
      </c>
      <c r="W28" s="10" t="s">
        <v>5</v>
      </c>
      <c r="Z28" s="26" t="str">
        <f>+IF($B$3="esp","Margen EBIT Ajustado","Adjusted EBIT Margin")</f>
        <v>Adjusted EBIT Margin</v>
      </c>
      <c r="AA28" s="27"/>
      <c r="AB28" s="37">
        <f>+[1]RADIO!T28</f>
        <v>0.14444673528570931</v>
      </c>
      <c r="AC28" s="38">
        <f>+[1]RADIO!U28</f>
        <v>0.13226177167426287</v>
      </c>
      <c r="AD28" s="39"/>
      <c r="AE28" s="27"/>
      <c r="AF28" s="37">
        <f>+[1]RADIO!X28</f>
        <v>0.15123510975045293</v>
      </c>
      <c r="AG28" s="38">
        <f>+[1]RADIO!Y28</f>
        <v>0.12687507714505614</v>
      </c>
      <c r="AH28" s="39"/>
    </row>
    <row r="29" spans="4:45" ht="15.75" customHeight="1">
      <c r="D29" s="11" t="str">
        <f>+IF($B$3="esp","Resultados Comparables a tipo constante","Comparable Results at constant currency")</f>
        <v>Comparable Results at constant currency</v>
      </c>
      <c r="F29" s="12"/>
      <c r="G29" s="12"/>
      <c r="H29" s="12"/>
      <c r="J29" s="12"/>
      <c r="K29" s="12"/>
      <c r="L29" s="12"/>
      <c r="O29" s="11" t="str">
        <f>+IF($B$3="esp","Resultados Comparables a tipo constante","Comparable Results at constant currency")</f>
        <v>Comparable Results at constant currency</v>
      </c>
      <c r="Q29" s="12"/>
      <c r="R29" s="12"/>
      <c r="S29" s="12"/>
      <c r="U29" s="12"/>
      <c r="V29" s="12"/>
      <c r="W29" s="12"/>
      <c r="Z29" s="40" t="str">
        <f>+IF($B$3="esp","EBIT con MX y CR","EBIT w/MX&amp;CR")</f>
        <v>EBIT w/MX&amp;CR</v>
      </c>
      <c r="AA29" s="13"/>
      <c r="AB29" s="41">
        <f>+[1]RADIO!T29</f>
        <v>31.456321626489022</v>
      </c>
      <c r="AC29" s="42">
        <f>+[1]RADIO!U29</f>
        <v>32.26563472780235</v>
      </c>
      <c r="AD29" s="43">
        <f>IF(AC29=0,"---",IF(OR(ABS((AB29-AC29)/ABS(AC29))&gt;2,(AB29*AC29)&lt;0),"---",IF(AC29="0","---",((AB29-AC29)/ABS(AC29))*100)))</f>
        <v>-2.5082819790802611</v>
      </c>
      <c r="AE29" s="13"/>
      <c r="AF29" s="41">
        <f>+[1]RADIO!X29</f>
        <v>10.473498102677397</v>
      </c>
      <c r="AG29" s="42">
        <f>+[1]RADIO!Y29</f>
        <v>10.034259194320292</v>
      </c>
      <c r="AH29" s="43">
        <f>IF(AG29=0,"---",IF(OR(ABS((AF29-AG29)/ABS(AG29))&gt;2,(AF29*AG29)&lt;0),"---",IF(AG29="0","---",((AF29-AG29)/ABS(AG29))*100)))</f>
        <v>4.3773924895793774</v>
      </c>
    </row>
    <row r="30" spans="4:45" s="13" customFormat="1" ht="15" customHeight="1">
      <c r="D30" s="13" t="str">
        <f>+IF($B$3="esp","Ingresos de Explotación a tipo constante","Operating Revenues on constant currency")</f>
        <v>Operating Revenues on constant currency</v>
      </c>
      <c r="F30" s="14">
        <f>+[1]GRUPO!T30</f>
        <v>802.48513470309115</v>
      </c>
      <c r="G30" s="15">
        <f>+[1]GRUPO!U30</f>
        <v>823.29512010346707</v>
      </c>
      <c r="H30" s="16">
        <f t="shared" ref="H30:H39" si="10">IF(G30=0,"---",IF(OR(ABS((F30-G30)/ABS(G30))&gt;2,(F30*G30)&lt;0),"---",IF(G30="0","---",((F30-G30)/ABS(G30))*100)))</f>
        <v>-2.5276459063380141</v>
      </c>
      <c r="J30" s="14">
        <f>+[1]GRUPO!X30</f>
        <v>310.1331619230844</v>
      </c>
      <c r="K30" s="15">
        <f>+[1]GRUPO!Y30</f>
        <v>280.99725833878108</v>
      </c>
      <c r="L30" s="16">
        <f t="shared" ref="L30:L39" si="11">IF(K30=0,"---",IF(OR(ABS((J30-K30)/ABS(K30))&gt;2,(J30*K30)&lt;0),"---",IF(K30="0","---",((J30-K30)/ABS(K30))*100)))</f>
        <v>10.368750128222233</v>
      </c>
      <c r="O30" s="13" t="str">
        <f>+IF($B$3="esp","Ingresos de Explotación Ajustados a tipo constante","Operating Adjusted Revenues on constant currency")</f>
        <v>Operating Adjusted Revenues on constant currency</v>
      </c>
      <c r="Q30" s="14">
        <f>+[1]SANTILLANA!T30</f>
        <v>463.49198919224483</v>
      </c>
      <c r="R30" s="15">
        <f>+[1]SANTILLANA!U30</f>
        <v>467.59816027889303</v>
      </c>
      <c r="S30" s="16">
        <f t="shared" ref="S30:S39" si="12">IF(R30=0,"---",IF(OR(ABS((Q30-R30)/ABS(R30))&gt;2,(Q30*R30)&lt;0),"---",IF(R30="0","---",((Q30-R30)/ABS(R30))*100)))</f>
        <v>-0.87814098417306197</v>
      </c>
      <c r="U30" s="14">
        <f>+[1]SANTILLANA!X30</f>
        <v>203.01062031380275</v>
      </c>
      <c r="V30" s="15">
        <f>+[1]SANTILLANA!Y30</f>
        <v>166.26297127451301</v>
      </c>
      <c r="W30" s="16">
        <f t="shared" ref="W30:W39" si="13">IF(V30=0,"---",IF(OR(ABS((U30-V30)/ABS(V30))&gt;2,(U30*V30)&lt;0),"---",IF(V30="0","---",((U30-V30)/ABS(V30))*100)))</f>
        <v>22.102124578669134</v>
      </c>
      <c r="Z30" s="1"/>
      <c r="AA30" s="1"/>
      <c r="AB30" s="1"/>
      <c r="AC30" s="1"/>
      <c r="AD30" s="1"/>
      <c r="AE30" s="1"/>
      <c r="AF30" s="1"/>
      <c r="AG30" s="1"/>
      <c r="AH30" s="1"/>
    </row>
    <row r="31" spans="4:45" ht="15" customHeight="1">
      <c r="D31" s="21" t="str">
        <f>+IF($B$3="esp","España","Spain")</f>
        <v>Spain</v>
      </c>
      <c r="F31" s="22">
        <f>+[1]GRUPO!T31</f>
        <v>416.4222155900012</v>
      </c>
      <c r="G31" s="23">
        <f>+[1]GRUPO!U31</f>
        <v>411.68897085000054</v>
      </c>
      <c r="H31" s="24">
        <f t="shared" si="10"/>
        <v>1.1497137584784174</v>
      </c>
      <c r="J31" s="22">
        <f>+[1]GRUPO!X31</f>
        <v>182.40067347000195</v>
      </c>
      <c r="K31" s="23">
        <f>+[1]GRUPO!Y31</f>
        <v>182.57230300000066</v>
      </c>
      <c r="L31" s="24">
        <f t="shared" si="11"/>
        <v>-9.4006334574587874E-2</v>
      </c>
      <c r="O31" s="21" t="str">
        <f>+IF($B$3="esp","España","Spain")</f>
        <v>Spain</v>
      </c>
      <c r="Q31" s="22">
        <f>+[1]SANTILLANA!T31</f>
        <v>149.5858448574329</v>
      </c>
      <c r="R31" s="23">
        <f>+[1]SANTILLANA!U31</f>
        <v>127.81477648009786</v>
      </c>
      <c r="S31" s="24">
        <f t="shared" si="12"/>
        <v>17.033295348855873</v>
      </c>
      <c r="U31" s="22">
        <f>+[1]SANTILLANA!X31</f>
        <v>102.93576051995421</v>
      </c>
      <c r="V31" s="23">
        <f>+[1]SANTILLANA!Y31</f>
        <v>90.513662002182286</v>
      </c>
      <c r="W31" s="24">
        <f t="shared" si="13"/>
        <v>13.724003916085541</v>
      </c>
      <c r="Z31" s="9"/>
      <c r="AB31" s="10">
        <v>2019</v>
      </c>
      <c r="AC31" s="10">
        <v>2018</v>
      </c>
      <c r="AD31" s="10" t="s">
        <v>5</v>
      </c>
      <c r="AF31" s="10">
        <v>2019</v>
      </c>
      <c r="AG31" s="10">
        <v>2018</v>
      </c>
      <c r="AH31" s="10" t="s">
        <v>5</v>
      </c>
    </row>
    <row r="32" spans="4:45" ht="15" customHeight="1">
      <c r="D32" s="21" t="str">
        <f>+IF($B$3="esp","Internacional","International")</f>
        <v>International</v>
      </c>
      <c r="F32" s="22">
        <f>+[1]GRUPO!T32</f>
        <v>386.06291911308995</v>
      </c>
      <c r="G32" s="23">
        <f>+[1]GRUPO!U32</f>
        <v>411.60614925346653</v>
      </c>
      <c r="H32" s="24">
        <f t="shared" si="10"/>
        <v>-6.2057455134488508</v>
      </c>
      <c r="J32" s="22">
        <f>+[1]GRUPO!X32</f>
        <v>127.73248845308245</v>
      </c>
      <c r="K32" s="23">
        <f>+[1]GRUPO!Y32</f>
        <v>98.424955338780421</v>
      </c>
      <c r="L32" s="24">
        <f t="shared" si="11"/>
        <v>29.776526708521217</v>
      </c>
      <c r="O32" s="21" t="str">
        <f>+IF($B$3="esp","Internacional","International")</f>
        <v>International</v>
      </c>
      <c r="Q32" s="22">
        <f>+[1]SANTILLANA!T32</f>
        <v>313.90614433481193</v>
      </c>
      <c r="R32" s="23">
        <f>+[1]SANTILLANA!U32</f>
        <v>339.78338379879517</v>
      </c>
      <c r="S32" s="24">
        <f t="shared" si="12"/>
        <v>-7.6158048621078569</v>
      </c>
      <c r="U32" s="22">
        <f>+[1]SANTILLANA!X32</f>
        <v>100.07485979384853</v>
      </c>
      <c r="V32" s="23">
        <f>+[1]SANTILLANA!Y32</f>
        <v>75.74930927233072</v>
      </c>
      <c r="W32" s="24">
        <f t="shared" si="13"/>
        <v>32.113230807245543</v>
      </c>
      <c r="Z32" s="11" t="str">
        <f>+IF($B$3="esp","Resultados Comparables a tipo constante","Comparable Results at constant currency")</f>
        <v>Comparable Results at constant currency</v>
      </c>
      <c r="AB32" s="12"/>
      <c r="AC32" s="12"/>
      <c r="AD32" s="12"/>
      <c r="AF32" s="12"/>
      <c r="AG32" s="12"/>
      <c r="AH32" s="12"/>
    </row>
    <row r="33" spans="4:34" ht="15" customHeight="1">
      <c r="D33" s="31" t="str">
        <f>+IF($B$3="esp","Latam","Latam")</f>
        <v>Latam</v>
      </c>
      <c r="F33" s="22">
        <f>+[1]GRUPO!T33</f>
        <v>382.22972111309002</v>
      </c>
      <c r="G33" s="23">
        <f>+[1]GRUPO!U33</f>
        <v>408.06939225346656</v>
      </c>
      <c r="H33" s="24">
        <f t="shared" si="10"/>
        <v>-6.3321757600301938</v>
      </c>
      <c r="J33" s="22">
        <f>+[1]GRUPO!X33</f>
        <v>124.11887945308251</v>
      </c>
      <c r="K33" s="23">
        <f>+[1]GRUPO!Y33</f>
        <v>94.918006338780458</v>
      </c>
      <c r="L33" s="24">
        <f t="shared" si="11"/>
        <v>30.764313580374385</v>
      </c>
      <c r="O33" s="31" t="str">
        <f>+IF($B$3="esp","Latam","Latam")</f>
        <v>Latam</v>
      </c>
      <c r="Q33" s="22">
        <f>+[1]SANTILLANA!T33</f>
        <v>310.07294633481195</v>
      </c>
      <c r="R33" s="23">
        <f>+[1]SANTILLANA!U33</f>
        <v>336.24662679879515</v>
      </c>
      <c r="S33" s="24">
        <f t="shared" si="12"/>
        <v>-7.7840722784841905</v>
      </c>
      <c r="U33" s="22">
        <f>+[1]SANTILLANA!X33</f>
        <v>96.461250793848563</v>
      </c>
      <c r="V33" s="23">
        <f>+[1]SANTILLANA!Y33</f>
        <v>72.2423602723307</v>
      </c>
      <c r="W33" s="24">
        <f t="shared" si="13"/>
        <v>33.524500625699879</v>
      </c>
      <c r="Z33" s="13" t="str">
        <f>+IF($B$3="esp","Ingresos de Explotación Ajustados a tipo constante","Operating Adjusted Revenues on constant currency")</f>
        <v>Operating Adjusted Revenues on constant currency</v>
      </c>
      <c r="AA33" s="13"/>
      <c r="AB33" s="14">
        <f>+[1]RADIO!T33</f>
        <v>199.77136930690799</v>
      </c>
      <c r="AC33" s="15">
        <f>+[1]RADIO!U33</f>
        <v>204.77720739574499</v>
      </c>
      <c r="AD33" s="16">
        <f t="shared" ref="AD33:AD43" si="14">IF(AC33=0,"---",IF(OR(ABS((AB33-AC33)/ABS(AC33))&gt;2,(AB33*AC33)&lt;0),"---",IF(AC33="0","---",((AB33-AC33)/ABS(AC33))*100)))</f>
        <v>-2.4445289358609665</v>
      </c>
      <c r="AE33" s="13"/>
      <c r="AF33" s="14">
        <f>+[1]RADIO!X33</f>
        <v>62.988919533157969</v>
      </c>
      <c r="AG33" s="15">
        <f>+[1]RADIO!Y33</f>
        <v>68.800627108537981</v>
      </c>
      <c r="AH33" s="16">
        <f t="shared" ref="AH33:AH43" si="15">IF(AG33=0,"---",IF(OR(ABS((AF33-AG33)/ABS(AG33))&gt;2,(AF33*AG33)&lt;0),"---",IF(AG33="0","---",((AF33-AG33)/ABS(AG33))*100)))</f>
        <v>-8.4471723872685374</v>
      </c>
    </row>
    <row r="34" spans="4:34" ht="15" customHeight="1">
      <c r="D34" s="31" t="str">
        <f>+IF($B$3="esp","Portugal","Portugal")</f>
        <v>Portugal</v>
      </c>
      <c r="F34" s="22">
        <f>+[1]GRUPO!T34</f>
        <v>3.8331979999999999</v>
      </c>
      <c r="G34" s="23">
        <f>+[1]GRUPO!U34</f>
        <v>3.5367570000000002</v>
      </c>
      <c r="H34" s="24">
        <f t="shared" si="10"/>
        <v>8.3817180541382896</v>
      </c>
      <c r="J34" s="22">
        <f>+[1]GRUPO!X34</f>
        <v>3.6136089999999998</v>
      </c>
      <c r="K34" s="23">
        <f>+[1]GRUPO!Y34</f>
        <v>3.5069490000000001</v>
      </c>
      <c r="L34" s="24">
        <f t="shared" si="11"/>
        <v>3.0413901086100696</v>
      </c>
      <c r="O34" s="31" t="str">
        <f>+IF($B$3="esp","Portugal","Portugal")</f>
        <v>Portugal</v>
      </c>
      <c r="Q34" s="22">
        <f>+[1]SANTILLANA!T34</f>
        <v>3.8331979999999999</v>
      </c>
      <c r="R34" s="23">
        <f>+[1]SANTILLANA!U34</f>
        <v>3.5367570000000002</v>
      </c>
      <c r="S34" s="24">
        <f t="shared" si="12"/>
        <v>8.3817180541382896</v>
      </c>
      <c r="U34" s="22">
        <f>+[1]SANTILLANA!X34</f>
        <v>3.6136089999999998</v>
      </c>
      <c r="V34" s="23">
        <f>+[1]SANTILLANA!Y34</f>
        <v>3.5069490000000001</v>
      </c>
      <c r="W34" s="24">
        <f t="shared" si="13"/>
        <v>3.0413901086100696</v>
      </c>
      <c r="Z34" s="21" t="str">
        <f>+IF($B$3="esp","España","Spain")</f>
        <v>Spain</v>
      </c>
      <c r="AB34" s="22">
        <f>+[1]RADIO!T34</f>
        <v>133.15707760000001</v>
      </c>
      <c r="AC34" s="23">
        <f>+[1]RADIO!U34</f>
        <v>133.80983763</v>
      </c>
      <c r="AD34" s="24">
        <f t="shared" si="14"/>
        <v>-0.48782663633817014</v>
      </c>
      <c r="AF34" s="22">
        <f>+[1]RADIO!X34</f>
        <v>37.155630799999997</v>
      </c>
      <c r="AG34" s="23">
        <f>+[1]RADIO!Y34</f>
        <v>40.194304450000004</v>
      </c>
      <c r="AH34" s="24">
        <f t="shared" si="15"/>
        <v>-7.5599607744922848</v>
      </c>
    </row>
    <row r="35" spans="4:34" s="13" customFormat="1" ht="15" customHeight="1">
      <c r="D35" s="13" t="str">
        <f>+IF($B$3="esp","EBITDA a tipo constante","EBITDA on constant currency")</f>
        <v>EBITDA on constant currency</v>
      </c>
      <c r="F35" s="14">
        <f>+[1]GRUPO!T35</f>
        <v>167.18642919512274</v>
      </c>
      <c r="G35" s="15">
        <f>+[1]GRUPO!U35</f>
        <v>167.0979963389054</v>
      </c>
      <c r="H35" s="16">
        <f t="shared" si="10"/>
        <v>5.2922750813827781E-2</v>
      </c>
      <c r="J35" s="14">
        <f>+[1]GRUPO!X35</f>
        <v>80.112999167211555</v>
      </c>
      <c r="K35" s="15">
        <f>+[1]GRUPO!Y35</f>
        <v>59.764154604313191</v>
      </c>
      <c r="L35" s="16">
        <f t="shared" si="11"/>
        <v>34.048577609143962</v>
      </c>
      <c r="O35" s="13" t="str">
        <f>+IF($B$3="esp","EBITDA Comparable a tipo constante","Comparable EBITDA on constant currency")</f>
        <v>Comparable EBITDA on constant currency</v>
      </c>
      <c r="Q35" s="14">
        <f>+[1]SANTILLANA!T35</f>
        <v>130.60836169908396</v>
      </c>
      <c r="R35" s="15">
        <f>+[1]SANTILLANA!U35</f>
        <v>138.98440006600089</v>
      </c>
      <c r="S35" s="16">
        <f t="shared" si="12"/>
        <v>-6.0266032467955526</v>
      </c>
      <c r="U35" s="14">
        <f>+[1]SANTILLANA!X35</f>
        <v>67.23412641283565</v>
      </c>
      <c r="V35" s="15">
        <f>+[1]SANTILLANA!Y35</f>
        <v>47.96797481205617</v>
      </c>
      <c r="W35" s="16">
        <f t="shared" si="13"/>
        <v>40.164613320171206</v>
      </c>
      <c r="Z35" s="21" t="str">
        <f>+IF($B$3="esp","Latam","Latam")</f>
        <v>Latam</v>
      </c>
      <c r="AA35" s="1"/>
      <c r="AB35" s="22">
        <f>+[1]RADIO!T35</f>
        <v>69.574668061759098</v>
      </c>
      <c r="AC35" s="23">
        <f>+[1]RADIO!U35</f>
        <v>64.858720202276899</v>
      </c>
      <c r="AD35" s="24">
        <f t="shared" si="14"/>
        <v>7.2711084103639827</v>
      </c>
      <c r="AE35" s="1"/>
      <c r="AF35" s="22">
        <f>+[1]RADIO!X35</f>
        <v>26.773793349089999</v>
      </c>
      <c r="AG35" s="23">
        <f>+[1]RADIO!Y35</f>
        <v>21.008810753749195</v>
      </c>
      <c r="AH35" s="24">
        <f t="shared" si="15"/>
        <v>27.440785025454122</v>
      </c>
    </row>
    <row r="36" spans="4:34" ht="15" customHeight="1">
      <c r="D36" s="21" t="str">
        <f>+IF($B$3="esp","España","Spain")</f>
        <v>Spain</v>
      </c>
      <c r="F36" s="22">
        <f>+[1]GRUPO!T36</f>
        <v>76.884349689999908</v>
      </c>
      <c r="G36" s="23">
        <f>+[1]GRUPO!U36</f>
        <v>55.840285974135668</v>
      </c>
      <c r="H36" s="24">
        <f t="shared" si="10"/>
        <v>37.686167520007899</v>
      </c>
      <c r="J36" s="22">
        <f>+[1]GRUPO!X36</f>
        <v>53.419959200000143</v>
      </c>
      <c r="K36" s="23">
        <f>+[1]GRUPO!Y36</f>
        <v>49.967098119904989</v>
      </c>
      <c r="L36" s="24">
        <f t="shared" si="11"/>
        <v>6.9102693772798176</v>
      </c>
      <c r="O36" s="21" t="str">
        <f>+IF($B$3="esp","España","Spain")</f>
        <v>Spain</v>
      </c>
      <c r="Q36" s="22">
        <f>+[1]SANTILLANA!T36</f>
        <v>53.888281930000204</v>
      </c>
      <c r="R36" s="23">
        <f>+[1]SANTILLANA!U36</f>
        <v>40.811198929999421</v>
      </c>
      <c r="S36" s="24">
        <f t="shared" si="12"/>
        <v>32.042878775580654</v>
      </c>
      <c r="U36" s="22">
        <f>+[1]SANTILLANA!X36</f>
        <v>50.869506420000171</v>
      </c>
      <c r="V36" s="23">
        <f>+[1]SANTILLANA!Y36</f>
        <v>43.475025639999373</v>
      </c>
      <c r="W36" s="24">
        <f t="shared" si="13"/>
        <v>17.00857140656284</v>
      </c>
      <c r="Z36" s="21" t="str">
        <f>+IF($B$3="esp","Música","Music")</f>
        <v>Music</v>
      </c>
      <c r="AB36" s="22">
        <f>+[1]RADIO!T36</f>
        <v>3.4724490000000004E-2</v>
      </c>
      <c r="AC36" s="23">
        <f>+[1]RADIO!U36</f>
        <v>12.3321652053998</v>
      </c>
      <c r="AD36" s="24">
        <f t="shared" si="14"/>
        <v>-99.718423412096385</v>
      </c>
      <c r="AF36" s="22">
        <f>+[1]RADIO!X36</f>
        <v>8.7313700000000022E-3</v>
      </c>
      <c r="AG36" s="23">
        <f>+[1]RADIO!Y36</f>
        <v>9.8532002521037505</v>
      </c>
      <c r="AH36" s="24">
        <f t="shared" si="15"/>
        <v>-99.911385440500553</v>
      </c>
    </row>
    <row r="37" spans="4:34" ht="15" customHeight="1">
      <c r="D37" s="21" t="str">
        <f>+IF($B$3="esp","Internacional","International")</f>
        <v>International</v>
      </c>
      <c r="F37" s="22">
        <f>+[1]GRUPO!T37</f>
        <v>90.302079505122833</v>
      </c>
      <c r="G37" s="23">
        <f>+[1]GRUPO!U37</f>
        <v>111.25771036476974</v>
      </c>
      <c r="H37" s="24">
        <f t="shared" si="10"/>
        <v>-18.835216715265606</v>
      </c>
      <c r="J37" s="22">
        <f>+[1]GRUPO!X37</f>
        <v>26.693039967211412</v>
      </c>
      <c r="K37" s="23">
        <f>+[1]GRUPO!Y37</f>
        <v>9.797056484408202</v>
      </c>
      <c r="L37" s="24">
        <f t="shared" si="11"/>
        <v>172.45979452800739</v>
      </c>
      <c r="O37" s="21" t="str">
        <f>+IF($B$3="esp","Internacional","International")</f>
        <v>International</v>
      </c>
      <c r="Q37" s="22">
        <f>+[1]SANTILLANA!T37</f>
        <v>76.720079769083753</v>
      </c>
      <c r="R37" s="23">
        <f>+[1]SANTILLANA!U37</f>
        <v>98.173201136001467</v>
      </c>
      <c r="S37" s="24">
        <f t="shared" si="12"/>
        <v>-21.85231928741759</v>
      </c>
      <c r="U37" s="22">
        <f>+[1]SANTILLANA!X37</f>
        <v>16.364619992835486</v>
      </c>
      <c r="V37" s="23">
        <f>+[1]SANTILLANA!Y37</f>
        <v>4.4929491720567967</v>
      </c>
      <c r="W37" s="24" t="str">
        <f t="shared" si="13"/>
        <v>---</v>
      </c>
      <c r="Z37" s="21" t="str">
        <f>+IF($B$3="esp","Ajustes y Otros","Adjustments &amp; others")</f>
        <v>Adjustments &amp; others</v>
      </c>
      <c r="AB37" s="22">
        <f>+[1]RADIO!T37</f>
        <v>-2.9951008448511209</v>
      </c>
      <c r="AC37" s="23">
        <f>+[1]RADIO!U37</f>
        <v>-6.2235156419317086</v>
      </c>
      <c r="AD37" s="24">
        <f t="shared" si="14"/>
        <v>51.874454614185304</v>
      </c>
      <c r="AF37" s="22">
        <f>+[1]RADIO!X37</f>
        <v>-0.94923598593202785</v>
      </c>
      <c r="AG37" s="23">
        <f>+[1]RADIO!Y37</f>
        <v>-2.2556883473149685</v>
      </c>
      <c r="AH37" s="24">
        <f t="shared" si="15"/>
        <v>57.918123438375716</v>
      </c>
    </row>
    <row r="38" spans="4:34" ht="15" customHeight="1">
      <c r="D38" s="31" t="str">
        <f>+IF($B$3="esp","Latam","Latam")</f>
        <v>Latam</v>
      </c>
      <c r="F38" s="22">
        <f>+[1]GRUPO!T38</f>
        <v>87.870258465122845</v>
      </c>
      <c r="G38" s="23">
        <f>+[1]GRUPO!U38</f>
        <v>110.89971473476974</v>
      </c>
      <c r="H38" s="24">
        <f t="shared" si="10"/>
        <v>-20.766019393940432</v>
      </c>
      <c r="J38" s="22">
        <f>+[1]GRUPO!X38</f>
        <v>24.028522927211419</v>
      </c>
      <c r="K38" s="23">
        <f>+[1]GRUPO!Y38</f>
        <v>7.6779758544082028</v>
      </c>
      <c r="L38" s="24" t="str">
        <f t="shared" si="11"/>
        <v>---</v>
      </c>
      <c r="O38" s="31" t="str">
        <f>+IF($B$3="esp","Latam","Latam")</f>
        <v>Latam</v>
      </c>
      <c r="Q38" s="22">
        <f>+[1]SANTILLANA!T38</f>
        <v>74.330540769083754</v>
      </c>
      <c r="R38" s="23">
        <f>+[1]SANTILLANA!U38</f>
        <v>97.700648136001462</v>
      </c>
      <c r="S38" s="24">
        <f t="shared" si="12"/>
        <v>-23.920114976500464</v>
      </c>
      <c r="U38" s="22">
        <f>+[1]SANTILLANA!X38</f>
        <v>13.74238499283549</v>
      </c>
      <c r="V38" s="23">
        <f>+[1]SANTILLANA!Y38</f>
        <v>2.2593111720567975</v>
      </c>
      <c r="W38" s="24" t="str">
        <f t="shared" si="13"/>
        <v>---</v>
      </c>
      <c r="Z38" s="13" t="str">
        <f>+IF($B$3="esp","Ingresos de Explotación a TC CTE con MX y CR","Operating Revenues on ctt ccy w/MX&amp;CR")</f>
        <v>Operating Revenues on ctt ccy w/MX&amp;CR</v>
      </c>
      <c r="AA38" s="13"/>
      <c r="AB38" s="14">
        <f>+[1]RADIO!T38</f>
        <v>212.41475945112487</v>
      </c>
      <c r="AC38" s="15">
        <f>+[1]RADIO!U38</f>
        <v>219.36274851951899</v>
      </c>
      <c r="AD38" s="16">
        <f t="shared" si="14"/>
        <v>-3.1673513918320948</v>
      </c>
      <c r="AE38" s="13"/>
      <c r="AF38" s="14">
        <f>+[1]RADIO!X38</f>
        <v>67.503149006740784</v>
      </c>
      <c r="AG38" s="15">
        <f>+[1]RADIO!Y38</f>
        <v>73.182352351024491</v>
      </c>
      <c r="AH38" s="16">
        <f t="shared" si="15"/>
        <v>-7.760345440992376</v>
      </c>
    </row>
    <row r="39" spans="4:34" ht="15" customHeight="1">
      <c r="D39" s="31" t="str">
        <f>+IF($B$3="esp","Portugal","Portugal")</f>
        <v>Portugal</v>
      </c>
      <c r="F39" s="22">
        <f>+[1]GRUPO!T39</f>
        <v>2.43182104</v>
      </c>
      <c r="G39" s="23">
        <f>+[1]GRUPO!U39</f>
        <v>0.35799563000000001</v>
      </c>
      <c r="H39" s="24" t="str">
        <f t="shared" si="10"/>
        <v>---</v>
      </c>
      <c r="J39" s="22">
        <f>+[1]GRUPO!X39</f>
        <v>2.6645170399999998</v>
      </c>
      <c r="K39" s="23">
        <f>+[1]GRUPO!Y39</f>
        <v>2.11908063</v>
      </c>
      <c r="L39" s="24">
        <f t="shared" si="11"/>
        <v>25.73929478086918</v>
      </c>
      <c r="O39" s="31" t="str">
        <f>+IF($B$3="esp","Portugal","Portugal")</f>
        <v>Portugal</v>
      </c>
      <c r="Q39" s="22">
        <f>+[1]SANTILLANA!T39</f>
        <v>2.3895390000000001</v>
      </c>
      <c r="R39" s="23">
        <f>+[1]SANTILLANA!U39</f>
        <v>0.472553000000001</v>
      </c>
      <c r="S39" s="24" t="str">
        <f t="shared" si="12"/>
        <v>---</v>
      </c>
      <c r="U39" s="22">
        <f>+[1]SANTILLANA!X39</f>
        <v>2.6222349999999999</v>
      </c>
      <c r="V39" s="23">
        <f>+[1]SANTILLANA!Y39</f>
        <v>2.2336380000000009</v>
      </c>
      <c r="W39" s="24">
        <f t="shared" si="13"/>
        <v>17.3974923420894</v>
      </c>
      <c r="Z39" s="13" t="str">
        <f>+IF($B$3="esp","EBITDA Comparable a tipo constante","Comparable EBITDA on constant currency")</f>
        <v>Comparable EBITDA on constant currency</v>
      </c>
      <c r="AA39" s="13"/>
      <c r="AB39" s="14">
        <f>+[1]RADIO!T39</f>
        <v>42.3285183309616</v>
      </c>
      <c r="AC39" s="15">
        <f>+[1]RADIO!U39</f>
        <v>40.179288020950104</v>
      </c>
      <c r="AD39" s="16">
        <f t="shared" si="14"/>
        <v>5.3491000360455736</v>
      </c>
      <c r="AE39" s="13"/>
      <c r="AF39" s="14">
        <f>+[1]RADIO!X39</f>
        <v>14.334198778647298</v>
      </c>
      <c r="AG39" s="15">
        <f>+[1]RADIO!Y39</f>
        <v>13.036188704209504</v>
      </c>
      <c r="AH39" s="16">
        <f t="shared" si="15"/>
        <v>9.9569751856894726</v>
      </c>
    </row>
    <row r="40" spans="4:34" s="27" customFormat="1" ht="15" customHeight="1">
      <c r="D40" s="26" t="str">
        <f>+IF($B$3="esp","Margen EBITDA","EBITDA Margin")</f>
        <v>EBITDA Margin</v>
      </c>
      <c r="F40" s="37">
        <f>+[1]GRUPO!T40</f>
        <v>0.20833585815515387</v>
      </c>
      <c r="G40" s="38">
        <f>+[1]GRUPO!U40</f>
        <v>0.20296245205231567</v>
      </c>
      <c r="H40" s="39"/>
      <c r="J40" s="37">
        <f>+[1]GRUPO!X40</f>
        <v>0.25831806785976741</v>
      </c>
      <c r="K40" s="38">
        <f>+[1]GRUPO!Y40</f>
        <v>0.21268589934873752</v>
      </c>
      <c r="L40" s="39"/>
      <c r="O40" s="26" t="str">
        <f>+IF($B$3="esp","Margen EBITDA Ajustado","Adjusted EBITDA Margin")</f>
        <v>Adjusted EBITDA Margin</v>
      </c>
      <c r="Q40" s="37">
        <f>+[1]SANTILLANA!T40</f>
        <v>0.2817920584273807</v>
      </c>
      <c r="R40" s="38">
        <f>+[1]SANTILLANA!U40</f>
        <v>0.29723042533594529</v>
      </c>
      <c r="S40" s="39"/>
      <c r="U40" s="37">
        <f>+[1]SANTILLANA!X40</f>
        <v>0.33118526660777059</v>
      </c>
      <c r="V40" s="38">
        <f>+[1]SANTILLANA!Y40</f>
        <v>0.28850666173201811</v>
      </c>
      <c r="W40" s="39"/>
      <c r="Z40" s="21" t="str">
        <f>+IF($B$3="esp","España","Spain")</f>
        <v>Spain</v>
      </c>
      <c r="AA40" s="1"/>
      <c r="AB40" s="22">
        <f>+[1]RADIO!T40</f>
        <v>25.024464700000099</v>
      </c>
      <c r="AC40" s="23">
        <f>+[1]RADIO!U40</f>
        <v>23.767473709999997</v>
      </c>
      <c r="AD40" s="24">
        <f t="shared" si="14"/>
        <v>5.2887025576943474</v>
      </c>
      <c r="AE40" s="1"/>
      <c r="AF40" s="22">
        <f>+[1]RADIO!X40</f>
        <v>3.4758251299999969</v>
      </c>
      <c r="AG40" s="23">
        <f>+[1]RADIO!Y40</f>
        <v>6.389837240000098</v>
      </c>
      <c r="AH40" s="24">
        <f t="shared" si="15"/>
        <v>-45.603855005234159</v>
      </c>
    </row>
    <row r="41" spans="4:34" s="13" customFormat="1" ht="15" customHeight="1">
      <c r="D41" s="13" t="str">
        <f>+IF($B$3="esp","EBIT a tipo constante","EBIT on constant currency")</f>
        <v>EBIT on constant currency</v>
      </c>
      <c r="F41" s="14">
        <f>+[1]GRUPO!T41</f>
        <v>102.44297546088097</v>
      </c>
      <c r="G41" s="15">
        <f>+[1]GRUPO!U41</f>
        <v>104.03727489308459</v>
      </c>
      <c r="H41" s="16">
        <f>IF(G41=0,"---",IF(OR(ABS((F41-G41)/ABS(G41))&gt;2,(F41*G41)&lt;0),"---",IF(G41="0","---",((F41-G41)/ABS(G41))*100)))</f>
        <v>-1.5324309809556409</v>
      </c>
      <c r="J41" s="14">
        <f>+[1]GRUPO!X41</f>
        <v>58.109070612288257</v>
      </c>
      <c r="K41" s="15">
        <f>+[1]GRUPO!Y41</f>
        <v>36.598416393231446</v>
      </c>
      <c r="L41" s="16">
        <f>IF(K41=0,"---",IF(OR(ABS((J41-K41)/ABS(K41))&gt;2,(J41*K41)&lt;0),"---",IF(K41="0","---",((J41-K41)/ABS(K41))*100)))</f>
        <v>58.774822352791787</v>
      </c>
      <c r="O41" s="13" t="str">
        <f>+IF($B$3="esp","EBIT Comparable a tipo constante","Comparable EBIT on constant currency")</f>
        <v>Comparable EBIT on constant currency</v>
      </c>
      <c r="Q41" s="14">
        <f>+[1]SANTILLANA!T41</f>
        <v>87.887914148464148</v>
      </c>
      <c r="R41" s="15">
        <f>+[1]SANTILLANA!U41</f>
        <v>96.727014648000008</v>
      </c>
      <c r="S41" s="16">
        <f>IF(R41=0,"---",IF(OR(ABS((Q41-R41)/ABS(R41))&gt;2,(Q41*R41)&lt;0),"---",IF(R41="0","---",((Q41-R41)/ABS(R41))*100)))</f>
        <v>-9.1381921913979216</v>
      </c>
      <c r="U41" s="14">
        <f>+[1]SANTILLANA!X41</f>
        <v>52.441866461954312</v>
      </c>
      <c r="V41" s="15">
        <f>+[1]SANTILLANA!Y41</f>
        <v>31.670192269014194</v>
      </c>
      <c r="W41" s="16">
        <f>IF(V41=0,"---",IF(OR(ABS((U41-V41)/ABS(V41))&gt;2,(U41*V41)&lt;0),"---",IF(V41="0","---",((U41-V41)/ABS(V41))*100)))</f>
        <v>65.587458441996631</v>
      </c>
      <c r="Z41" s="21" t="str">
        <f>+IF($B$3="esp","Latam","Latam")</f>
        <v>Latam</v>
      </c>
      <c r="AA41" s="1"/>
      <c r="AB41" s="22">
        <f>+[1]RADIO!T41</f>
        <v>17.437396760961601</v>
      </c>
      <c r="AC41" s="23">
        <f>+[1]RADIO!U41</f>
        <v>16.7279530251007</v>
      </c>
      <c r="AD41" s="24">
        <f t="shared" si="14"/>
        <v>4.2410672411404065</v>
      </c>
      <c r="AE41" s="1"/>
      <c r="AF41" s="22">
        <f>+[1]RADIO!X41</f>
        <v>10.880326648647431</v>
      </c>
      <c r="AG41" s="23">
        <f>+[1]RADIO!Y41</f>
        <v>6.2132200501433505</v>
      </c>
      <c r="AH41" s="24">
        <f t="shared" si="15"/>
        <v>75.115746116160835</v>
      </c>
    </row>
    <row r="42" spans="4:34" ht="15" customHeight="1">
      <c r="D42" s="21" t="str">
        <f>+IF($B$3="esp","España","Spain")</f>
        <v>Spain</v>
      </c>
      <c r="F42" s="22">
        <f>+[1]GRUPO!T42</f>
        <v>47.333889639999164</v>
      </c>
      <c r="G42" s="23">
        <f>+[1]GRUPO!U42</f>
        <v>25.123249056982445</v>
      </c>
      <c r="H42" s="24">
        <f>IF(G42=0,"---",IF(OR(ABS((F42-G42)/ABS(G42))&gt;2,(F42*G42)&lt;0),"---",IF(G42="0","---",((F42-G42)/ABS(G42))*100)))</f>
        <v>88.406720534594896</v>
      </c>
      <c r="J42" s="22">
        <f>+[1]GRUPO!X42</f>
        <v>39.228999559999245</v>
      </c>
      <c r="K42" s="23">
        <f>+[1]GRUPO!Y42</f>
        <v>34.651637090854365</v>
      </c>
      <c r="L42" s="24">
        <f>IF(K42=0,"---",IF(OR(ABS((J42-K42)/ABS(K42))&gt;2,(J42*K42)&lt;0),"---",IF(K42="0","---",((J42-K42)/ABS(K42))*100)))</f>
        <v>13.209657186306464</v>
      </c>
      <c r="O42" s="21" t="str">
        <f>+IF($B$3="esp","España","Spain")</f>
        <v>Spain</v>
      </c>
      <c r="Q42" s="22">
        <f>+[1]SANTILLANA!T42</f>
        <v>40.940197979999866</v>
      </c>
      <c r="R42" s="23">
        <f>+[1]SANTILLANA!U42</f>
        <v>26.620421179999767</v>
      </c>
      <c r="S42" s="24">
        <f>IF(R42=0,"---",IF(OR(ABS((Q42-R42)/ABS(R42))&gt;2,(Q42*R42)&lt;0),"---",IF(R42="0","---",((Q42-R42)/ABS(R42))*100)))</f>
        <v>53.792450176403349</v>
      </c>
      <c r="U42" s="22">
        <f>+[1]SANTILLANA!X42</f>
        <v>42.226403179999437</v>
      </c>
      <c r="V42" s="23">
        <f>+[1]SANTILLANA!Y42</f>
        <v>33.638256449999943</v>
      </c>
      <c r="W42" s="24">
        <f>IF(V42=0,"---",IF(OR(ABS((U42-V42)/ABS(V42))&gt;2,(U42*V42)&lt;0),"---",IF(V42="0","---",((U42-V42)/ABS(V42))*100)))</f>
        <v>25.530891420501995</v>
      </c>
      <c r="Z42" s="21" t="str">
        <f>+IF($B$3="esp","Música","Music")</f>
        <v>Music</v>
      </c>
      <c r="AB42" s="22">
        <f>+[1]RADIO!T42</f>
        <v>-4.6556130000000001E-2</v>
      </c>
      <c r="AC42" s="23">
        <f>+[1]RADIO!U42</f>
        <v>0.111691285849216</v>
      </c>
      <c r="AD42" s="24" t="str">
        <f t="shared" si="14"/>
        <v>---</v>
      </c>
      <c r="AF42" s="22">
        <f>+[1]RADIO!X42</f>
        <v>1.4409999999999978E-3</v>
      </c>
      <c r="AG42" s="23">
        <f>+[1]RADIO!Y42</f>
        <v>0.43213141406590605</v>
      </c>
      <c r="AH42" s="24">
        <f t="shared" si="15"/>
        <v>-99.666536624486127</v>
      </c>
    </row>
    <row r="43" spans="4:34" ht="15" customHeight="1">
      <c r="D43" s="21" t="str">
        <f>+IF($B$3="esp","Internacional","International")</f>
        <v>International</v>
      </c>
      <c r="F43" s="22">
        <f>+[1]GRUPO!T43</f>
        <v>55.109085820881809</v>
      </c>
      <c r="G43" s="23">
        <f>+[1]GRUPO!U43</f>
        <v>78.914025836102141</v>
      </c>
      <c r="H43" s="24">
        <f>IF(G43=0,"---",IF(OR(ABS((F43-G43)/ABS(G43))&gt;2,(F43*G43)&lt;0),"---",IF(G43="0","---",((F43-G43)/ABS(G43))*100)))</f>
        <v>-30.16566416806717</v>
      </c>
      <c r="J43" s="22">
        <f>+[1]GRUPO!X43</f>
        <v>18.880071052289011</v>
      </c>
      <c r="K43" s="23">
        <f>+[1]GRUPO!Y43</f>
        <v>1.946779302377081</v>
      </c>
      <c r="L43" s="24" t="str">
        <f>IF(K43=0,"---",IF(OR(ABS((J43-K43)/ABS(K43))&gt;2,(J43*K43)&lt;0),"---",IF(K43="0","---",((J43-K43)/ABS(K43))*100)))</f>
        <v>---</v>
      </c>
      <c r="O43" s="21" t="str">
        <f>+IF($B$3="esp","Internacional","International")</f>
        <v>International</v>
      </c>
      <c r="Q43" s="22">
        <f>+[1]SANTILLANA!T43</f>
        <v>46.947716168464282</v>
      </c>
      <c r="R43" s="23">
        <f>+[1]SANTILLANA!U43</f>
        <v>70.106593468000241</v>
      </c>
      <c r="S43" s="24">
        <f>IF(R43=0,"---",IF(OR(ABS((Q43-R43)/ABS(R43))&gt;2,(Q43*R43)&lt;0),"---",IF(R43="0","---",((Q43-R43)/ABS(R43))*100)))</f>
        <v>-33.033807740361389</v>
      </c>
      <c r="U43" s="22">
        <f>+[1]SANTILLANA!X43</f>
        <v>10.215463281954875</v>
      </c>
      <c r="V43" s="23">
        <f>+[1]SANTILLANA!Y43</f>
        <v>-1.9680641809857491</v>
      </c>
      <c r="W43" s="24" t="str">
        <f>IF(V43=0,"---",IF(OR(ABS((U43-V43)/ABS(V43))&gt;2,(U43*V43)&lt;0),"---",IF(V43="0","---",((U43-V43)/ABS(V43))*100)))</f>
        <v>---</v>
      </c>
      <c r="Z43" s="21" t="str">
        <f>+IF($B$3="esp","Ajustes y Otros","Adjustments &amp; others")</f>
        <v>Adjustments &amp; others</v>
      </c>
      <c r="AB43" s="22">
        <f>+[1]RADIO!T43</f>
        <v>-8.6787000000099562E-2</v>
      </c>
      <c r="AC43" s="23">
        <f>+[1]RADIO!U43</f>
        <v>-0.42782999999980936</v>
      </c>
      <c r="AD43" s="24">
        <f t="shared" si="14"/>
        <v>79.714606268812787</v>
      </c>
      <c r="AF43" s="22">
        <f>+[1]RADIO!X43</f>
        <v>-2.3394000000129561E-2</v>
      </c>
      <c r="AG43" s="23">
        <f>+[1]RADIO!Y43</f>
        <v>1.0000000001495479E-3</v>
      </c>
      <c r="AH43" s="24" t="str">
        <f t="shared" si="15"/>
        <v>---</v>
      </c>
    </row>
    <row r="44" spans="4:34" ht="15" customHeight="1">
      <c r="D44" s="31" t="str">
        <f>+IF($B$3="esp","Latam","Latam")</f>
        <v>Latam</v>
      </c>
      <c r="F44" s="22">
        <f>+[1]GRUPO!T44</f>
        <v>52.731274780881819</v>
      </c>
      <c r="G44" s="23">
        <f>+[1]GRUPO!U44</f>
        <v>78.9230677113474</v>
      </c>
      <c r="H44" s="24">
        <f>IF(G44=0,"---",IF(OR(ABS((F44-G44)/ABS(G44))&gt;2,(F44*G44)&lt;0),"---",IF(G44="0","---",((F44-G44)/ABS(G44))*100)))</f>
        <v>-33.186486144024755</v>
      </c>
      <c r="J44" s="22">
        <f>+[1]GRUPO!X44</f>
        <v>16.453100012289021</v>
      </c>
      <c r="K44" s="23">
        <f>+[1]GRUPO!Y44</f>
        <v>0.17492450745884014</v>
      </c>
      <c r="L44" s="24" t="str">
        <f>IF(K44=0,"---",IF(OR(ABS((J44-K44)/ABS(K44))&gt;2,(J44*K44)&lt;0),"---",IF(K44="0","---",((J44-K44)/ABS(K44))*100)))</f>
        <v>---</v>
      </c>
      <c r="O44" s="31" t="str">
        <f>+IF($B$3="esp","Latam","Latam")</f>
        <v>Latam</v>
      </c>
      <c r="Q44" s="22">
        <f>+[1]SANTILLANA!T44</f>
        <v>44.612187168464281</v>
      </c>
      <c r="R44" s="23">
        <f>+[1]SANTILLANA!U44</f>
        <v>69.984218468000236</v>
      </c>
      <c r="S44" s="24">
        <f>IF(R44=0,"---",IF(OR(ABS((Q44-R44)/ABS(R44))&gt;2,(Q44*R44)&lt;0),"---",IF(R44="0","---",((Q44-R44)/ABS(R44))*100)))</f>
        <v>-36.253932464984409</v>
      </c>
      <c r="U44" s="22">
        <f>+[1]SANTILLANA!X44</f>
        <v>7.8307742819548736</v>
      </c>
      <c r="V44" s="23">
        <f>+[1]SANTILLANA!Y44</f>
        <v>-3.8600961809857495</v>
      </c>
      <c r="W44" s="24" t="str">
        <f>IF(V44=0,"---",IF(OR(ABS((U44-V44)/ABS(V44))&gt;2,(U44*V44)&lt;0),"---",IF(V44="0","---",((U44-V44)/ABS(V44))*100)))</f>
        <v>---</v>
      </c>
      <c r="Z44" s="26" t="str">
        <f>+IF($B$3="esp","Margen EBITDA Ajustado","Adjusted EBITDA Margin")</f>
        <v>Adjusted EBITDA Margin</v>
      </c>
      <c r="AA44" s="27"/>
      <c r="AB44" s="37">
        <f>+[1]RADIO!T44</f>
        <v>0.21188480850793218</v>
      </c>
      <c r="AC44" s="38">
        <f>+[1]RADIO!U44</f>
        <v>0.1962097663696579</v>
      </c>
      <c r="AD44" s="39"/>
      <c r="AE44" s="27"/>
      <c r="AF44" s="37">
        <f>+[1]RADIO!X44</f>
        <v>0.22756698931947292</v>
      </c>
      <c r="AG44" s="38">
        <f>+[1]RADIO!Y44</f>
        <v>0.18947775989954235</v>
      </c>
      <c r="AH44" s="39"/>
    </row>
    <row r="45" spans="4:34" ht="15" customHeight="1">
      <c r="D45" s="31" t="str">
        <f>+IF($B$3="esp","Portugal","Portugal")</f>
        <v>Portugal</v>
      </c>
      <c r="F45" s="22">
        <f>+[1]GRUPO!T45</f>
        <v>2.3778110399999899</v>
      </c>
      <c r="G45" s="23">
        <f>+[1]GRUPO!U45</f>
        <v>-9.0418752452553052E-3</v>
      </c>
      <c r="H45" s="24" t="str">
        <f>IF(G45=0,"---",IF(OR(ABS((F45-G45)/ABS(G45))&gt;2,(F45*G45)&lt;0),"---",IF(G45="0","---",((F45-G45)/ABS(G45))*100)))</f>
        <v>---</v>
      </c>
      <c r="J45" s="22">
        <f>+[1]GRUPO!X45</f>
        <v>2.42697103999999</v>
      </c>
      <c r="K45" s="23">
        <f>+[1]GRUPO!Y45</f>
        <v>1.7718547949182484</v>
      </c>
      <c r="L45" s="24">
        <f>IF(K45=0,"---",IF(OR(ABS((J45-K45)/ABS(K45))&gt;2,(J45*K45)&lt;0),"---",IF(K45="0","---",((J45-K45)/ABS(K45))*100)))</f>
        <v>36.973472485479149</v>
      </c>
      <c r="O45" s="31" t="str">
        <f>+IF($B$3="esp","Portugal","Portugal")</f>
        <v>Portugal</v>
      </c>
      <c r="Q45" s="22">
        <f>+[1]SANTILLANA!T45</f>
        <v>2.3355290000000002</v>
      </c>
      <c r="R45" s="23">
        <f>+[1]SANTILLANA!U45</f>
        <v>0.12237500000000001</v>
      </c>
      <c r="S45" s="24" t="str">
        <f>IF(R45=0,"---",IF(OR(ABS((Q45-R45)/ABS(R45))&gt;2,(Q45*R45)&lt;0),"---",IF(R45="0","---",((Q45-R45)/ABS(R45))*100)))</f>
        <v>---</v>
      </c>
      <c r="U45" s="22">
        <f>+[1]SANTILLANA!X45</f>
        <v>2.3846890000000003</v>
      </c>
      <c r="V45" s="23">
        <f>+[1]SANTILLANA!Y45</f>
        <v>1.8920319999999999</v>
      </c>
      <c r="W45" s="24">
        <f>IF(V45=0,"---",IF(OR(ABS((U45-V45)/ABS(V45))&gt;2,(U45*V45)&lt;0),"---",IF(V45="0","---",((U45-V45)/ABS(V45))*100)))</f>
        <v>26.038513090687704</v>
      </c>
      <c r="Z45" s="13" t="str">
        <f>+IF($B$3="esp","EBITDA a TC CTE con MX y CR","EBITDA on ctt ccy w/MX&amp;CR")</f>
        <v>EBITDA on ctt ccy w/MX&amp;CR</v>
      </c>
      <c r="AA45" s="13"/>
      <c r="AB45" s="14">
        <f>+[1]RADIO!T45</f>
        <v>46.00929998660974</v>
      </c>
      <c r="AC45" s="15">
        <f>+[1]RADIO!U45</f>
        <v>45.976241127282904</v>
      </c>
      <c r="AD45" s="16">
        <f t="shared" ref="AD45:AD50" si="16">IF(AC45=0,"---",IF(OR(ABS((AB45-AC45)/ABS(AC45))&gt;2,(AB45*AC45)&lt;0),"---",IF(AC45="0","---",((AB45-AC45)/ABS(AC45))*100)))</f>
        <v>7.1904223825767222E-2</v>
      </c>
      <c r="AE45" s="13"/>
      <c r="AF45" s="14">
        <f>+[1]RADIO!X45</f>
        <v>15.697391569322033</v>
      </c>
      <c r="AG45" s="15">
        <f>+[1]RADIO!Y45</f>
        <v>14.550925592766419</v>
      </c>
      <c r="AH45" s="16">
        <f t="shared" ref="AH45:AH50" si="17">IF(AG45=0,"---",IF(OR(ABS((AF45-AG45)/ABS(AG45))&gt;2,(AF45*AG45)&lt;0),"---",IF(AG45="0","---",((AF45-AG45)/ABS(AG45))*100)))</f>
        <v>7.8789900288236474</v>
      </c>
    </row>
    <row r="46" spans="4:34" s="27" customFormat="1" ht="15" customHeight="1">
      <c r="D46" s="45" t="str">
        <f>+IF($B$3="esp","Margen EBIT","EBIT Margin")</f>
        <v>EBIT Margin</v>
      </c>
      <c r="F46" s="46">
        <f>+[1]GRUPO!T46</f>
        <v>0.12765716276948047</v>
      </c>
      <c r="G46" s="47">
        <f>+[1]GRUPO!U46</f>
        <v>0.12636692766988558</v>
      </c>
      <c r="H46" s="48"/>
      <c r="J46" s="46">
        <f>+[1]GRUPO!X46</f>
        <v>0.18736813003796024</v>
      </c>
      <c r="K46" s="47">
        <f>+[1]GRUPO!Y46</f>
        <v>0.1302447454811356</v>
      </c>
      <c r="L46" s="48"/>
      <c r="O46" s="45" t="str">
        <f>+IF($B$3="esp","Margen EBIT Ajustado","Adjusted EBIT Margin")</f>
        <v>Adjusted EBIT Margin</v>
      </c>
      <c r="Q46" s="46">
        <f>+[1]SANTILLANA!T46</f>
        <v>0.18962121503250071</v>
      </c>
      <c r="R46" s="47">
        <f>+[1]SANTILLANA!U46</f>
        <v>0.20685927119625191</v>
      </c>
      <c r="S46" s="48"/>
      <c r="U46" s="46">
        <f>+[1]SANTILLANA!X46</f>
        <v>0.25832080302445526</v>
      </c>
      <c r="V46" s="47">
        <f>+[1]SANTILLANA!Y46</f>
        <v>0.19048253514442648</v>
      </c>
      <c r="W46" s="48"/>
      <c r="Z46" s="13" t="str">
        <f>+IF($B$3="esp","EBIT Comparable a tipo constante","Comparable EBIT on constant currency")</f>
        <v>Comparable EBIT on constant currency</v>
      </c>
      <c r="AA46" s="13"/>
      <c r="AB46" s="14">
        <f>+[1]RADIO!T46</f>
        <v>28.634860375783799</v>
      </c>
      <c r="AC46" s="15">
        <f>+[1]RADIO!U46</f>
        <v>27.084196248669198</v>
      </c>
      <c r="AD46" s="16">
        <f t="shared" si="16"/>
        <v>5.7253466666591368</v>
      </c>
      <c r="AE46" s="13"/>
      <c r="AF46" s="14">
        <f>+[1]RADIO!X46</f>
        <v>9.9283750053004987</v>
      </c>
      <c r="AG46" s="15">
        <f>+[1]RADIO!Y46</f>
        <v>8.7290848720239964</v>
      </c>
      <c r="AH46" s="16">
        <f t="shared" si="17"/>
        <v>13.739013319942956</v>
      </c>
    </row>
    <row r="47" spans="4:34">
      <c r="Z47" s="21" t="str">
        <f>+IF($B$3="esp","España","Spain")</f>
        <v>Spain</v>
      </c>
      <c r="AB47" s="22">
        <f>+[1]RADIO!T47</f>
        <v>16.5681210300001</v>
      </c>
      <c r="AC47" s="23">
        <f>+[1]RADIO!U47</f>
        <v>14.805944300000101</v>
      </c>
      <c r="AD47" s="24">
        <f t="shared" si="16"/>
        <v>11.901819257823268</v>
      </c>
      <c r="AF47" s="22">
        <f>+[1]RADIO!X47</f>
        <v>0.67812074000000244</v>
      </c>
      <c r="AG47" s="23">
        <f>+[1]RADIO!Y47</f>
        <v>3.4242196400001035</v>
      </c>
      <c r="AH47" s="24">
        <f t="shared" si="17"/>
        <v>-80.196342194918842</v>
      </c>
    </row>
    <row r="48" spans="4:34">
      <c r="D48" s="9" t="s">
        <v>6</v>
      </c>
      <c r="F48" s="10">
        <v>2019</v>
      </c>
      <c r="G48" s="10">
        <v>2018</v>
      </c>
      <c r="H48" s="10" t="s">
        <v>5</v>
      </c>
      <c r="J48" s="10">
        <v>2019</v>
      </c>
      <c r="K48" s="10">
        <v>2018</v>
      </c>
      <c r="L48" s="10" t="s">
        <v>5</v>
      </c>
      <c r="O48" s="9"/>
      <c r="Q48" s="10">
        <v>2019</v>
      </c>
      <c r="R48" s="10">
        <v>2018</v>
      </c>
      <c r="S48" s="10" t="s">
        <v>5</v>
      </c>
      <c r="U48" s="10">
        <v>2019</v>
      </c>
      <c r="V48" s="10">
        <v>2018</v>
      </c>
      <c r="W48" s="10" t="s">
        <v>5</v>
      </c>
      <c r="Z48" s="21" t="str">
        <f>+IF($B$3="esp","Latam","Latam")</f>
        <v>Latam</v>
      </c>
      <c r="AB48" s="22">
        <f>+[1]RADIO!T48</f>
        <v>12.200082475783701</v>
      </c>
      <c r="AC48" s="23">
        <f>+[1]RADIO!U48</f>
        <v>12.598401299018001</v>
      </c>
      <c r="AD48" s="24">
        <f t="shared" si="16"/>
        <v>-3.1616616567480471</v>
      </c>
      <c r="AF48" s="22">
        <f>+[1]RADIO!X48</f>
        <v>9.2722072653005601</v>
      </c>
      <c r="AG48" s="23">
        <f>+[1]RADIO!Y48</f>
        <v>4.8730732466632807</v>
      </c>
      <c r="AH48" s="24">
        <f t="shared" si="17"/>
        <v>90.274325789161495</v>
      </c>
    </row>
    <row r="49" spans="4:45" ht="15.75" customHeight="1">
      <c r="D49" s="11" t="str">
        <f>+IF($B$3="esp","Resultados Reportados","Reported Results")</f>
        <v>Reported Results</v>
      </c>
      <c r="F49" s="12"/>
      <c r="G49" s="12"/>
      <c r="H49" s="12"/>
      <c r="J49" s="12"/>
      <c r="K49" s="12"/>
      <c r="L49" s="12"/>
      <c r="O49" s="11" t="str">
        <f>+IF($B$3="esp","Resultados Reportados","Reported Results")</f>
        <v>Reported Results</v>
      </c>
      <c r="Q49" s="12"/>
      <c r="R49" s="12"/>
      <c r="S49" s="12"/>
      <c r="U49" s="12"/>
      <c r="V49" s="12"/>
      <c r="W49" s="12"/>
      <c r="Z49" s="21" t="str">
        <f>+IF($B$3="esp","Música","Music")</f>
        <v>Music</v>
      </c>
      <c r="AB49" s="22">
        <f>+[1]RADIO!T49</f>
        <v>-4.6556130000000001E-2</v>
      </c>
      <c r="AC49" s="23">
        <f>+[1]RADIO!U49</f>
        <v>0.107680649651046</v>
      </c>
      <c r="AD49" s="24" t="str">
        <f t="shared" si="16"/>
        <v>---</v>
      </c>
      <c r="AF49" s="22">
        <f>+[1]RADIO!X49</f>
        <v>1.4409999999999978E-3</v>
      </c>
      <c r="AG49" s="23">
        <f>+[1]RADIO!Y49</f>
        <v>0.43079198536063301</v>
      </c>
      <c r="AH49" s="24">
        <f t="shared" si="17"/>
        <v>-99.665499812213611</v>
      </c>
    </row>
    <row r="50" spans="4:45" s="13" customFormat="1" ht="15" customHeight="1">
      <c r="D50" s="13" t="str">
        <f>+IF($B$3="esp","Ingresos de Explotación","Operating Revenues")</f>
        <v>Operating Revenues</v>
      </c>
      <c r="F50" s="14">
        <f>+[1]GRUPO!T51</f>
        <v>796.88588326507499</v>
      </c>
      <c r="G50" s="15">
        <f>+[1]GRUPO!U51</f>
        <v>823.29512010346707</v>
      </c>
      <c r="H50" s="16">
        <f t="shared" ref="H50:H64" si="18">IF(G50=0,"---",IF(OR(ABS((F50-G50)/ABS(G50))&gt;2,(F50*G50)&lt;0),"---",IF(G50="0","---",((F50-G50)/ABS(G50))*100)))</f>
        <v>-3.2077484966840459</v>
      </c>
      <c r="J50" s="14">
        <f>+[1]GRUPO!X51</f>
        <v>311.218331015643</v>
      </c>
      <c r="K50" s="15">
        <f>+[1]GRUPO!Y51</f>
        <v>280.99725833878108</v>
      </c>
      <c r="L50" s="16">
        <f t="shared" ref="L50:L64" si="19">IF(K50=0,"---",IF(OR(ABS((J50-K50)/ABS(K50))&gt;2,(J50*K50)&lt;0),"---",IF(K50="0","---",((J50-K50)/ABS(K50))*100)))</f>
        <v>10.754935067881068</v>
      </c>
      <c r="O50" s="13" t="str">
        <f>+IF($B$3="esp","Ingresos de Explotación","Operating Revenues")</f>
        <v>Operating Revenues</v>
      </c>
      <c r="Q50" s="14">
        <f>+[1]SANTILLANA!T51</f>
        <v>461.13603968567099</v>
      </c>
      <c r="R50" s="15">
        <f>+[1]SANTILLANA!U51</f>
        <v>467.59816027889303</v>
      </c>
      <c r="S50" s="16">
        <f t="shared" ref="S50:S64" si="20">IF(R50=0,"---",IF(OR(ABS((Q50-R50)/ABS(R50))&gt;2,(Q50*R50)&lt;0),"---",IF(R50="0","---",((Q50-R50)/ABS(R50))*100)))</f>
        <v>-1.3819816120251176</v>
      </c>
      <c r="U50" s="14">
        <f>+[1]SANTILLANA!X51</f>
        <v>205.156496230269</v>
      </c>
      <c r="V50" s="15">
        <f>+[1]SANTILLANA!Y51</f>
        <v>166.26297127451301</v>
      </c>
      <c r="W50" s="16">
        <f t="shared" ref="W50:W64" si="21">IF(V50=0,"---",IF(OR(ABS((U50-V50)/ABS(V50))&gt;2,(U50*V50)&lt;0),"---",IF(V50="0","---",((U50-V50)/ABS(V50))*100)))</f>
        <v>23.392776309488529</v>
      </c>
      <c r="Z50" s="21" t="str">
        <f>+IF($B$3="esp","Ajustes y Otros","Adjustments &amp; others")</f>
        <v>Adjustments &amp; others</v>
      </c>
      <c r="AA50" s="1"/>
      <c r="AB50" s="22">
        <f>+[1]RADIO!T50</f>
        <v>-8.6787000000001863E-2</v>
      </c>
      <c r="AC50" s="23">
        <f>+[1]RADIO!U50</f>
        <v>-0.42782999999995036</v>
      </c>
      <c r="AD50" s="24">
        <f t="shared" si="16"/>
        <v>79.714606268842303</v>
      </c>
      <c r="AE50" s="1"/>
      <c r="AF50" s="22">
        <f>+[1]RADIO!X50</f>
        <v>-2.339400000006428E-2</v>
      </c>
      <c r="AG50" s="23">
        <f>+[1]RADIO!Y50</f>
        <v>9.9999999997923972E-4</v>
      </c>
      <c r="AH50" s="24" t="str">
        <f t="shared" si="17"/>
        <v>---</v>
      </c>
    </row>
    <row r="51" spans="4:45" ht="15" customHeight="1">
      <c r="D51" s="21" t="str">
        <f>+IF($B$3="esp","España","Spain")</f>
        <v>Spain</v>
      </c>
      <c r="F51" s="22">
        <f>+[1]GRUPO!T52</f>
        <v>416.42221559000103</v>
      </c>
      <c r="G51" s="23">
        <f>+[1]GRUPO!U52</f>
        <v>411.68897085000054</v>
      </c>
      <c r="H51" s="24">
        <f t="shared" si="18"/>
        <v>1.1497137584783759</v>
      </c>
      <c r="J51" s="22">
        <f>+[1]GRUPO!X52</f>
        <v>182.40067347000178</v>
      </c>
      <c r="K51" s="23">
        <f>+[1]GRUPO!Y52</f>
        <v>182.57230300000066</v>
      </c>
      <c r="L51" s="24">
        <f t="shared" si="19"/>
        <v>-9.4006334574681272E-2</v>
      </c>
      <c r="O51" s="21" t="str">
        <f>+IF($B$3="esp","España","Spain")</f>
        <v>Spain</v>
      </c>
      <c r="Q51" s="22">
        <f>+[1]SANTILLANA!T52</f>
        <v>149.5858448574329</v>
      </c>
      <c r="R51" s="23">
        <f>+[1]SANTILLANA!U52</f>
        <v>127.81477648009786</v>
      </c>
      <c r="S51" s="24">
        <f t="shared" si="20"/>
        <v>17.033295348855873</v>
      </c>
      <c r="U51" s="22">
        <f>+[1]SANTILLANA!X52</f>
        <v>102.93576051995419</v>
      </c>
      <c r="V51" s="23">
        <f>+[1]SANTILLANA!Y52</f>
        <v>90.513662002182286</v>
      </c>
      <c r="W51" s="24">
        <f t="shared" si="21"/>
        <v>13.724003916085511</v>
      </c>
      <c r="Z51" s="26" t="str">
        <f>+IF($B$3="esp","Margen EBIT Ajustado","Adjusted EBIT Margin")</f>
        <v>Adjusted EBIT Margin</v>
      </c>
      <c r="AA51" s="27"/>
      <c r="AB51" s="37">
        <f>+[1]RADIO!T51</f>
        <v>0.14333815939256125</v>
      </c>
      <c r="AC51" s="38">
        <f>+[1]RADIO!U51</f>
        <v>0.13226177167426287</v>
      </c>
      <c r="AD51" s="39"/>
      <c r="AE51" s="27"/>
      <c r="AF51" s="37">
        <f>+[1]RADIO!X51</f>
        <v>0.15762097649689177</v>
      </c>
      <c r="AG51" s="38">
        <f>+[1]RADIO!Y51</f>
        <v>0.12687507714505614</v>
      </c>
      <c r="AH51" s="39"/>
    </row>
    <row r="52" spans="4:45" ht="15" customHeight="1">
      <c r="D52" s="21" t="str">
        <f>+IF($B$3="esp","Internacional","International")</f>
        <v>International</v>
      </c>
      <c r="F52" s="22">
        <f>+[1]GRUPO!T53</f>
        <v>380.46366767507396</v>
      </c>
      <c r="G52" s="23">
        <f>+[1]GRUPO!U53</f>
        <v>411.60614925346653</v>
      </c>
      <c r="H52" s="24">
        <f t="shared" si="18"/>
        <v>-7.5660875414218021</v>
      </c>
      <c r="J52" s="22">
        <f>+[1]GRUPO!X53</f>
        <v>128.81765754564123</v>
      </c>
      <c r="K52" s="23">
        <f>+[1]GRUPO!Y53</f>
        <v>98.424955338780421</v>
      </c>
      <c r="L52" s="24">
        <f t="shared" si="19"/>
        <v>30.879061211913779</v>
      </c>
      <c r="O52" s="21" t="str">
        <f>+IF($B$3="esp","Internacional","International")</f>
        <v>International</v>
      </c>
      <c r="Q52" s="22">
        <f>+[1]SANTILLANA!T53</f>
        <v>311.55019482823809</v>
      </c>
      <c r="R52" s="23">
        <f>+[1]SANTILLANA!U53</f>
        <v>339.78338379879517</v>
      </c>
      <c r="S52" s="24">
        <f t="shared" si="20"/>
        <v>-8.3091729368601328</v>
      </c>
      <c r="U52" s="22">
        <f>+[1]SANTILLANA!X53</f>
        <v>102.22073571031481</v>
      </c>
      <c r="V52" s="23">
        <f>+[1]SANTILLANA!Y53</f>
        <v>75.74930927233072</v>
      </c>
      <c r="W52" s="24">
        <f t="shared" si="21"/>
        <v>34.946096132461271</v>
      </c>
      <c r="Z52" s="40" t="str">
        <f>+IF($B$3="esp","EBIT a TC CTE con MX y CR","EBIT on ctt ccy w/MX&amp;CR")</f>
        <v>EBIT on ctt ccy w/MX&amp;CR</v>
      </c>
      <c r="AA52" s="13"/>
      <c r="AB52" s="41">
        <f>+[1]RADIO!T52</f>
        <v>31.5712232099381</v>
      </c>
      <c r="AC52" s="42">
        <f>+[1]RADIO!U52</f>
        <v>32.26563472780235</v>
      </c>
      <c r="AD52" s="43">
        <f>IF(AC52=0,"---",IF(OR(ABS((AB52-AC52)/ABS(AC52))&gt;2,(AB52*AC52)&lt;0),"---",IF(AC52="0","---",((AB52-AC52)/ABS(AC52))*100)))</f>
        <v>-2.1521706413724933</v>
      </c>
      <c r="AE52" s="13"/>
      <c r="AF52" s="41">
        <f>+[1]RADIO!X52</f>
        <v>11.021797429627917</v>
      </c>
      <c r="AG52" s="42">
        <f>+[1]RADIO!Y52</f>
        <v>10.034259194320292</v>
      </c>
      <c r="AH52" s="43">
        <f>IF(AG52=0,"---",IF(OR(ABS((AF52-AG52)/ABS(AG52))&gt;2,(AF52*AG52)&lt;0),"---",IF(AG52="0","---",((AF52-AG52)/ABS(AG52))*100)))</f>
        <v>9.8416655996548563</v>
      </c>
    </row>
    <row r="53" spans="4:45" ht="15" customHeight="1">
      <c r="D53" s="31" t="str">
        <f>+IF($B$3="esp","Latam","Latam")</f>
        <v>Latam</v>
      </c>
      <c r="F53" s="22">
        <f>+[1]GRUPO!T54</f>
        <v>376.63046967507398</v>
      </c>
      <c r="G53" s="23">
        <f>+[1]GRUPO!U54</f>
        <v>408.06939225346656</v>
      </c>
      <c r="H53" s="24">
        <f t="shared" si="18"/>
        <v>-7.7043079376227102</v>
      </c>
      <c r="J53" s="22">
        <f>+[1]GRUPO!X54</f>
        <v>125.20404854564123</v>
      </c>
      <c r="K53" s="23">
        <f>+[1]GRUPO!Y54</f>
        <v>94.918006338780458</v>
      </c>
      <c r="L53" s="24">
        <f t="shared" si="19"/>
        <v>31.907583581943467</v>
      </c>
      <c r="O53" s="31" t="str">
        <f>+IF($B$3="esp","Latam","Latam")</f>
        <v>Latam</v>
      </c>
      <c r="Q53" s="22">
        <f>+[1]SANTILLANA!T54</f>
        <v>307.71699682823811</v>
      </c>
      <c r="R53" s="23">
        <f>+[1]SANTILLANA!U54</f>
        <v>336.24662679879515</v>
      </c>
      <c r="S53" s="24">
        <f t="shared" si="20"/>
        <v>-8.4847334357435003</v>
      </c>
      <c r="U53" s="22">
        <f>+[1]SANTILLANA!X54</f>
        <v>98.607126710314844</v>
      </c>
      <c r="V53" s="23">
        <f>+[1]SANTILLANA!Y54</f>
        <v>72.2423602723307</v>
      </c>
      <c r="W53" s="24">
        <f t="shared" si="21"/>
        <v>36.494885187301982</v>
      </c>
    </row>
    <row r="54" spans="4:45" ht="15" customHeight="1">
      <c r="D54" s="31" t="str">
        <f>+IF($B$3="esp","Portugal","Portugal")</f>
        <v>Portugal</v>
      </c>
      <c r="F54" s="22">
        <f>+[1]GRUPO!T55</f>
        <v>3.8331979999999999</v>
      </c>
      <c r="G54" s="23">
        <f>+[1]GRUPO!U55</f>
        <v>3.5367570000000002</v>
      </c>
      <c r="H54" s="24">
        <f t="shared" si="18"/>
        <v>8.3817180541382896</v>
      </c>
      <c r="J54" s="22">
        <f>+[1]GRUPO!X55</f>
        <v>3.6136089999999998</v>
      </c>
      <c r="K54" s="23">
        <f>+[1]GRUPO!Y55</f>
        <v>3.5069490000000001</v>
      </c>
      <c r="L54" s="24">
        <f t="shared" si="19"/>
        <v>3.0413901086100696</v>
      </c>
      <c r="O54" s="31" t="str">
        <f>+IF($B$3="esp","Portugal","Portugal")</f>
        <v>Portugal</v>
      </c>
      <c r="Q54" s="22">
        <f>+[1]SANTILLANA!T55</f>
        <v>3.8331979999999999</v>
      </c>
      <c r="R54" s="23">
        <f>+[1]SANTILLANA!U55</f>
        <v>3.5367570000000002</v>
      </c>
      <c r="S54" s="24">
        <f t="shared" si="20"/>
        <v>8.3817180541382896</v>
      </c>
      <c r="U54" s="22">
        <f>+[1]SANTILLANA!X55</f>
        <v>3.6136089999999998</v>
      </c>
      <c r="V54" s="23">
        <f>+[1]SANTILLANA!Y55</f>
        <v>3.5069490000000001</v>
      </c>
      <c r="W54" s="24">
        <f t="shared" si="21"/>
        <v>3.0413901086100696</v>
      </c>
      <c r="Z54" s="9"/>
      <c r="AB54" s="10">
        <v>2019</v>
      </c>
      <c r="AC54" s="10">
        <v>2018</v>
      </c>
      <c r="AD54" s="10" t="s">
        <v>5</v>
      </c>
      <c r="AF54" s="10">
        <v>2019</v>
      </c>
      <c r="AG54" s="10">
        <v>2018</v>
      </c>
      <c r="AH54" s="10" t="s">
        <v>5</v>
      </c>
      <c r="AK54" s="9"/>
      <c r="AM54" s="10">
        <v>2019</v>
      </c>
      <c r="AN54" s="10">
        <v>2018</v>
      </c>
      <c r="AO54" s="10" t="str">
        <f>+IF($B$3="esp","Var.%","% Chg.")</f>
        <v>% Chg.</v>
      </c>
      <c r="AQ54" s="10">
        <v>2019</v>
      </c>
      <c r="AR54" s="10">
        <v>2018</v>
      </c>
      <c r="AS54" s="10" t="str">
        <f>+IF($B$3="esp","Var.%","% Chg.")</f>
        <v>% Chg.</v>
      </c>
    </row>
    <row r="55" spans="4:45" s="13" customFormat="1" ht="15" customHeight="1">
      <c r="D55" s="13" t="str">
        <f>+IF($B$3="esp","Gastos de Explotación Contables","Reported Expenses")</f>
        <v>Reported Expenses</v>
      </c>
      <c r="F55" s="14">
        <f>+[1]GRUPO!T56</f>
        <v>682.67124106591302</v>
      </c>
      <c r="G55" s="15">
        <f>+[1]GRUPO!U56</f>
        <v>680.83852986168904</v>
      </c>
      <c r="H55" s="16">
        <f t="shared" si="18"/>
        <v>0.26918441360777495</v>
      </c>
      <c r="J55" s="14">
        <f>+[1]GRUPO!X56</f>
        <v>231.65628192503982</v>
      </c>
      <c r="K55" s="15">
        <f>+[1]GRUPO!Y56</f>
        <v>229.32179343065326</v>
      </c>
      <c r="L55" s="16">
        <f t="shared" si="19"/>
        <v>1.0179967893424442</v>
      </c>
      <c r="O55" s="13" t="str">
        <f>+IF($B$3="esp","Gastos de Explotación","Operating Expenses")</f>
        <v>Operating Expenses</v>
      </c>
      <c r="Q55" s="14">
        <f>+[1]SANTILLANA!T56</f>
        <v>331.92123415962101</v>
      </c>
      <c r="R55" s="15">
        <f>+[1]SANTILLANA!U56</f>
        <v>338.67768994588403</v>
      </c>
      <c r="S55" s="16">
        <f t="shared" si="20"/>
        <v>-1.9949515385387817</v>
      </c>
      <c r="U55" s="14">
        <f>+[1]SANTILLANA!X56</f>
        <v>137.79416420186831</v>
      </c>
      <c r="V55" s="15">
        <f>+[1]SANTILLANA!Y56</f>
        <v>121.5362763487372</v>
      </c>
      <c r="W55" s="16">
        <f t="shared" si="21"/>
        <v>13.376983680560189</v>
      </c>
      <c r="Z55" s="11" t="str">
        <f>+IF($B$3="esp","Resultados Reportados","Reported Results")</f>
        <v>Reported Results</v>
      </c>
      <c r="AA55" s="1"/>
      <c r="AB55" s="12"/>
      <c r="AC55" s="12"/>
      <c r="AD55" s="12"/>
      <c r="AE55" s="1"/>
      <c r="AF55" s="12"/>
      <c r="AG55" s="12"/>
      <c r="AH55" s="12"/>
      <c r="AK55" s="11" t="str">
        <f>+IF($B$3="esp","Resultados Reportados","Reported Results")</f>
        <v>Reported Results</v>
      </c>
      <c r="AL55" s="1"/>
      <c r="AM55" s="12"/>
      <c r="AN55" s="12"/>
      <c r="AO55" s="12"/>
      <c r="AQ55" s="12"/>
      <c r="AR55" s="12"/>
      <c r="AS55" s="12"/>
    </row>
    <row r="56" spans="4:45" ht="15" customHeight="1">
      <c r="D56" s="21" t="str">
        <f>+IF($B$3="esp","España","Spain")</f>
        <v>Spain</v>
      </c>
      <c r="F56" s="22">
        <f>+[1]GRUPO!T57</f>
        <v>390.57369140000111</v>
      </c>
      <c r="G56" s="23">
        <f>+[1]GRUPO!U57</f>
        <v>370.62956424000038</v>
      </c>
      <c r="H56" s="24">
        <f t="shared" si="18"/>
        <v>5.3811484793171962</v>
      </c>
      <c r="J56" s="22">
        <f>+[1]GRUPO!X57</f>
        <v>128.98071427000167</v>
      </c>
      <c r="K56" s="23">
        <f>+[1]GRUPO!Y57</f>
        <v>137.56858469000065</v>
      </c>
      <c r="L56" s="24">
        <f t="shared" si="19"/>
        <v>-6.2426101419528512</v>
      </c>
      <c r="O56" s="21" t="str">
        <f>+IF($B$3="esp","España","Spain")</f>
        <v>Spain</v>
      </c>
      <c r="Q56" s="22">
        <f>+[1]SANTILLANA!T57</f>
        <v>95.697562927432699</v>
      </c>
      <c r="R56" s="23">
        <f>+[1]SANTILLANA!U57</f>
        <v>90.293177550098463</v>
      </c>
      <c r="S56" s="24">
        <f t="shared" si="20"/>
        <v>5.9853751124614645</v>
      </c>
      <c r="U56" s="22">
        <f>+[1]SANTILLANA!X57</f>
        <v>52.066254099954023</v>
      </c>
      <c r="V56" s="23">
        <f>+[1]SANTILLANA!Y57</f>
        <v>48.162296362182943</v>
      </c>
      <c r="W56" s="24">
        <f t="shared" si="21"/>
        <v>8.1058380364862952</v>
      </c>
      <c r="Z56" s="13" t="str">
        <f>+IF($B$3="esp","Ingresos de Explotación","Operating Revenues")</f>
        <v>Operating Revenues</v>
      </c>
      <c r="AA56" s="13"/>
      <c r="AB56" s="14">
        <f>+[1]RADIO!T56</f>
        <v>196.37257326384102</v>
      </c>
      <c r="AC56" s="15">
        <f>+[1]RADIO!U56</f>
        <v>204.77720739574499</v>
      </c>
      <c r="AD56" s="16">
        <f t="shared" ref="AD56:AD71" si="22">IF(AC56=0,"---",IF(OR(ABS((AB56-AC56)/ABS(AC56))&gt;2,(AB56*AC56)&lt;0),"---",IF(AC56="0","---",((AB56-AC56)/ABS(AC56))*100)))</f>
        <v>-4.1042820335280208</v>
      </c>
      <c r="AE56" s="13"/>
      <c r="AF56" s="14">
        <f>+[1]RADIO!X56</f>
        <v>61.872456748335026</v>
      </c>
      <c r="AG56" s="15">
        <f>+[1]RADIO!Y56</f>
        <v>68.800627108537981</v>
      </c>
      <c r="AH56" s="16">
        <f t="shared" ref="AH56:AH71" si="23">IF(AG56=0,"---",IF(OR(ABS((AF56-AG56)/ABS(AG56))&gt;2,(AF56*AG56)&lt;0),"---",IF(AG56="0","---",((AF56-AG56)/ABS(AG56))*100)))</f>
        <v>-10.069923271590627</v>
      </c>
      <c r="AK56" s="17" t="str">
        <f>+IF($B$3="esp","Ingresos de Explotación Noticias Gestión","Total Press Operating Revenues")</f>
        <v>Total Press Operating Revenues</v>
      </c>
      <c r="AL56" s="13"/>
      <c r="AM56" s="18">
        <f>+[1]NOTICIAS!T28</f>
        <v>152.93424918526998</v>
      </c>
      <c r="AN56" s="19">
        <f>+[1]NOTICIAS!U28</f>
        <v>158.46020069447701</v>
      </c>
      <c r="AO56" s="20">
        <f t="shared" ref="AO56:AO66" si="24">IF(AN56=0,"---",IF(OR(ABS((AM56-AN56)/ABS(AN56))&gt;2,(AM56*AN56)&lt;0),"---",IF(AN56="0","---",((AM56-AN56)/ABS(AN56))*100)))</f>
        <v>-3.4872803927981111</v>
      </c>
      <c r="AQ56" s="18">
        <f>+[1]NOTICIAS!X28</f>
        <v>48.402927849129981</v>
      </c>
      <c r="AR56" s="19">
        <f>+[1]NOTICIAS!Y28</f>
        <v>48.899451987794009</v>
      </c>
      <c r="AS56" s="20">
        <f t="shared" ref="AS56:AS60" si="25">IF(AR56=0,"---",IF(OR(ABS((AQ56-AR56)/ABS(AR56))&gt;2,(AQ56*AR56)&lt;0),"---",IF(AR56="0","---",((AQ56-AR56)/ABS(AR56))*100)))</f>
        <v>-1.0153981659916518</v>
      </c>
    </row>
    <row r="57" spans="4:45" ht="15" customHeight="1">
      <c r="D57" s="21" t="str">
        <f>+IF($B$3="esp","Internacional","International")</f>
        <v>International</v>
      </c>
      <c r="F57" s="22">
        <f>+[1]GRUPO!T58</f>
        <v>292.09754966591186</v>
      </c>
      <c r="G57" s="23">
        <f>+[1]GRUPO!U58</f>
        <v>310.20896562168866</v>
      </c>
      <c r="H57" s="24">
        <f t="shared" si="18"/>
        <v>-5.838456641470624</v>
      </c>
      <c r="J57" s="22">
        <f>+[1]GRUPO!X58</f>
        <v>102.67556765503815</v>
      </c>
      <c r="K57" s="23">
        <f>+[1]GRUPO!Y58</f>
        <v>91.753208740652582</v>
      </c>
      <c r="L57" s="24">
        <f t="shared" si="19"/>
        <v>11.904062064203604</v>
      </c>
      <c r="O57" s="21" t="str">
        <f>+IF($B$3="esp","Internacional","International")</f>
        <v>International</v>
      </c>
      <c r="Q57" s="22">
        <f>+[1]SANTILLANA!T58</f>
        <v>236.22367123218831</v>
      </c>
      <c r="R57" s="23">
        <f>+[1]SANTILLANA!U58</f>
        <v>248.38451239578558</v>
      </c>
      <c r="S57" s="24">
        <f t="shared" si="20"/>
        <v>-4.8959740067125077</v>
      </c>
      <c r="U57" s="22">
        <f>+[1]SANTILLANA!X58</f>
        <v>85.72791010191429</v>
      </c>
      <c r="V57" s="23">
        <f>+[1]SANTILLANA!Y58</f>
        <v>73.373979986554275</v>
      </c>
      <c r="W57" s="24">
        <f t="shared" si="21"/>
        <v>16.836936087730095</v>
      </c>
      <c r="Z57" s="21" t="str">
        <f>+IF($B$3="esp","Publicidad","Advertising")</f>
        <v>Advertising</v>
      </c>
      <c r="AB57" s="22">
        <f>+[1]RADIO!T57</f>
        <v>181.13950660322499</v>
      </c>
      <c r="AC57" s="23">
        <f>+[1]RADIO!U57</f>
        <v>183.82172244491599</v>
      </c>
      <c r="AD57" s="24">
        <f t="shared" si="22"/>
        <v>-1.4591397610773433</v>
      </c>
      <c r="AF57" s="22">
        <f>+[1]RADIO!X57</f>
        <v>54.782423203936986</v>
      </c>
      <c r="AG57" s="23">
        <f>+[1]RADIO!Y57</f>
        <v>55.988067600998988</v>
      </c>
      <c r="AH57" s="24">
        <f t="shared" si="23"/>
        <v>-2.1533952656735202</v>
      </c>
      <c r="AK57" s="25" t="str">
        <f>+IF($B$3="esp","Ingresos de Explotación PRENSA","PRESS Operating Revenues")</f>
        <v>PRESS Operating Revenues</v>
      </c>
      <c r="AL57" s="13"/>
      <c r="AM57" s="14">
        <f>+[1]NOTICIAS!T29</f>
        <v>136.38621281489299</v>
      </c>
      <c r="AN57" s="15">
        <f>+[1]NOTICIAS!U29</f>
        <v>144.90139858759801</v>
      </c>
      <c r="AO57" s="16">
        <f t="shared" si="24"/>
        <v>-5.8765380153023807</v>
      </c>
      <c r="AQ57" s="14">
        <f>+[1]NOTICIAS!X29</f>
        <v>42.176887576143983</v>
      </c>
      <c r="AR57" s="15">
        <f>+[1]NOTICIAS!Y29</f>
        <v>44.644046409705012</v>
      </c>
      <c r="AS57" s="16">
        <f t="shared" si="25"/>
        <v>-5.5262885691846755</v>
      </c>
    </row>
    <row r="58" spans="4:45" ht="15" customHeight="1">
      <c r="D58" s="31" t="str">
        <f>+IF($B$3="esp","Latam","Latam")</f>
        <v>Latam</v>
      </c>
      <c r="F58" s="22">
        <f>+[1]GRUPO!T59</f>
        <v>290.69617270591192</v>
      </c>
      <c r="G58" s="23">
        <f>+[1]GRUPO!U59</f>
        <v>307.01916425168872</v>
      </c>
      <c r="H58" s="24">
        <f t="shared" si="18"/>
        <v>-5.3166034718261139</v>
      </c>
      <c r="J58" s="22">
        <f>+[1]GRUPO!X59</f>
        <v>101.72647569503818</v>
      </c>
      <c r="K58" s="23">
        <f>+[1]GRUPO!Y59</f>
        <v>90.361660370652658</v>
      </c>
      <c r="L58" s="24">
        <f t="shared" si="19"/>
        <v>12.577032424778842</v>
      </c>
      <c r="O58" s="31" t="str">
        <f>+IF($B$3="esp","Latam","Latam")</f>
        <v>Latam</v>
      </c>
      <c r="Q58" s="22">
        <f>+[1]SANTILLANA!T59</f>
        <v>234.78001223218831</v>
      </c>
      <c r="R58" s="23">
        <f>+[1]SANTILLANA!U59</f>
        <v>245.30926839578552</v>
      </c>
      <c r="S58" s="24">
        <f t="shared" si="20"/>
        <v>-4.2922373999375996</v>
      </c>
      <c r="U58" s="22">
        <f>+[1]SANTILLANA!X59</f>
        <v>84.736536101914311</v>
      </c>
      <c r="V58" s="23">
        <f>+[1]SANTILLANA!Y59</f>
        <v>72.096988986554209</v>
      </c>
      <c r="W58" s="24">
        <f t="shared" si="21"/>
        <v>17.531310659474734</v>
      </c>
      <c r="Z58" s="49" t="str">
        <f>+IF($B$3="esp","España","Spain")</f>
        <v>Spain</v>
      </c>
      <c r="AA58" s="27"/>
      <c r="AB58" s="28">
        <f>+[1]RADIO!T58</f>
        <v>123.57022860000001</v>
      </c>
      <c r="AC58" s="29">
        <f>+[1]RADIO!U58</f>
        <v>121.96309372</v>
      </c>
      <c r="AD58" s="30">
        <f t="shared" si="22"/>
        <v>1.3177222969512614</v>
      </c>
      <c r="AF58" s="28">
        <f>+[1]RADIO!X58</f>
        <v>34.101068859999998</v>
      </c>
      <c r="AG58" s="29">
        <f>+[1]RADIO!Y58</f>
        <v>35.913670530000005</v>
      </c>
      <c r="AH58" s="30">
        <f t="shared" si="23"/>
        <v>-5.047107809506338</v>
      </c>
      <c r="AK58" s="26" t="str">
        <f>+IF($B$3="esp","Publicidad","Advertising")</f>
        <v>Advertising</v>
      </c>
      <c r="AL58" s="27"/>
      <c r="AM58" s="28">
        <f>+[1]NOTICIAS!T30</f>
        <v>72.183539512369308</v>
      </c>
      <c r="AN58" s="29">
        <f>+[1]NOTICIAS!U30</f>
        <v>71.678472599159306</v>
      </c>
      <c r="AO58" s="30">
        <f t="shared" si="24"/>
        <v>0.70462845383779138</v>
      </c>
      <c r="AQ58" s="28">
        <f>+[1]NOTICIAS!X30</f>
        <v>20.754648784530907</v>
      </c>
      <c r="AR58" s="29">
        <f>+[1]NOTICIAS!Y30</f>
        <v>21.856112694577305</v>
      </c>
      <c r="AS58" s="30">
        <f t="shared" si="25"/>
        <v>-5.0396148914426169</v>
      </c>
    </row>
    <row r="59" spans="4:45" ht="15" customHeight="1">
      <c r="D59" s="31" t="str">
        <f>+IF($B$3="esp","Portugal","Portugal")</f>
        <v>Portugal</v>
      </c>
      <c r="F59" s="22">
        <f>+[1]GRUPO!T60</f>
        <v>1.4013769599999999</v>
      </c>
      <c r="G59" s="23">
        <f>+[1]GRUPO!U60</f>
        <v>3.1898013700000001</v>
      </c>
      <c r="H59" s="24">
        <f t="shared" si="18"/>
        <v>-56.066952219034263</v>
      </c>
      <c r="J59" s="22">
        <f>+[1]GRUPO!X60</f>
        <v>0.94909195999999985</v>
      </c>
      <c r="K59" s="23">
        <f>+[1]GRUPO!Y60</f>
        <v>1.39154837</v>
      </c>
      <c r="L59" s="24">
        <f t="shared" si="19"/>
        <v>-31.795977742405039</v>
      </c>
      <c r="O59" s="31" t="str">
        <f>+IF($B$3="esp","Portugal","Portugal")</f>
        <v>Portugal</v>
      </c>
      <c r="Q59" s="22">
        <f>+[1]SANTILLANA!T60</f>
        <v>1.4436589999999998</v>
      </c>
      <c r="R59" s="23">
        <f>+[1]SANTILLANA!U60</f>
        <v>3.0752439999999992</v>
      </c>
      <c r="S59" s="24">
        <f t="shared" si="20"/>
        <v>-53.055464867178017</v>
      </c>
      <c r="U59" s="22">
        <f>+[1]SANTILLANA!X60</f>
        <v>0.99137399999999976</v>
      </c>
      <c r="V59" s="23">
        <f>+[1]SANTILLANA!Y60</f>
        <v>1.2769909999999991</v>
      </c>
      <c r="W59" s="24">
        <f t="shared" si="21"/>
        <v>-22.366406654392986</v>
      </c>
      <c r="Z59" s="49" t="str">
        <f>+IF($B$3="esp","Latam","Latam")</f>
        <v>Latam</v>
      </c>
      <c r="AA59" s="27"/>
      <c r="AB59" s="28">
        <f>+[1]RADIO!T59</f>
        <v>57.767303534008704</v>
      </c>
      <c r="AC59" s="29">
        <f>+[1]RADIO!U59</f>
        <v>62.006190773596401</v>
      </c>
      <c r="AD59" s="30">
        <f t="shared" si="22"/>
        <v>-6.8362322966511098</v>
      </c>
      <c r="AF59" s="28">
        <f>+[1]RADIO!X59</f>
        <v>20.737495150125305</v>
      </c>
      <c r="AG59" s="29">
        <f>+[1]RADIO!Y59</f>
        <v>20.1041003072298</v>
      </c>
      <c r="AH59" s="30">
        <f t="shared" si="23"/>
        <v>3.1505754210136185</v>
      </c>
      <c r="AK59" s="26" t="str">
        <f>+IF($B$3="esp","Circulación","Circulation")</f>
        <v>Circulation</v>
      </c>
      <c r="AL59" s="27"/>
      <c r="AM59" s="28">
        <f>+[1]NOTICIAS!T31</f>
        <v>46.458601294430004</v>
      </c>
      <c r="AN59" s="29">
        <f>+[1]NOTICIAS!U31</f>
        <v>52.392342247532099</v>
      </c>
      <c r="AO59" s="30">
        <f t="shared" si="24"/>
        <v>-11.325588241632008</v>
      </c>
      <c r="AQ59" s="28">
        <f>+[1]NOTICIAS!X31</f>
        <v>15.744350465085706</v>
      </c>
      <c r="AR59" s="29">
        <f>+[1]NOTICIAS!Y31</f>
        <v>17.173803822758501</v>
      </c>
      <c r="AS59" s="30">
        <f t="shared" si="25"/>
        <v>-8.3234522323965408</v>
      </c>
    </row>
    <row r="60" spans="4:45" s="13" customFormat="1" ht="15" customHeight="1">
      <c r="D60" s="13" t="str">
        <f>+IF($B$3="esp","EBITDA Contable","Reported EBITDA")</f>
        <v>Reported EBITDA</v>
      </c>
      <c r="F60" s="14">
        <f>+[1]GRUPO!T61</f>
        <v>114.214642199162</v>
      </c>
      <c r="G60" s="15">
        <f>+[1]GRUPO!U61</f>
        <v>142.456590241778</v>
      </c>
      <c r="H60" s="16">
        <f t="shared" si="18"/>
        <v>-19.824950179337883</v>
      </c>
      <c r="J60" s="14">
        <f>+[1]GRUPO!X61</f>
        <v>79.562049090603196</v>
      </c>
      <c r="K60" s="15">
        <f>+[1]GRUPO!Y61</f>
        <v>51.675464908127807</v>
      </c>
      <c r="L60" s="16">
        <f t="shared" si="19"/>
        <v>53.964844306779</v>
      </c>
      <c r="O60" s="13" t="str">
        <f>+IF($B$3="esp","EBITDA","EBITDA")</f>
        <v>EBITDA</v>
      </c>
      <c r="Q60" s="14">
        <f>+[1]SANTILLANA!T61</f>
        <v>129.21480552604999</v>
      </c>
      <c r="R60" s="15">
        <f>+[1]SANTILLANA!U61</f>
        <v>128.92047033300901</v>
      </c>
      <c r="S60" s="16">
        <f t="shared" si="20"/>
        <v>0.22830756999310833</v>
      </c>
      <c r="U60" s="14">
        <f>+[1]SANTILLANA!X61</f>
        <v>67.362332028400687</v>
      </c>
      <c r="V60" s="15">
        <f>+[1]SANTILLANA!Y61</f>
        <v>44.726694925775803</v>
      </c>
      <c r="W60" s="16">
        <f t="shared" si="21"/>
        <v>50.608785514308288</v>
      </c>
      <c r="Z60" s="49" t="str">
        <f>+IF($B$3="esp","Otros","Others")</f>
        <v>Others</v>
      </c>
      <c r="AA60" s="27"/>
      <c r="AB60" s="28">
        <f>+[1]RADIO!T60</f>
        <v>-0.19802553078372398</v>
      </c>
      <c r="AC60" s="29">
        <f>+[1]RADIO!U60</f>
        <v>-0.14756204868041323</v>
      </c>
      <c r="AD60" s="30">
        <f t="shared" si="22"/>
        <v>-34.198144139760153</v>
      </c>
      <c r="AE60" s="1"/>
      <c r="AF60" s="28">
        <f>+[1]RADIO!X60</f>
        <v>-5.6140806188317072E-2</v>
      </c>
      <c r="AG60" s="29">
        <f>+[1]RADIO!Y60</f>
        <v>-2.9703236230815833E-2</v>
      </c>
      <c r="AH60" s="30">
        <f t="shared" si="23"/>
        <v>-89.00568864638862</v>
      </c>
      <c r="AK60" s="26" t="str">
        <f>+IF($B$3="esp","Promociones y Otros","Add-ons and Others")</f>
        <v>Add-ons and Others</v>
      </c>
      <c r="AL60" s="27"/>
      <c r="AM60" s="28">
        <f>+[1]NOTICIAS!T32</f>
        <v>17.744072008093674</v>
      </c>
      <c r="AN60" s="29">
        <f>+[1]NOTICIAS!U32</f>
        <v>20.830583740906604</v>
      </c>
      <c r="AO60" s="30">
        <f t="shared" si="24"/>
        <v>-14.817211899596034</v>
      </c>
      <c r="AQ60" s="28">
        <f>+[1]NOTICIAS!X32</f>
        <v>5.6778883265273699</v>
      </c>
      <c r="AR60" s="29">
        <f>+[1]NOTICIAS!Y32</f>
        <v>5.6141298923692062</v>
      </c>
      <c r="AS60" s="30">
        <f t="shared" si="25"/>
        <v>1.1356779301601994</v>
      </c>
    </row>
    <row r="61" spans="4:45" ht="15" customHeight="1" thickBot="1">
      <c r="D61" s="21" t="str">
        <f>+IF($B$3="esp","España","Spain")</f>
        <v>Spain</v>
      </c>
      <c r="F61" s="22">
        <f>+[1]GRUPO!T62</f>
        <v>25.848524189999921</v>
      </c>
      <c r="G61" s="23">
        <f>+[1]GRUPO!U62</f>
        <v>41.059406610000138</v>
      </c>
      <c r="H61" s="24">
        <f t="shared" si="18"/>
        <v>-37.04603567333475</v>
      </c>
      <c r="J61" s="22">
        <f>+[1]GRUPO!X62</f>
        <v>53.419959200000136</v>
      </c>
      <c r="K61" s="23">
        <f>+[1]GRUPO!Y62</f>
        <v>45.003718309999968</v>
      </c>
      <c r="L61" s="24">
        <f t="shared" si="19"/>
        <v>18.701212268787248</v>
      </c>
      <c r="O61" s="21" t="str">
        <f>+IF($B$3="esp","España","Spain")</f>
        <v>Spain</v>
      </c>
      <c r="Q61" s="22">
        <f>+[1]SANTILLANA!T62</f>
        <v>53.888281930000204</v>
      </c>
      <c r="R61" s="23">
        <f>+[1]SANTILLANA!U62</f>
        <v>37.521598929999399</v>
      </c>
      <c r="S61" s="24">
        <f t="shared" si="20"/>
        <v>43.619364490662086</v>
      </c>
      <c r="U61" s="22">
        <f>+[1]SANTILLANA!X62</f>
        <v>50.869506420000164</v>
      </c>
      <c r="V61" s="23">
        <f>+[1]SANTILLANA!Y62</f>
        <v>42.351365639999344</v>
      </c>
      <c r="W61" s="24">
        <f t="shared" si="21"/>
        <v>20.113025049552931</v>
      </c>
      <c r="Z61" s="21" t="str">
        <f>+IF($B$3="esp","Otros","Others")</f>
        <v>Others</v>
      </c>
      <c r="AB61" s="22">
        <f>+[1]RADIO!T61</f>
        <v>15.233066660616032</v>
      </c>
      <c r="AC61" s="23">
        <f>+[1]RADIO!U61</f>
        <v>20.955484950829003</v>
      </c>
      <c r="AD61" s="24">
        <f t="shared" si="22"/>
        <v>-27.30749636021471</v>
      </c>
      <c r="AE61" s="13"/>
      <c r="AF61" s="22">
        <f>+[1]RADIO!X61</f>
        <v>7.0900335443980396</v>
      </c>
      <c r="AG61" s="23">
        <f>+[1]RADIO!Y61</f>
        <v>12.812559507538992</v>
      </c>
      <c r="AH61" s="24">
        <f t="shared" si="23"/>
        <v>-44.663409834497017</v>
      </c>
      <c r="AK61" s="25" t="str">
        <f>+IF($B$3="esp","PBS y Prisa Tecnología","PBS &amp; IT")</f>
        <v>PBS &amp; IT</v>
      </c>
      <c r="AL61" s="13"/>
      <c r="AM61" s="14">
        <f>+[1]NOTICIAS!T33</f>
        <v>16.548036370376991</v>
      </c>
      <c r="AN61" s="15">
        <f>+[1]NOTICIAS!U33</f>
        <v>13.558802106879</v>
      </c>
      <c r="AO61" s="16">
        <f>IF(AN61=0,"---",IF(OR(ABS((AM61-AN61)/ABS(AN61))&gt;2,(AM61*AN61)&lt;0),"---",IF(AN61="0","---",((AM61-AN61)/ABS(AN61))*100)))</f>
        <v>22.046448055919456</v>
      </c>
      <c r="AQ61" s="14">
        <f>+[1]NOTICIAS!X33</f>
        <v>6.2260402729859976</v>
      </c>
      <c r="AR61" s="15">
        <f>+[1]NOTICIAS!Y33</f>
        <v>4.2554055780889968</v>
      </c>
      <c r="AS61" s="16">
        <f>IF(AR61=0,"---",IF(OR(ABS((AQ61-AR61)/ABS(AR61))&gt;2,(AQ61*AR61)&lt;0),"---",IF(AR61="0","---",((AQ61-AR61)/ABS(AR61))*100)))</f>
        <v>46.308974755397273</v>
      </c>
    </row>
    <row r="62" spans="4:45" ht="15" customHeight="1" thickTop="1">
      <c r="D62" s="21" t="str">
        <f>+IF($B$3="esp","Internacional","International")</f>
        <v>International</v>
      </c>
      <c r="F62" s="22">
        <f>+[1]GRUPO!T63</f>
        <v>88.366118009162079</v>
      </c>
      <c r="G62" s="23">
        <f>+[1]GRUPO!U63</f>
        <v>101.39718363177786</v>
      </c>
      <c r="H62" s="24">
        <f t="shared" si="18"/>
        <v>-12.851506477672867</v>
      </c>
      <c r="J62" s="22">
        <f>+[1]GRUPO!X63</f>
        <v>26.14208989060306</v>
      </c>
      <c r="K62" s="23">
        <f>+[1]GRUPO!Y63</f>
        <v>6.6717465981278394</v>
      </c>
      <c r="L62" s="24" t="str">
        <f t="shared" si="19"/>
        <v>---</v>
      </c>
      <c r="O62" s="21" t="str">
        <f>+IF($B$3="esp","Internacional","International")</f>
        <v>International</v>
      </c>
      <c r="Q62" s="22">
        <f>+[1]SANTILLANA!T63</f>
        <v>75.326523596049782</v>
      </c>
      <c r="R62" s="23">
        <f>+[1]SANTILLANA!U63</f>
        <v>91.398871403009608</v>
      </c>
      <c r="S62" s="24">
        <f t="shared" si="20"/>
        <v>-17.584842745039182</v>
      </c>
      <c r="U62" s="22">
        <f>+[1]SANTILLANA!X63</f>
        <v>16.492825608400523</v>
      </c>
      <c r="V62" s="23">
        <f>+[1]SANTILLANA!Y63</f>
        <v>2.3753292857764592</v>
      </c>
      <c r="W62" s="24" t="str">
        <f t="shared" si="21"/>
        <v>---</v>
      </c>
      <c r="Z62" s="13" t="str">
        <f>+IF($B$3="esp","Gastos de Explotación","Operating Expenses")</f>
        <v>Operating Expenses</v>
      </c>
      <c r="AA62" s="13"/>
      <c r="AB62" s="14">
        <f>+[1]RADIO!T62</f>
        <v>154.5501922779423</v>
      </c>
      <c r="AC62" s="15">
        <f>+[1]RADIO!U62</f>
        <v>174.13711637479489</v>
      </c>
      <c r="AD62" s="16">
        <f t="shared" si="22"/>
        <v>-11.247989230909106</v>
      </c>
      <c r="AF62" s="14">
        <f>+[1]RADIO!X62</f>
        <v>48.195263141730507</v>
      </c>
      <c r="AG62" s="15">
        <f>+[1]RADIO!Y62</f>
        <v>58.92312840432848</v>
      </c>
      <c r="AH62" s="16">
        <f t="shared" si="23"/>
        <v>-18.206543938033519</v>
      </c>
      <c r="AK62" s="32" t="str">
        <f>+IF($B$3="esp","Gastos de Explotación Contables Noticias Gestión","Total Press Reported Expenses")</f>
        <v>Total Press Reported Expenses</v>
      </c>
      <c r="AL62" s="33"/>
      <c r="AM62" s="50">
        <f>+[1]NOTICIAS!T34</f>
        <v>151.09596537669503</v>
      </c>
      <c r="AN62" s="35">
        <f>+[1]NOTICIAS!U34</f>
        <v>161.3061516904564</v>
      </c>
      <c r="AO62" s="36">
        <f t="shared" ref="AO62" si="26">IF(AN62=0,"---",IF(OR(ABS((AM62-AN62)/ABS(AN62))&gt;2,(AM62*AN62)&lt;0),"---",IF(AN62="0","---",((AM62-AN62)/ABS(AN62))*100)))</f>
        <v>-6.3296943152884406</v>
      </c>
      <c r="AQ62" s="50">
        <f>+[1]NOTICIAS!X34</f>
        <v>49.237511056517036</v>
      </c>
      <c r="AR62" s="35">
        <f>+[1]NOTICIAS!Y34</f>
        <v>49.99640088780032</v>
      </c>
      <c r="AS62" s="36">
        <f t="shared" ref="AS62:AS66" si="27">IF(AR62=0,"---",IF(OR(ABS((AQ62-AR62)/ABS(AR62))&gt;2,(AQ62*AR62)&lt;0),"---",IF(AR62="0","---",((AQ62-AR62)/ABS(AR62))*100)))</f>
        <v>-1.5178889236174229</v>
      </c>
    </row>
    <row r="63" spans="4:45" ht="15" customHeight="1">
      <c r="D63" s="31" t="str">
        <f>+IF($B$3="esp","Latam","Latam")</f>
        <v>Latam</v>
      </c>
      <c r="F63" s="22">
        <f>+[1]GRUPO!T64</f>
        <v>85.934296969162077</v>
      </c>
      <c r="G63" s="23">
        <f>+[1]GRUPO!U64</f>
        <v>101.05022800177787</v>
      </c>
      <c r="H63" s="24">
        <f t="shared" si="18"/>
        <v>-14.958829219415362</v>
      </c>
      <c r="J63" s="22">
        <f>+[1]GRUPO!X64</f>
        <v>23.477572850603053</v>
      </c>
      <c r="K63" s="23">
        <f>+[1]GRUPO!Y64</f>
        <v>4.5563459681278289</v>
      </c>
      <c r="L63" s="24" t="str">
        <f t="shared" si="19"/>
        <v>---</v>
      </c>
      <c r="O63" s="31" t="str">
        <f>+IF($B$3="esp","Latam","Latam")</f>
        <v>Latam</v>
      </c>
      <c r="Q63" s="22">
        <f>+[1]SANTILLANA!T64</f>
        <v>72.936984596049783</v>
      </c>
      <c r="R63" s="23">
        <f>+[1]SANTILLANA!U64</f>
        <v>90.937358403009611</v>
      </c>
      <c r="S63" s="24">
        <f t="shared" si="20"/>
        <v>-19.794256313436193</v>
      </c>
      <c r="U63" s="22">
        <f>+[1]SANTILLANA!X64</f>
        <v>13.870590608400526</v>
      </c>
      <c r="V63" s="23">
        <f>+[1]SANTILLANA!Y64</f>
        <v>0.14537128577646286</v>
      </c>
      <c r="W63" s="24" t="str">
        <f t="shared" si="21"/>
        <v>---</v>
      </c>
      <c r="Z63" s="21" t="str">
        <f>+IF($B$3="esp","España","Spain")</f>
        <v>Spain</v>
      </c>
      <c r="AB63" s="22">
        <f>+[1]RADIO!T63</f>
        <v>108.13261289999991</v>
      </c>
      <c r="AC63" s="23">
        <f>+[1]RADIO!U63</f>
        <v>116.49536392</v>
      </c>
      <c r="AD63" s="24">
        <f t="shared" si="22"/>
        <v>-7.1786127263768025</v>
      </c>
      <c r="AF63" s="22">
        <f>+[1]RADIO!X63</f>
        <v>33.679805670000007</v>
      </c>
      <c r="AG63" s="23">
        <f>+[1]RADIO!Y63</f>
        <v>35.955467209999895</v>
      </c>
      <c r="AH63" s="24">
        <f t="shared" si="23"/>
        <v>-6.3291113051285377</v>
      </c>
      <c r="AK63" s="25" t="str">
        <f>+IF($B$3="esp","Gastos de Explotación Contables PRENSA","PRESS Reported Expenses")</f>
        <v>PRESS Reported Expenses</v>
      </c>
      <c r="AL63" s="13"/>
      <c r="AM63" s="14">
        <f>+[1]NOTICIAS!T35</f>
        <v>134.54792900631804</v>
      </c>
      <c r="AN63" s="15">
        <f>+[1]NOTICIAS!U35</f>
        <v>147.7473495835774</v>
      </c>
      <c r="AO63" s="16">
        <f t="shared" si="24"/>
        <v>-8.9337782467581537</v>
      </c>
      <c r="AQ63" s="14">
        <f>+[1]NOTICIAS!X35</f>
        <v>43.011470783531038</v>
      </c>
      <c r="AR63" s="15">
        <f>+[1]NOTICIAS!Y35</f>
        <v>45.740995309711323</v>
      </c>
      <c r="AS63" s="16">
        <f t="shared" si="27"/>
        <v>-5.9673483440811275</v>
      </c>
    </row>
    <row r="64" spans="4:45" ht="15" customHeight="1" thickBot="1">
      <c r="D64" s="31" t="str">
        <f>+IF($B$3="esp","Portugal","Portugal")</f>
        <v>Portugal</v>
      </c>
      <c r="F64" s="22">
        <f>+[1]GRUPO!T65</f>
        <v>2.43182104</v>
      </c>
      <c r="G64" s="23">
        <f>+[1]GRUPO!U65</f>
        <v>0.34695562999999996</v>
      </c>
      <c r="H64" s="24" t="str">
        <f t="shared" si="18"/>
        <v>---</v>
      </c>
      <c r="J64" s="22">
        <f>+[1]GRUPO!X65</f>
        <v>2.6645170399999998</v>
      </c>
      <c r="K64" s="23">
        <f>+[1]GRUPO!Y65</f>
        <v>2.1154006299999999</v>
      </c>
      <c r="L64" s="24">
        <f t="shared" si="19"/>
        <v>25.958033774434487</v>
      </c>
      <c r="O64" s="31" t="str">
        <f>+IF($B$3="esp","Portugal","Portugal")</f>
        <v>Portugal</v>
      </c>
      <c r="Q64" s="22">
        <f>+[1]SANTILLANA!T65</f>
        <v>2.3895390000000001</v>
      </c>
      <c r="R64" s="23">
        <f>+[1]SANTILLANA!U65</f>
        <v>0.46151300000000101</v>
      </c>
      <c r="S64" s="24" t="str">
        <f t="shared" si="20"/>
        <v>---</v>
      </c>
      <c r="U64" s="22">
        <f>+[1]SANTILLANA!X65</f>
        <v>2.6222349999999999</v>
      </c>
      <c r="V64" s="23">
        <f>+[1]SANTILLANA!Y65</f>
        <v>2.2299580000000012</v>
      </c>
      <c r="W64" s="24">
        <f t="shared" si="21"/>
        <v>17.591228175597855</v>
      </c>
      <c r="Z64" s="21" t="str">
        <f>+IF($B$3="esp","Latam","Latam")</f>
        <v>Latam</v>
      </c>
      <c r="AB64" s="22">
        <f>+[1]RADIO!T64</f>
        <v>49.265510969501598</v>
      </c>
      <c r="AC64" s="23">
        <f>+[1]RADIO!U64</f>
        <v>51.216964177176202</v>
      </c>
      <c r="AD64" s="24">
        <f t="shared" si="22"/>
        <v>-3.8101696166994397</v>
      </c>
      <c r="AF64" s="22">
        <f>+[1]RADIO!X64</f>
        <v>15.440629658274283</v>
      </c>
      <c r="AG64" s="23">
        <f>+[1]RADIO!Y64</f>
        <v>15.803280703605843</v>
      </c>
      <c r="AH64" s="24">
        <f t="shared" si="23"/>
        <v>-2.2947832929957008</v>
      </c>
      <c r="AK64" s="25" t="str">
        <f>+IF($B$3="esp","Gastos de Explotación Contables PBS y Tecnología","PBS &amp; IT Reported Expenses")</f>
        <v>PBS &amp; IT Reported Expenses</v>
      </c>
      <c r="AL64" s="13"/>
      <c r="AM64" s="14">
        <f>+[1]NOTICIAS!T36</f>
        <v>16.548036370376991</v>
      </c>
      <c r="AN64" s="15">
        <f>+[1]NOTICIAS!U36</f>
        <v>13.558802106879</v>
      </c>
      <c r="AO64" s="16">
        <f t="shared" si="24"/>
        <v>22.046448055919456</v>
      </c>
      <c r="AQ64" s="14">
        <f>+[1]NOTICIAS!X36</f>
        <v>6.2260402729859976</v>
      </c>
      <c r="AR64" s="15">
        <f>+[1]NOTICIAS!Y36</f>
        <v>4.2554055780889968</v>
      </c>
      <c r="AS64" s="16">
        <f t="shared" si="27"/>
        <v>46.308974755397273</v>
      </c>
    </row>
    <row r="65" spans="4:45" s="27" customFormat="1" ht="15" customHeight="1" thickTop="1">
      <c r="D65" s="26" t="str">
        <f>+IF($B$3="esp","Margen EBITDA ","EBITDA Margin")</f>
        <v>EBITDA Margin</v>
      </c>
      <c r="F65" s="37">
        <f>+[1]GRUPO!T66</f>
        <v>0.16730548370666518</v>
      </c>
      <c r="G65" s="38">
        <f>+[1]GRUPO!U66</f>
        <v>0.20923696881655299</v>
      </c>
      <c r="H65" s="39"/>
      <c r="J65" s="37">
        <f>+[1]GRUPO!X66</f>
        <v>0.25564705276503813</v>
      </c>
      <c r="K65" s="38">
        <f>+[1]GRUPO!Y66</f>
        <v>0.18390024590854151</v>
      </c>
      <c r="L65" s="39"/>
      <c r="O65" s="26" t="str">
        <f>+IF($B$3="esp","Margen EBITDA ","EBITDA Margin")</f>
        <v>EBITDA Margin</v>
      </c>
      <c r="Q65" s="37">
        <f>+[1]SANTILLANA!T66</f>
        <v>0.2802097307643272</v>
      </c>
      <c r="R65" s="38">
        <f>+[1]SANTILLANA!U66</f>
        <v>0.27570782198141247</v>
      </c>
      <c r="S65" s="39"/>
      <c r="U65" s="37">
        <f>+[1]SANTILLANA!X66</f>
        <v>0.32834608343472954</v>
      </c>
      <c r="V65" s="38">
        <f>+[1]SANTILLANA!Y66</f>
        <v>0.26901176240817071</v>
      </c>
      <c r="W65" s="39"/>
      <c r="Z65" s="21" t="str">
        <f>+IF($B$3="esp","Música","Music")</f>
        <v>Music</v>
      </c>
      <c r="AA65" s="1"/>
      <c r="AB65" s="22">
        <f>+[1]RADIO!T65</f>
        <v>8.1280619999999998E-2</v>
      </c>
      <c r="AC65" s="23">
        <f>+[1]RADIO!U65</f>
        <v>12.220473919550583</v>
      </c>
      <c r="AD65" s="24">
        <f t="shared" si="22"/>
        <v>-99.334881604959975</v>
      </c>
      <c r="AE65" s="1"/>
      <c r="AF65" s="22">
        <f>+[1]RADIO!X65</f>
        <v>7.2903699999999905E-3</v>
      </c>
      <c r="AG65" s="23">
        <f>+[1]RADIO!Y65</f>
        <v>9.4210688380378436</v>
      </c>
      <c r="AH65" s="24">
        <f t="shared" si="23"/>
        <v>-99.922616317475942</v>
      </c>
      <c r="AK65" s="32" t="str">
        <f>+IF($B$3="esp","EBITDA Contable Noticias Gestión","Total Press Reported EBITDA")</f>
        <v>Total Press Reported EBITDA</v>
      </c>
      <c r="AL65" s="33"/>
      <c r="AM65" s="50">
        <f>+[1]NOTICIAS!T37</f>
        <v>1.1243398419538499</v>
      </c>
      <c r="AN65" s="35">
        <f>+[1]NOTICIAS!U37</f>
        <v>-5.8226482908967103</v>
      </c>
      <c r="AO65" s="36" t="str">
        <f t="shared" si="24"/>
        <v>---</v>
      </c>
      <c r="AQ65" s="50">
        <f>+[1]NOTICIAS!X37</f>
        <v>-0.52044125079057002</v>
      </c>
      <c r="AR65" s="35">
        <f>+[1]NOTICIAS!Y37</f>
        <v>-1.1193874457506698</v>
      </c>
      <c r="AS65" s="36">
        <f t="shared" si="27"/>
        <v>53.506602850851337</v>
      </c>
    </row>
    <row r="66" spans="4:45" s="13" customFormat="1" ht="15" customHeight="1">
      <c r="D66" s="13" t="str">
        <f>+IF($B$3="esp","EBIT Contable","Reported EBIT")</f>
        <v>Reported EBIT</v>
      </c>
      <c r="F66" s="14">
        <f>+[1]GRUPO!T67</f>
        <v>49.595165304385503</v>
      </c>
      <c r="G66" s="15">
        <f>+[1]GRUPO!U67</f>
        <v>98.645203957271534</v>
      </c>
      <c r="H66" s="16">
        <f>IF(G66=0,"---",IF(OR(ABS((F66-G66)/ABS(G66))&gt;2,(F66*G66)&lt;0),"---",IF(G66="0","---",((F66-G66)/ABS(G66))*100)))</f>
        <v>-49.723693281765833</v>
      </c>
      <c r="J66" s="14">
        <f>+[1]GRUPO!X67</f>
        <v>56.932713847506498</v>
      </c>
      <c r="K66" s="15">
        <f>+[1]GRUPO!Y67</f>
        <v>34.913502233272304</v>
      </c>
      <c r="L66" s="16">
        <f>IF(K66=0,"---",IF(OR(ABS((J66-K66)/ABS(K66))&gt;2,(J66*K66)&lt;0),"---",IF(K66="0","---",((J66-K66)/ABS(K66))*100)))</f>
        <v>63.067896961795064</v>
      </c>
      <c r="O66" s="13" t="str">
        <f>+IF($B$3="esp","EBIT","EBIT")</f>
        <v>EBIT</v>
      </c>
      <c r="Q66" s="14">
        <f>+[1]SANTILLANA!T67</f>
        <v>86.389801575300794</v>
      </c>
      <c r="R66" s="15">
        <f>+[1]SANTILLANA!U67</f>
        <v>94.944594493923503</v>
      </c>
      <c r="S66" s="16">
        <f>IF(R66=0,"---",IF(OR(ABS((Q66-R66)/ABS(R66))&gt;2,(Q66*R66)&lt;0),"---",IF(R66="0","---",((Q66-R66)/ABS(R66))*100)))</f>
        <v>-9.0103001273760981</v>
      </c>
      <c r="U66" s="14">
        <f>+[1]SANTILLANA!X67</f>
        <v>51.859808965320795</v>
      </c>
      <c r="V66" s="15">
        <f>+[1]SANTILLANA!Y67</f>
        <v>31.1894127248271</v>
      </c>
      <c r="W66" s="16">
        <f>IF(V66=0,"---",IF(OR(ABS((U66-V66)/ABS(V66))&gt;2,(U66*V66)&lt;0),"---",IF(V66="0","---",((U66-V66)/ABS(V66))*100)))</f>
        <v>66.27375905683482</v>
      </c>
      <c r="Z66" s="21" t="str">
        <f>+IF($B$3="esp","Ajustes y Otros","Adjustments &amp; others")</f>
        <v>Adjustments &amp; others</v>
      </c>
      <c r="AA66" s="1"/>
      <c r="AB66" s="22">
        <f>+[1]RADIO!T66</f>
        <v>-2.9292122115592094</v>
      </c>
      <c r="AC66" s="23">
        <f>+[1]RADIO!U66</f>
        <v>-5.7956856419319021</v>
      </c>
      <c r="AD66" s="24">
        <f t="shared" si="22"/>
        <v>49.458745823508785</v>
      </c>
      <c r="AF66" s="22">
        <f>+[1]RADIO!X66</f>
        <v>-0.93246255654378274</v>
      </c>
      <c r="AG66" s="23">
        <f>+[1]RADIO!Y66</f>
        <v>-2.2566883473151012</v>
      </c>
      <c r="AH66" s="24">
        <f t="shared" si="23"/>
        <v>58.680047351102701</v>
      </c>
      <c r="AK66" s="25" t="str">
        <f>+IF($B$3="esp","EBITDA Contable PRENSA","PRESS Reported EBITDA")</f>
        <v>PRESS Reported EBITDA</v>
      </c>
      <c r="AM66" s="14">
        <f>+[1]NOTICIAS!T38</f>
        <v>1.83828380857494</v>
      </c>
      <c r="AN66" s="15">
        <f>+[1]NOTICIAS!U38</f>
        <v>-2.8459509959793801</v>
      </c>
      <c r="AO66" s="16" t="str">
        <f t="shared" si="24"/>
        <v>---</v>
      </c>
      <c r="AQ66" s="14">
        <f>+[1]NOTICIAS!X38</f>
        <v>-0.83458320738706027</v>
      </c>
      <c r="AR66" s="15">
        <f>+[1]NOTICIAS!Y38</f>
        <v>-1.0969489000063</v>
      </c>
      <c r="AS66" s="16">
        <f t="shared" si="27"/>
        <v>23.917767966924703</v>
      </c>
    </row>
    <row r="67" spans="4:45" ht="15" customHeight="1">
      <c r="D67" s="21" t="str">
        <f>+IF($B$3="esp","España","Spain")</f>
        <v>Spain</v>
      </c>
      <c r="F67" s="22">
        <f>+[1]GRUPO!T68</f>
        <v>-3.7019358600008374</v>
      </c>
      <c r="G67" s="23">
        <f>+[1]GRUPO!U68</f>
        <v>21.925525770000647</v>
      </c>
      <c r="H67" s="24" t="str">
        <f>IF(G67=0,"---",IF(OR(ABS((F67-G67)/ABS(G67))&gt;2,(F67*G67)&lt;0),"---",IF(G67="0","---",((F67-G67)/ABS(G67))*100)))</f>
        <v>---</v>
      </c>
      <c r="J67" s="22">
        <f>+[1]GRUPO!X68</f>
        <v>39.228999559999238</v>
      </c>
      <c r="K67" s="23">
        <f>+[1]GRUPO!Y68</f>
        <v>33.549312640000572</v>
      </c>
      <c r="L67" s="24">
        <f>IF(K67=0,"---",IF(OR(ABS((J67-K67)/ABS(K67))&gt;2,(J67*K67)&lt;0),"---",IF(K67="0","---",((J67-K67)/ABS(K67))*100)))</f>
        <v>16.929368958894322</v>
      </c>
      <c r="O67" s="21" t="str">
        <f>+IF($B$3="esp","España","Spain")</f>
        <v>Spain</v>
      </c>
      <c r="Q67" s="22">
        <f>+[1]SANTILLANA!T68</f>
        <v>40.940197979999859</v>
      </c>
      <c r="R67" s="23">
        <f>+[1]SANTILLANA!U68</f>
        <v>26.253261179999782</v>
      </c>
      <c r="S67" s="24">
        <f>IF(R67=0,"---",IF(OR(ABS((Q67-R67)/ABS(R67))&gt;2,(Q67*R67)&lt;0),"---",IF(R67="0","---",((Q67-R67)/ABS(R67))*100)))</f>
        <v>55.943285290548417</v>
      </c>
      <c r="U67" s="22">
        <f>+[1]SANTILLANA!X68</f>
        <v>42.22640317999943</v>
      </c>
      <c r="V67" s="23">
        <f>+[1]SANTILLANA!Y68</f>
        <v>33.488746449999958</v>
      </c>
      <c r="W67" s="24">
        <f>IF(V67=0,"---",IF(OR(ABS((U67-V67)/ABS(V67))&gt;2,(U67*V67)&lt;0),"---",IF(V67="0","---",((U67-V67)/ABS(V67))*100)))</f>
        <v>26.091322179064374</v>
      </c>
      <c r="Z67" s="13" t="str">
        <f>+IF($B$3="esp","EBITDA","EBITDA")</f>
        <v>EBITDA</v>
      </c>
      <c r="AA67" s="13"/>
      <c r="AB67" s="14">
        <f>+[1]RADIO!T67</f>
        <v>41.822380985898704</v>
      </c>
      <c r="AC67" s="15">
        <f>+[1]RADIO!U67</f>
        <v>30.640091020950102</v>
      </c>
      <c r="AD67" s="16">
        <f t="shared" si="22"/>
        <v>36.495616012702875</v>
      </c>
      <c r="AF67" s="14">
        <f>+[1]RADIO!X67</f>
        <v>13.677193606604504</v>
      </c>
      <c r="AG67" s="15">
        <f>+[1]RADIO!Y67</f>
        <v>9.8774987042095006</v>
      </c>
      <c r="AH67" s="16">
        <f t="shared" si="23"/>
        <v>38.468189327888091</v>
      </c>
      <c r="AK67" s="26" t="str">
        <f>+IF($B$3="esp","Margen EBITDA ","EBITDA Margin")</f>
        <v>EBITDA Margin</v>
      </c>
      <c r="AL67" s="27"/>
      <c r="AM67" s="37">
        <f>+[1]NOTICIAS!T39</f>
        <v>1.3478516417710843E-2</v>
      </c>
      <c r="AN67" s="38">
        <f>+[1]NOTICIAS!U39</f>
        <v>-1.9640604050201092E-2</v>
      </c>
      <c r="AO67" s="39"/>
      <c r="AQ67" s="37">
        <f>+[1]NOTICIAS!X39</f>
        <v>-1.9787690731810085E-2</v>
      </c>
      <c r="AR67" s="38">
        <f>+[1]NOTICIAS!Y39</f>
        <v>-2.4571000799063727E-2</v>
      </c>
      <c r="AS67" s="39"/>
    </row>
    <row r="68" spans="4:45" ht="15" customHeight="1" thickBot="1">
      <c r="D68" s="21" t="str">
        <f>+IF($B$3="esp","Internacional","International")</f>
        <v>International</v>
      </c>
      <c r="F68" s="22">
        <f>+[1]GRUPO!T69</f>
        <v>53.297101164386341</v>
      </c>
      <c r="G68" s="23">
        <f>+[1]GRUPO!U69</f>
        <v>76.719678187270887</v>
      </c>
      <c r="H68" s="24">
        <f>IF(G68=0,"---",IF(OR(ABS((F68-G68)/ABS(G68))&gt;2,(F68*G68)&lt;0),"---",IF(G68="0","---",((F68-G68)/ABS(G68))*100)))</f>
        <v>-30.530077258289069</v>
      </c>
      <c r="J68" s="22">
        <f>+[1]GRUPO!X69</f>
        <v>17.70371428750726</v>
      </c>
      <c r="K68" s="23">
        <f>+[1]GRUPO!Y69</f>
        <v>1.3641895932717318</v>
      </c>
      <c r="L68" s="24" t="str">
        <f>IF(K68=0,"---",IF(OR(ABS((J68-K68)/ABS(K68))&gt;2,(J68*K68)&lt;0),"---",IF(K68="0","---",((J68-K68)/ABS(K68))*100)))</f>
        <v>---</v>
      </c>
      <c r="O68" s="21" t="str">
        <f>+IF($B$3="esp","Internacional","International")</f>
        <v>International</v>
      </c>
      <c r="Q68" s="22">
        <f>+[1]SANTILLANA!T69</f>
        <v>45.449603595300935</v>
      </c>
      <c r="R68" s="23">
        <f>+[1]SANTILLANA!U69</f>
        <v>68.691333313923721</v>
      </c>
      <c r="S68" s="24">
        <f>IF(R68=0,"---",IF(OR(ABS((Q68-R68)/ABS(R68))&gt;2,(Q68*R68)&lt;0),"---",IF(R68="0","---",((Q68-R68)/ABS(R68))*100)))</f>
        <v>-33.835024882115214</v>
      </c>
      <c r="U68" s="22">
        <f>+[1]SANTILLANA!X69</f>
        <v>9.633405785321365</v>
      </c>
      <c r="V68" s="23">
        <f>+[1]SANTILLANA!Y69</f>
        <v>-2.2993337251728576</v>
      </c>
      <c r="W68" s="24" t="str">
        <f>IF(V68=0,"---",IF(OR(ABS((U68-V68)/ABS(V68))&gt;2,(U68*V68)&lt;0),"---",IF(V68="0","---",((U68-V68)/ABS(V68))*100)))</f>
        <v>---</v>
      </c>
      <c r="Z68" s="21" t="str">
        <f>+IF($B$3="esp","España","Spain")</f>
        <v>Spain</v>
      </c>
      <c r="AB68" s="22">
        <f>+[1]RADIO!T68</f>
        <v>25.024464700000099</v>
      </c>
      <c r="AC68" s="23">
        <f>+[1]RADIO!U68</f>
        <v>17.314473709999998</v>
      </c>
      <c r="AD68" s="24">
        <f t="shared" si="22"/>
        <v>44.529167441844827</v>
      </c>
      <c r="AF68" s="22">
        <f>+[1]RADIO!X68</f>
        <v>3.4758251299999969</v>
      </c>
      <c r="AG68" s="23">
        <f>+[1]RADIO!Y68</f>
        <v>4.2388372400000982</v>
      </c>
      <c r="AH68" s="24">
        <f t="shared" si="23"/>
        <v>-18.000505015853914</v>
      </c>
      <c r="AK68" s="25" t="str">
        <f>+IF($B$3="esp","PBS y Prisa Tecnología","PBS &amp; IT")</f>
        <v>PBS &amp; IT</v>
      </c>
      <c r="AL68" s="13"/>
      <c r="AM68" s="14">
        <f>+[1]NOTICIAS!T40</f>
        <v>-0.71394396662109005</v>
      </c>
      <c r="AN68" s="15">
        <f>+[1]NOTICIAS!U40</f>
        <v>-2.9766972949173303</v>
      </c>
      <c r="AO68" s="16">
        <f>IF(AN68=0,"---",IF(OR(ABS((AM68-AN68)/ABS(AN68))&gt;2,(AM68*AN68)&lt;0),"---",IF(AN68="0","---",((AM68-AN68)/ABS(AN68))*100)))</f>
        <v>76.015567056813609</v>
      </c>
      <c r="AQ68" s="14">
        <f>+[1]NOTICIAS!X40</f>
        <v>0.31414195659649025</v>
      </c>
      <c r="AR68" s="15">
        <f>+[1]NOTICIAS!Y40</f>
        <v>-2.2438545744369875E-2</v>
      </c>
      <c r="AS68" s="16" t="str">
        <f>IF(AR68=0,"---",IF(OR(ABS((AQ68-AR68)/ABS(AR68))&gt;2,(AQ68*AR68)&lt;0),"---",IF(AR68="0","---",((AQ68-AR68)/ABS(AR68))*100)))</f>
        <v>---</v>
      </c>
    </row>
    <row r="69" spans="4:45" ht="15" customHeight="1" thickTop="1">
      <c r="D69" s="31" t="str">
        <f>+IF($B$3="esp","Latam","Latam")</f>
        <v>Latam</v>
      </c>
      <c r="F69" s="22">
        <f>+[1]GRUPO!T70</f>
        <v>50.919290124386343</v>
      </c>
      <c r="G69" s="23">
        <f>+[1]GRUPO!U70</f>
        <v>76.712890557270882</v>
      </c>
      <c r="H69" s="24">
        <f>IF(G69=0,"---",IF(OR(ABS((F69-G69)/ABS(G69))&gt;2,(F69*G69)&lt;0),"---",IF(G69="0","---",((F69-G69)/ABS(G69))*100)))</f>
        <v>-33.623554327715013</v>
      </c>
      <c r="J69" s="22">
        <f>+[1]GRUPO!X70</f>
        <v>15.276743247507262</v>
      </c>
      <c r="K69" s="23">
        <f>+[1]GRUPO!Y70</f>
        <v>-0.41294503672826011</v>
      </c>
      <c r="L69" s="24" t="str">
        <f>IF(K69=0,"---",IF(OR(ABS((J69-K69)/ABS(K69))&gt;2,(J69*K69)&lt;0),"---",IF(K69="0","---",((J69-K69)/ABS(K69))*100)))</f>
        <v>---</v>
      </c>
      <c r="O69" s="31" t="str">
        <f>+IF($B$3="esp","Latam","Latam")</f>
        <v>Latam</v>
      </c>
      <c r="Q69" s="22">
        <f>+[1]SANTILLANA!T70</f>
        <v>43.114074595300934</v>
      </c>
      <c r="R69" s="23">
        <f>+[1]SANTILLANA!U70</f>
        <v>68.569988313923716</v>
      </c>
      <c r="S69" s="24">
        <f>IF(R69=0,"---",IF(OR(ABS((Q69-R69)/ABS(R69))&gt;2,(Q69*R69)&lt;0),"---",IF(R69="0","---",((Q69-R69)/ABS(R69))*100)))</f>
        <v>-37.123987249468065</v>
      </c>
      <c r="U69" s="22">
        <f>+[1]SANTILLANA!X70</f>
        <v>7.2487167853213634</v>
      </c>
      <c r="V69" s="23">
        <f>+[1]SANTILLANA!Y70</f>
        <v>-4.1910257251728638</v>
      </c>
      <c r="W69" s="24" t="str">
        <f>IF(V69=0,"---",IF(OR(ABS((U69-V69)/ABS(V69))&gt;2,(U69*V69)&lt;0),"---",IF(V69="0","---",((U69-V69)/ABS(V69))*100)))</f>
        <v>---</v>
      </c>
      <c r="Z69" s="21" t="str">
        <f>+IF($B$3="esp","Latam","Latam")</f>
        <v>Latam</v>
      </c>
      <c r="AB69" s="22">
        <f>+[1]RADIO!T69</f>
        <v>16.931259415898701</v>
      </c>
      <c r="AC69" s="23">
        <f>+[1]RADIO!U69</f>
        <v>13.641756025100699</v>
      </c>
      <c r="AD69" s="24">
        <f t="shared" si="22"/>
        <v>24.113489383224181</v>
      </c>
      <c r="AF69" s="22">
        <f>+[1]RADIO!X69</f>
        <v>10.223321476604522</v>
      </c>
      <c r="AG69" s="23">
        <f>+[1]RADIO!Y69</f>
        <v>5.2055300501433504</v>
      </c>
      <c r="AH69" s="24">
        <f t="shared" si="23"/>
        <v>96.393477285238049</v>
      </c>
      <c r="AK69" s="32" t="str">
        <f>+IF($B$3="esp","EBIT Contable Noticias Gestión","Total Press Reported EBIT")</f>
        <v>Total Press Reported EBIT</v>
      </c>
      <c r="AL69" s="33"/>
      <c r="AM69" s="50">
        <f>+[1]NOTICIAS!T41</f>
        <v>-6.1888904937896898</v>
      </c>
      <c r="AN69" s="35">
        <f>+[1]NOTICIAS!U41</f>
        <v>-9.3984665275235084</v>
      </c>
      <c r="AO69" s="36">
        <f>IF(AN69=0,"---",IF(OR(ABS((AM69-AN69)/ABS(AN69))&gt;2,(AM69*AN69)&lt;0),"---",IF(AN69="0","---",((AM69-AN69)/ABS(AN69))*100)))</f>
        <v>34.149996963169912</v>
      </c>
      <c r="AQ69" s="50">
        <f>+[1]NOTICIAS!X41</f>
        <v>-2.9710720010672595</v>
      </c>
      <c r="AR69" s="35">
        <f>+[1]NOTICIAS!Y41</f>
        <v>-2.3454043397849178</v>
      </c>
      <c r="AS69" s="36">
        <f>IF(AR69=0,"---",IF(OR(ABS((AQ69-AR69)/ABS(AR69))&gt;2,(AQ69*AR69)&lt;0),"---",IF(AR69="0","---",((AQ69-AR69)/ABS(AR69))*100)))</f>
        <v>-26.676324020945479</v>
      </c>
    </row>
    <row r="70" spans="4:45" ht="15" customHeight="1">
      <c r="D70" s="31" t="str">
        <f>+IF($B$3="esp","Portugal","Portugal")</f>
        <v>Portugal</v>
      </c>
      <c r="F70" s="22">
        <f>+[1]GRUPO!T71</f>
        <v>2.3778110399999899</v>
      </c>
      <c r="G70" s="23">
        <f>+[1]GRUPO!U71</f>
        <v>6.7876299999999933E-3</v>
      </c>
      <c r="H70" s="24" t="str">
        <f>IF(G70=0,"---",IF(OR(ABS((F70-G70)/ABS(G70))&gt;2,(F70*G70)&lt;0),"---",IF(G70="0","---",((F70-G70)/ABS(G70))*100)))</f>
        <v>---</v>
      </c>
      <c r="J70" s="22">
        <f>+[1]GRUPO!X71</f>
        <v>2.42697103999999</v>
      </c>
      <c r="K70" s="23">
        <f>+[1]GRUPO!Y71</f>
        <v>1.7771346299999999</v>
      </c>
      <c r="L70" s="24">
        <f>IF(K70=0,"---",IF(OR(ABS((J70-K70)/ABS(K70))&gt;2,(J70*K70)&lt;0),"---",IF(K70="0","---",((J70-K70)/ABS(K70))*100)))</f>
        <v>36.566526757738664</v>
      </c>
      <c r="O70" s="31" t="str">
        <f>+IF($B$3="esp","Portugal","Portugal")</f>
        <v>Portugal</v>
      </c>
      <c r="Q70" s="22">
        <f>+[1]SANTILLANA!T71</f>
        <v>2.3355290000000002</v>
      </c>
      <c r="R70" s="23">
        <f>+[1]SANTILLANA!U71</f>
        <v>0.12134499999999999</v>
      </c>
      <c r="S70" s="24" t="str">
        <f>IF(R70=0,"---",IF(OR(ABS((Q70-R70)/ABS(R70))&gt;2,(Q70*R70)&lt;0),"---",IF(R70="0","---",((Q70-R70)/ABS(R70))*100)))</f>
        <v>---</v>
      </c>
      <c r="U70" s="22">
        <f>+[1]SANTILLANA!X71</f>
        <v>2.3846890000000003</v>
      </c>
      <c r="V70" s="23">
        <f>+[1]SANTILLANA!Y71</f>
        <v>1.8916919999999999</v>
      </c>
      <c r="W70" s="24">
        <f>IF(V70=0,"---",IF(OR(ABS((U70-V70)/ABS(V70))&gt;2,(U70*V70)&lt;0),"---",IF(V70="0","---",((U70-V70)/ABS(V70))*100)))</f>
        <v>26.061166405524812</v>
      </c>
      <c r="Z70" s="21" t="str">
        <f>+IF($B$3="esp","Música","Music")</f>
        <v>Music</v>
      </c>
      <c r="AB70" s="22">
        <f>+[1]RADIO!T70</f>
        <v>-4.6556130000000001E-2</v>
      </c>
      <c r="AC70" s="23">
        <f>+[1]RADIO!U70</f>
        <v>0.111691285849216</v>
      </c>
      <c r="AD70" s="24" t="str">
        <f t="shared" si="22"/>
        <v>---</v>
      </c>
      <c r="AF70" s="22">
        <f>+[1]RADIO!X70</f>
        <v>1.4409999999999978E-3</v>
      </c>
      <c r="AG70" s="23">
        <f>+[1]RADIO!Y70</f>
        <v>0.43213141406590605</v>
      </c>
      <c r="AH70" s="24">
        <f t="shared" si="23"/>
        <v>-99.666536624486127</v>
      </c>
      <c r="AK70" s="25" t="str">
        <f>+IF($B$3="esp","EBIT Contable PRENSA","PRESS Reported EBIT")</f>
        <v>PRESS Reported EBIT</v>
      </c>
      <c r="AL70" s="13"/>
      <c r="AM70" s="14">
        <f>+[1]NOTICIAS!T42</f>
        <v>-4.0513872028003499</v>
      </c>
      <c r="AN70" s="15">
        <f>+[1]NOTICIAS!U42</f>
        <v>-6.0465751088147703</v>
      </c>
      <c r="AO70" s="16">
        <f>IF(AN70=0,"---",IF(OR(ABS((AM70-AN70)/ABS(AN70))&gt;2,(AM70*AN70)&lt;0),"---",IF(AN70="0","---",((AM70-AN70)/ABS(AN70))*100)))</f>
        <v>32.996992017941054</v>
      </c>
      <c r="AQ70" s="14">
        <f>+[1]NOTICIAS!X42</f>
        <v>-2.7929252921749002</v>
      </c>
      <c r="AR70" s="15">
        <f>+[1]NOTICIAS!Y42</f>
        <v>-2.2063655670953302</v>
      </c>
      <c r="AS70" s="16">
        <f>IF(AR70=0,"---",IF(OR(ABS((AQ70-AR70)/ABS(AR70))&gt;2,(AQ70*AR70)&lt;0),"---",IF(AR70="0","---",((AQ70-AR70)/ABS(AR70))*100)))</f>
        <v>-26.584883929809202</v>
      </c>
    </row>
    <row r="71" spans="4:45" s="27" customFormat="1" ht="15" customHeight="1">
      <c r="D71" s="26" t="str">
        <f>+IF($B$3="esp","Margen EBIT ","EBIT Margin")</f>
        <v>EBIT Margin</v>
      </c>
      <c r="F71" s="37">
        <f>+[1]GRUPO!T72</f>
        <v>6.2236220199032237E-2</v>
      </c>
      <c r="G71" s="38">
        <f>+[1]GRUPO!U72</f>
        <v>0.11981754968361086</v>
      </c>
      <c r="H71" s="39"/>
      <c r="J71" s="37">
        <f>+[1]GRUPO!X72</f>
        <v>0.18293496293007511</v>
      </c>
      <c r="K71" s="38">
        <f>+[1]GRUPO!Y72</f>
        <v>0.12424855117689172</v>
      </c>
      <c r="L71" s="39"/>
      <c r="O71" s="26" t="str">
        <f>+IF($B$3="esp","Margen EBIT ","EBIT Margin")</f>
        <v>EBIT Margin</v>
      </c>
      <c r="Q71" s="37">
        <f>+[1]SANTILLANA!T72</f>
        <v>0.18734124887351589</v>
      </c>
      <c r="R71" s="38">
        <f>+[1]SANTILLANA!U72</f>
        <v>0.20304740813628308</v>
      </c>
      <c r="S71" s="39"/>
      <c r="U71" s="37">
        <f>+[1]SANTILLANA!X72</f>
        <v>0.25278170527494781</v>
      </c>
      <c r="V71" s="38">
        <f>+[1]SANTILLANA!Y72</f>
        <v>0.18759085372852485</v>
      </c>
      <c r="W71" s="39"/>
      <c r="Z71" s="21" t="str">
        <f>+IF($B$3="esp","Ajustes y Otros","Adjustments &amp; others")</f>
        <v>Adjustments &amp; others</v>
      </c>
      <c r="AA71" s="1"/>
      <c r="AB71" s="22">
        <f>+[1]RADIO!T71</f>
        <v>-8.678700000009601E-2</v>
      </c>
      <c r="AC71" s="23">
        <f>+[1]RADIO!U71</f>
        <v>-0.42782999999981114</v>
      </c>
      <c r="AD71" s="24">
        <f t="shared" si="22"/>
        <v>79.714606268813696</v>
      </c>
      <c r="AF71" s="22">
        <f>+[1]RADIO!X71</f>
        <v>-2.339400000001321E-2</v>
      </c>
      <c r="AG71" s="23">
        <f>+[1]RADIO!Y71</f>
        <v>1.0000000001459952E-3</v>
      </c>
      <c r="AH71" s="24" t="str">
        <f t="shared" si="23"/>
        <v>---</v>
      </c>
      <c r="AK71" s="26" t="str">
        <f>+IF($B$3="esp","Margen EBIT ","EBIT Margin")</f>
        <v>EBIT Margin</v>
      </c>
      <c r="AM71" s="37">
        <f>+[1]NOTICIAS!T43</f>
        <v>-2.9705254799464231E-2</v>
      </c>
      <c r="AN71" s="38">
        <f>+[1]NOTICIAS!U43</f>
        <v>-4.1728894046246232E-2</v>
      </c>
      <c r="AO71" s="39"/>
      <c r="AQ71" s="37">
        <f>+[1]NOTICIAS!X43</f>
        <v>-6.6219331313452104E-2</v>
      </c>
      <c r="AR71" s="38">
        <f>+[1]NOTICIAS!Y43</f>
        <v>-4.9421272141131366E-2</v>
      </c>
      <c r="AS71" s="39"/>
    </row>
    <row r="72" spans="4:45" s="13" customFormat="1" ht="15" customHeight="1">
      <c r="D72" s="13" t="str">
        <f>+IF($B$3="esp","Resultado Financiero","Financial Result")</f>
        <v>Financial Result</v>
      </c>
      <c r="F72" s="14">
        <f>+[1]GRUPO!T73</f>
        <v>-61.435525641319302</v>
      </c>
      <c r="G72" s="15">
        <f>+[1]GRUPO!U73</f>
        <v>-62.167173532541611</v>
      </c>
      <c r="H72" s="16">
        <f t="shared" ref="H72:H80" si="28">IF(G72=0,"---",IF(OR(ABS((F72-G72)/ABS(G72))&gt;2,(F72*G72)&lt;0),"---",IF(G72="0","---",((F72-G72)/ABS(G72))*100)))</f>
        <v>1.1769039022488703</v>
      </c>
      <c r="J72" s="14">
        <f>+[1]GRUPO!X73</f>
        <v>-21.976677437270396</v>
      </c>
      <c r="K72" s="15">
        <f>+[1]GRUPO!Y73</f>
        <v>-19.660346486366308</v>
      </c>
      <c r="L72" s="16">
        <f t="shared" ref="L72:L80" si="29">IF(K72=0,"---",IF(OR(ABS((J72-K72)/ABS(K72))&gt;2,(J72*K72)&lt;0),"---",IF(K72="0","---",((J72-K72)/ABS(K72))*100)))</f>
        <v>-11.781740227774595</v>
      </c>
      <c r="O72" s="1"/>
      <c r="P72" s="1"/>
      <c r="Q72" s="1"/>
      <c r="R72" s="1"/>
      <c r="S72" s="1"/>
      <c r="U72" s="1"/>
      <c r="V72" s="1"/>
      <c r="W72" s="1"/>
      <c r="Z72" s="26" t="str">
        <f>+IF($B$3="esp","Margen EBITDA ","EBITDA Margin")</f>
        <v>EBITDA Margin</v>
      </c>
      <c r="AA72" s="27"/>
      <c r="AB72" s="37">
        <f>+[1]RADIO!T72</f>
        <v>0.21297465471263777</v>
      </c>
      <c r="AC72" s="38">
        <f>+[1]RADIO!U72</f>
        <v>0.14962647166945769</v>
      </c>
      <c r="AD72" s="39"/>
      <c r="AF72" s="37">
        <f>+[1]RADIO!X72</f>
        <v>0.221054639259537</v>
      </c>
      <c r="AG72" s="38">
        <f>+[1]RADIO!Y72</f>
        <v>0.14356698651346636</v>
      </c>
      <c r="AH72" s="39"/>
      <c r="AK72" s="25" t="str">
        <f>+IF($B$3="esp","PBS y Prisa Tecnología","PBS &amp; IT")</f>
        <v>PBS &amp; IT</v>
      </c>
      <c r="AM72" s="14">
        <f>+[1]NOTICIAS!T44</f>
        <v>-2.1375032909893399</v>
      </c>
      <c r="AN72" s="15">
        <f>+[1]NOTICIAS!U44</f>
        <v>-3.3518914187087381</v>
      </c>
      <c r="AO72" s="16">
        <f>IF(AN72=0,"---",IF(OR(ABS((AM72-AN72)/ABS(AN72))&gt;2,(AM72*AN72)&lt;0),"---",IF(AN72="0","---",((AM72-AN72)/ABS(AN72))*100)))</f>
        <v>36.229936355970068</v>
      </c>
      <c r="AQ72" s="14">
        <f>+[1]NOTICIAS!X44</f>
        <v>-0.1781467088923594</v>
      </c>
      <c r="AR72" s="15">
        <f>+[1]NOTICIAS!Y44</f>
        <v>-0.13903877268958764</v>
      </c>
      <c r="AS72" s="16">
        <f>IF(AR72=0,"---",IF(OR(ABS((AQ72-AR72)/ABS(AR72))&gt;2,(AQ72*AR72)&lt;0),"---",IF(AR72="0","---",((AQ72-AR72)/ABS(AR72))*100)))</f>
        <v>-28.127360049475232</v>
      </c>
    </row>
    <row r="73" spans="4:45" ht="15" customHeight="1">
      <c r="D73" s="21" t="str">
        <f>+IF($B$3="esp","Gastos por intereses de financiación","Interests on debt")</f>
        <v>Interests on debt</v>
      </c>
      <c r="F73" s="22">
        <f>+[1]GRUPO!T74</f>
        <v>-44.158677069347199</v>
      </c>
      <c r="G73" s="23">
        <f>+[1]GRUPO!U74</f>
        <v>-37.186007778383797</v>
      </c>
      <c r="H73" s="24">
        <f t="shared" si="28"/>
        <v>-18.750787480382904</v>
      </c>
      <c r="J73" s="22">
        <f>+[1]GRUPO!X74</f>
        <v>-15.651786847649802</v>
      </c>
      <c r="K73" s="23">
        <f>+[1]GRUPO!Y74</f>
        <v>-13.488624533651297</v>
      </c>
      <c r="L73" s="24">
        <f t="shared" si="29"/>
        <v>-16.036937707042462</v>
      </c>
      <c r="Z73" s="13" t="str">
        <f>+IF($B$3="esp","EBIT","EBIT")</f>
        <v>EBIT</v>
      </c>
      <c r="AA73" s="13"/>
      <c r="AB73" s="14">
        <f>+[1]RADIO!T73</f>
        <v>28.3653771076156</v>
      </c>
      <c r="AC73" s="15">
        <f>+[1]RADIO!U73</f>
        <v>24.692249248669199</v>
      </c>
      <c r="AD73" s="16">
        <f>IF(AC73=0,"---",IF(OR(ABS((AB73-AC73)/ABS(AC73))&gt;2,(AB73*AC73)&lt;0),"---",IF(AC73="0","---",((AB73-AC73)/ABS(AC73))*100)))</f>
        <v>14.875630899215736</v>
      </c>
      <c r="AF73" s="14">
        <f>+[1]RADIO!X73</f>
        <v>9.3572877868645996</v>
      </c>
      <c r="AG73" s="15">
        <f>+[1]RADIO!Y73</f>
        <v>7.9401448720239998</v>
      </c>
      <c r="AH73" s="16">
        <f>IF(AG73=0,"---",IF(OR(ABS((AF73-AG73)/ABS(AG73))&gt;2,(AF73*AG73)&lt;0),"---",IF(AG73="0","---",((AF73-AG73)/ABS(AG73))*100)))</f>
        <v>17.847821893448149</v>
      </c>
    </row>
    <row r="74" spans="4:45" ht="15" customHeight="1">
      <c r="D74" s="21" t="str">
        <f>+IF($B$3="esp","Otros resultados financieros","Other financial results")</f>
        <v>Other financial results</v>
      </c>
      <c r="F74" s="22">
        <f>+[1]GRUPO!T75</f>
        <v>-17.276848571972103</v>
      </c>
      <c r="G74" s="23">
        <f>+[1]GRUPO!U75</f>
        <v>-24.981165754157814</v>
      </c>
      <c r="H74" s="24">
        <f t="shared" si="28"/>
        <v>30.840503033383943</v>
      </c>
      <c r="J74" s="22">
        <f>+[1]GRUPO!X75</f>
        <v>-6.324890589620594</v>
      </c>
      <c r="K74" s="23">
        <f>+[1]GRUPO!Y75</f>
        <v>-6.1717219527150107</v>
      </c>
      <c r="L74" s="24">
        <f t="shared" si="29"/>
        <v>-2.4817812286278178</v>
      </c>
      <c r="Z74" s="21" t="str">
        <f>+IF($B$3="esp","España","Spain")</f>
        <v>Spain</v>
      </c>
      <c r="AB74" s="22">
        <f>+[1]RADIO!T74</f>
        <v>16.5681210300001</v>
      </c>
      <c r="AC74" s="23">
        <f>+[1]RADIO!U74</f>
        <v>13.209944300000101</v>
      </c>
      <c r="AD74" s="24">
        <f>IF(AC74=0,"---",IF(OR(ABS((AB74-AC74)/ABS(AC74))&gt;2,(AB74*AC74)&lt;0),"---",IF(AC74="0","---",((AB74-AC74)/ABS(AC74))*100)))</f>
        <v>25.421581300687034</v>
      </c>
      <c r="AF74" s="22">
        <f>+[1]RADIO!X74</f>
        <v>0.67812074000000244</v>
      </c>
      <c r="AG74" s="23">
        <f>+[1]RADIO!Y74</f>
        <v>2.8922196400001035</v>
      </c>
      <c r="AH74" s="24">
        <f>IF(AG74=0,"---",IF(OR(ABS((AF74-AG74)/ABS(AG74))&gt;2,(AF74*AG74)&lt;0),"---",IF(AG74="0","---",((AF74-AG74)/ABS(AG74))*100)))</f>
        <v>-76.553622324479548</v>
      </c>
    </row>
    <row r="75" spans="4:45" s="13" customFormat="1" ht="15" customHeight="1">
      <c r="D75" s="13" t="str">
        <f>+IF($B$3="esp","Resultado puesta en equivalencia","Result from associates")</f>
        <v>Result from associates</v>
      </c>
      <c r="F75" s="14">
        <f>+[1]GRUPO!T76</f>
        <v>1.13788140134777</v>
      </c>
      <c r="G75" s="15">
        <f>+[1]GRUPO!U76</f>
        <v>3.0623384392276396</v>
      </c>
      <c r="H75" s="16">
        <f t="shared" si="28"/>
        <v>-62.842728720906557</v>
      </c>
      <c r="J75" s="14">
        <f>+[1]GRUPO!X76</f>
        <v>0.54172976482838409</v>
      </c>
      <c r="K75" s="15">
        <f>+[1]GRUPO!Y76</f>
        <v>0.62306511645319951</v>
      </c>
      <c r="L75" s="16">
        <f t="shared" si="29"/>
        <v>-13.054069225993137</v>
      </c>
      <c r="Z75" s="21" t="str">
        <f>+IF($B$3="esp","Latam","Latam")</f>
        <v>Latam</v>
      </c>
      <c r="AA75" s="1"/>
      <c r="AB75" s="22">
        <f>+[1]RADIO!T75</f>
        <v>11.9305992076153</v>
      </c>
      <c r="AC75" s="23">
        <f>+[1]RADIO!U75</f>
        <v>11.802454299018001</v>
      </c>
      <c r="AD75" s="24">
        <f>IF(AC75=0,"---",IF(OR(ABS((AB75-AC75)/ABS(AC75))&gt;2,(AB75*AC75)&lt;0),"---",IF(AC75="0","---",((AB75-AC75)/ABS(AC75))*100)))</f>
        <v>1.0857479753847594</v>
      </c>
      <c r="AE75" s="1"/>
      <c r="AF75" s="22">
        <f>+[1]RADIO!X75</f>
        <v>8.7011200468644709</v>
      </c>
      <c r="AG75" s="23">
        <f>+[1]RADIO!Y75</f>
        <v>4.6161332466632805</v>
      </c>
      <c r="AH75" s="24">
        <f>IF(AG75=0,"---",IF(OR(ABS((AF75-AG75)/ABS(AG75))&gt;2,(AF75*AG75)&lt;0),"---",IF(AG75="0","---",((AF75-AG75)/ABS(AG75))*100)))</f>
        <v>88.493693355883451</v>
      </c>
    </row>
    <row r="76" spans="4:45" s="13" customFormat="1" ht="15" customHeight="1">
      <c r="D76" s="13" t="str">
        <f>+IF($B$3="esp","Resultado antes de impuestos","Profit before tax")</f>
        <v>Profit before tax</v>
      </c>
      <c r="F76" s="14">
        <f>+[1]GRUPO!T77</f>
        <v>-10.702478935586029</v>
      </c>
      <c r="G76" s="15">
        <f>+[1]GRUPO!U77</f>
        <v>39.540368863957561</v>
      </c>
      <c r="H76" s="16" t="str">
        <f t="shared" si="28"/>
        <v>---</v>
      </c>
      <c r="J76" s="14">
        <f>+[1]GRUPO!X77</f>
        <v>35.497766175064484</v>
      </c>
      <c r="K76" s="15">
        <f>+[1]GRUPO!Y77</f>
        <v>15.876220863359194</v>
      </c>
      <c r="L76" s="16">
        <f t="shared" si="29"/>
        <v>123.590780706446</v>
      </c>
      <c r="Z76" s="21" t="str">
        <f>+IF($B$3="esp","Música","Music")</f>
        <v>Music</v>
      </c>
      <c r="AA76" s="1"/>
      <c r="AB76" s="22">
        <f>+[1]RADIO!T76</f>
        <v>-4.6556130000000001E-2</v>
      </c>
      <c r="AC76" s="23">
        <f>+[1]RADIO!U76</f>
        <v>0.107680649651046</v>
      </c>
      <c r="AD76" s="24" t="str">
        <f>IF(AC76=0,"---",IF(OR(ABS((AB76-AC76)/ABS(AC76))&gt;2,(AB76*AC76)&lt;0),"---",IF(AC76="0","---",((AB76-AC76)/ABS(AC76))*100)))</f>
        <v>---</v>
      </c>
      <c r="AE76" s="1"/>
      <c r="AF76" s="22">
        <f>+[1]RADIO!X76</f>
        <v>1.4409999999999978E-3</v>
      </c>
      <c r="AG76" s="23">
        <f>+[1]RADIO!Y76</f>
        <v>0.43079198536063301</v>
      </c>
      <c r="AH76" s="24">
        <f>IF(AG76=0,"---",IF(OR(ABS((AF76-AG76)/ABS(AG76))&gt;2,(AF76*AG76)&lt;0),"---",IF(AG76="0","---",((AF76-AG76)/ABS(AG76))*100)))</f>
        <v>-99.665499812213611</v>
      </c>
    </row>
    <row r="77" spans="4:45" ht="15" customHeight="1">
      <c r="D77" s="21" t="str">
        <f>+IF($B$3="esp","Impuesto sobre sociedades","Income tax expense")</f>
        <v>Income tax expense</v>
      </c>
      <c r="F77" s="22">
        <f>+[1]GRUPO!T78</f>
        <v>29.56358476505785</v>
      </c>
      <c r="G77" s="23">
        <f>+[1]GRUPO!U78</f>
        <v>32.107569207245199</v>
      </c>
      <c r="H77" s="24">
        <f t="shared" si="28"/>
        <v>-7.9233168533147253</v>
      </c>
      <c r="J77" s="22">
        <f>+[1]GRUPO!X78</f>
        <v>16.446725799241889</v>
      </c>
      <c r="K77" s="23">
        <f>+[1]GRUPO!Y78</f>
        <v>13.599780242584561</v>
      </c>
      <c r="L77" s="24">
        <f t="shared" si="29"/>
        <v>20.933761471694798</v>
      </c>
      <c r="Z77" s="21" t="str">
        <f>+IF($B$3="esp","Ajustes y Otros","Adjustments &amp; others")</f>
        <v>Adjustments &amp; others</v>
      </c>
      <c r="AB77" s="22">
        <f>+[1]RADIO!T77</f>
        <v>-8.6786999999799358E-2</v>
      </c>
      <c r="AC77" s="23">
        <f>+[1]RADIO!U77</f>
        <v>-0.42782999999994858</v>
      </c>
      <c r="AD77" s="24">
        <f>IF(AC77=0,"---",IF(OR(ABS((AB77-AC77)/ABS(AC77))&gt;2,(AB77*AC77)&lt;0),"---",IF(AC77="0","---",((AB77-AC77)/ABS(AC77))*100)))</f>
        <v>79.714606268889554</v>
      </c>
      <c r="AE77" s="27"/>
      <c r="AF77" s="22">
        <f>+[1]RADIO!X77</f>
        <v>-2.3393999999872878E-2</v>
      </c>
      <c r="AG77" s="23">
        <f>+[1]RADIO!Y77</f>
        <v>9.9999999998279243E-4</v>
      </c>
      <c r="AH77" s="24" t="str">
        <f>IF(AG77=0,"---",IF(OR(ABS((AF77-AG77)/ABS(AG77))&gt;2,(AF77*AG77)&lt;0),"---",IF(AG77="0","---",((AF77-AG77)/ABS(AG77))*100)))</f>
        <v>---</v>
      </c>
    </row>
    <row r="78" spans="4:45" s="13" customFormat="1" ht="15" customHeight="1">
      <c r="D78" s="13" t="str">
        <f>+IF($B$3="esp","Resultado operaciones en discontinuación","Results from discontinued activities")</f>
        <v>Results from discontinued activities</v>
      </c>
      <c r="F78" s="14">
        <f>+[1]GRUPO!T79</f>
        <v>-69.859885081028111</v>
      </c>
      <c r="G78" s="15">
        <f>+[1]GRUPO!U79</f>
        <v>12.663824840376201</v>
      </c>
      <c r="H78" s="16" t="str">
        <f t="shared" si="28"/>
        <v>---</v>
      </c>
      <c r="J78" s="14">
        <f>+[1]GRUPO!X79</f>
        <v>-76.871206105722337</v>
      </c>
      <c r="K78" s="15">
        <f>+[1]GRUPO!Y79</f>
        <v>1.7951525690375991</v>
      </c>
      <c r="L78" s="16" t="str">
        <f t="shared" si="29"/>
        <v>---</v>
      </c>
      <c r="Z78" s="26" t="str">
        <f>+IF($B$3="esp","Margen EBIT ","EBIT Margin")</f>
        <v>EBIT Margin</v>
      </c>
      <c r="AA78" s="27"/>
      <c r="AB78" s="37">
        <f>+[1]RADIO!T78</f>
        <v>0.14444673528570931</v>
      </c>
      <c r="AC78" s="38">
        <f>+[1]RADIO!U78</f>
        <v>0.12058104299151738</v>
      </c>
      <c r="AD78" s="39"/>
      <c r="AF78" s="37">
        <f>+[1]RADIO!X78</f>
        <v>0.15123510975045293</v>
      </c>
      <c r="AG78" s="38">
        <f>+[1]RADIO!Y78</f>
        <v>0.11540803050381859</v>
      </c>
      <c r="AH78" s="39"/>
    </row>
    <row r="79" spans="4:45" s="13" customFormat="1" ht="15" customHeight="1">
      <c r="D79" s="13" t="str">
        <f>+IF($B$3="esp","Resultado atribuido a socios externos","Minority interest")</f>
        <v>Minority interest</v>
      </c>
      <c r="F79" s="14">
        <f>+[1]GRUPO!T80</f>
        <v>0.31189006975065148</v>
      </c>
      <c r="G79" s="15">
        <f>+[1]GRUPO!U80</f>
        <v>23.0640010601565</v>
      </c>
      <c r="H79" s="16">
        <f t="shared" si="28"/>
        <v>-98.647719149261363</v>
      </c>
      <c r="J79" s="14">
        <f>+[1]GRUPO!X80</f>
        <v>1.0696159104756386</v>
      </c>
      <c r="K79" s="15">
        <f>+[1]GRUPO!Y80</f>
        <v>7.4413496825367993</v>
      </c>
      <c r="L79" s="16">
        <f t="shared" si="29"/>
        <v>-85.626049626645141</v>
      </c>
      <c r="Z79" s="1"/>
      <c r="AA79" s="1"/>
      <c r="AB79" s="1"/>
      <c r="AC79" s="1"/>
      <c r="AD79" s="1"/>
      <c r="AE79" s="1"/>
      <c r="AF79" s="1"/>
      <c r="AG79" s="1"/>
      <c r="AH79" s="1"/>
    </row>
    <row r="80" spans="4:45" s="13" customFormat="1" ht="15" customHeight="1">
      <c r="D80" s="13" t="str">
        <f>+IF($B$3="esp","Resultado Neto","Net Profit")</f>
        <v>Net Profit</v>
      </c>
      <c r="F80" s="14">
        <f>+[1]GRUPO!T81</f>
        <v>-110.43783885142301</v>
      </c>
      <c r="G80" s="15">
        <f>+[1]GRUPO!U81</f>
        <v>-2.9673765630683335</v>
      </c>
      <c r="H80" s="16" t="str">
        <f t="shared" si="28"/>
        <v>---</v>
      </c>
      <c r="J80" s="14">
        <f>+[1]GRUPO!X81</f>
        <v>-58.88978164037551</v>
      </c>
      <c r="K80" s="15">
        <f>+[1]GRUPO!Y81</f>
        <v>-3.3697564927239068</v>
      </c>
      <c r="L80" s="16" t="str">
        <f t="shared" si="29"/>
        <v>---</v>
      </c>
    </row>
    <row r="81" spans="4:47">
      <c r="D81" s="21" t="str">
        <f>+IF($A$1="esp","Deterioro por venta MC","MC impairment")</f>
        <v>MC impairment</v>
      </c>
      <c r="F81" s="22">
        <f>+[1]GRUPO!T82</f>
        <v>-76.379000000000005</v>
      </c>
      <c r="G81" s="23">
        <f>+[1]GRUPO!U82</f>
        <v>0</v>
      </c>
      <c r="H81" s="24" t="str">
        <f>IF(G81=0,"---",IF(OR(ABS((F81-G81)/ABS(G81))&gt;2,(F81*G81)&lt;0),"---",IF(G81="0","---",((F81-G81)/ABS(G81))*100)))</f>
        <v>---</v>
      </c>
      <c r="J81" s="22">
        <f>+[1]GRUPO!X82</f>
        <v>-76.379000000000005</v>
      </c>
      <c r="K81" s="23">
        <f>+[1]GRUPO!Y82</f>
        <v>0</v>
      </c>
      <c r="L81" s="24" t="str">
        <f>IF(K81=0,"---",IF(OR(ABS((J81-K81)/ABS(K81))&gt;2,(J81*K81)&lt;0),"---",IF(K81="0","---",((J81-K81)/ABS(K81))*100)))</f>
        <v>---</v>
      </c>
      <c r="Z81" s="13"/>
      <c r="AA81" s="13"/>
      <c r="AB81" s="13"/>
      <c r="AC81" s="13"/>
      <c r="AD81" s="13"/>
      <c r="AE81" s="13"/>
      <c r="AF81" s="13"/>
      <c r="AG81" s="13"/>
      <c r="AH81" s="13"/>
    </row>
    <row r="82" spans="4:47">
      <c r="D82" s="21" t="str">
        <f>+IF($A$1="esp","Sentencia Mediapro","Mediapro sentence")</f>
        <v>Mediapro sentence</v>
      </c>
      <c r="F82" s="22">
        <f>+[1]GRUPO!T83</f>
        <v>-40.828660400000004</v>
      </c>
      <c r="G82" s="23">
        <f>+[1]GRUPO!U83</f>
        <v>0</v>
      </c>
      <c r="H82" s="24" t="str">
        <f>IF(G82=0,"---",IF(OR(ABS((F82-G82)/ABS(G82))&gt;2,(F82*G82)&lt;0),"---",IF(G82="0","---",((F82-G82)/ABS(G82))*100)))</f>
        <v>---</v>
      </c>
      <c r="J82" s="22">
        <f>+[1]GRUPO!X83</f>
        <v>0</v>
      </c>
      <c r="K82" s="23">
        <f>+[1]GRUPO!Y83</f>
        <v>0</v>
      </c>
      <c r="L82" s="24" t="str">
        <f>IF(K82=0,"---",IF(OR(ABS((J82-K82)/ABS(K82))&gt;2,(J82*K82)&lt;0),"---",IF(K82="0","---",((J82-K82)/ABS(K82))*100)))</f>
        <v>---</v>
      </c>
      <c r="Z82" s="13"/>
      <c r="AA82" s="13"/>
      <c r="AB82" s="13"/>
      <c r="AC82" s="13"/>
      <c r="AD82" s="13"/>
      <c r="AE82" s="13"/>
      <c r="AF82" s="13"/>
      <c r="AG82" s="13"/>
      <c r="AH82" s="13"/>
    </row>
    <row r="83" spans="4:47">
      <c r="D83" s="21" t="str">
        <f>+IF($A$1="esp","NIIF16","IFRS16")</f>
        <v>IFRS16</v>
      </c>
      <c r="F83" s="22">
        <f>+[1]GRUPO!T84</f>
        <v>0</v>
      </c>
      <c r="G83" s="23">
        <f>+[1]GRUPO!U84</f>
        <v>-3.9480821973919338</v>
      </c>
      <c r="H83" s="24">
        <f>IF(G83=0,"---",IF(OR(ABS((F83-G83)/ABS(G83))&gt;2,(F83*G83)&lt;0),"---",IF(G83="0","---",((F83-G83)/ABS(G83))*100)))</f>
        <v>100</v>
      </c>
      <c r="J83" s="22">
        <f>+[1]GRUPO!X84</f>
        <v>0</v>
      </c>
      <c r="K83" s="23">
        <f>+[1]GRUPO!Y84</f>
        <v>-1.3793002967819761</v>
      </c>
      <c r="L83" s="24">
        <f>IF(K83=0,"---",IF(OR(ABS((J83-K83)/ABS(K83))&gt;2,(J83*K83)&lt;0),"---",IF(K83="0","---",((J83-K83)/ABS(K83))*100)))</f>
        <v>100</v>
      </c>
      <c r="Z83" s="13"/>
      <c r="AA83" s="13"/>
      <c r="AB83" s="13"/>
      <c r="AC83" s="13"/>
      <c r="AD83" s="13"/>
      <c r="AE83" s="13"/>
      <c r="AF83" s="13"/>
      <c r="AG83" s="13"/>
      <c r="AH83" s="13"/>
    </row>
    <row r="84" spans="4:47">
      <c r="D84" s="13" t="str">
        <f>+IF($B$3="esp","Resultado Neto Comparable","Comparable Net Profit")</f>
        <v>Comparable Net Profit</v>
      </c>
      <c r="F84" s="14">
        <f>+[1]GRUPO!T85</f>
        <v>6.7698215485780313</v>
      </c>
      <c r="G84" s="15">
        <f>+[1]GRUPO!U85</f>
        <v>-6.9154587604602673</v>
      </c>
      <c r="H84" s="16" t="str">
        <f>IF(G84=0,"---",IF(OR(ABS((F84-G84)/ABS(G84))&gt;2,(F84*G84)&lt;0),"---",IF(G84="0","---",((F84-G84)/ABS(G84))*100)))</f>
        <v>---</v>
      </c>
      <c r="J84" s="14">
        <f>+[1]GRUPO!X85</f>
        <v>17.489218359626122</v>
      </c>
      <c r="K84" s="15">
        <f>+[1]GRUPO!Y85</f>
        <v>-4.7490567895058824</v>
      </c>
      <c r="L84" s="16" t="str">
        <f>IF(K84=0,"---",IF(OR(ABS((J84-K84)/ABS(K84))&gt;2,(J84*K84)&lt;0),"---",IF(K84="0","---",((J84-K84)/ABS(K84))*100)))</f>
        <v>---</v>
      </c>
      <c r="Z84" s="13"/>
      <c r="AA84" s="13"/>
      <c r="AB84" s="13"/>
      <c r="AC84" s="13"/>
      <c r="AD84" s="13"/>
      <c r="AE84" s="13"/>
      <c r="AF84" s="13"/>
      <c r="AG84" s="13"/>
      <c r="AH84" s="13"/>
    </row>
    <row r="85" spans="4:47">
      <c r="Z85" s="13"/>
      <c r="AA85" s="13"/>
      <c r="AB85" s="13"/>
      <c r="AC85" s="13"/>
      <c r="AD85" s="13"/>
      <c r="AE85" s="13"/>
      <c r="AF85" s="13"/>
      <c r="AG85" s="13"/>
      <c r="AH85" s="13"/>
    </row>
    <row r="86" spans="4:47">
      <c r="Z86" s="13"/>
      <c r="AA86" s="13"/>
      <c r="AB86" s="13"/>
      <c r="AC86" s="13"/>
      <c r="AD86" s="13"/>
      <c r="AE86" s="13"/>
      <c r="AF86" s="13"/>
      <c r="AG86" s="13"/>
      <c r="AH86" s="13"/>
    </row>
    <row r="87" spans="4:47">
      <c r="Z87" s="13"/>
      <c r="AA87" s="13"/>
      <c r="AB87" s="13"/>
      <c r="AC87" s="13"/>
      <c r="AD87" s="13"/>
      <c r="AE87" s="13"/>
      <c r="AF87" s="13"/>
      <c r="AG87" s="13"/>
      <c r="AH87" s="13"/>
    </row>
    <row r="88" spans="4:47">
      <c r="Z88" s="13"/>
      <c r="AA88" s="13"/>
      <c r="AB88" s="13"/>
      <c r="AC88" s="13"/>
      <c r="AD88" s="13"/>
      <c r="AE88" s="13"/>
      <c r="AF88" s="13"/>
      <c r="AG88" s="13"/>
      <c r="AH88" s="13"/>
    </row>
    <row r="89" spans="4:47"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</row>
    <row r="90" spans="4:47">
      <c r="Z90" s="13"/>
      <c r="AA90" s="13"/>
      <c r="AB90" s="13"/>
      <c r="AC90" s="13"/>
      <c r="AD90" s="13"/>
      <c r="AE90" s="13"/>
      <c r="AF90" s="13"/>
      <c r="AG90" s="13"/>
      <c r="AH90" s="13"/>
    </row>
    <row r="91" spans="4:47">
      <c r="F91" s="7" t="str">
        <f>+F6</f>
        <v>JANUARY - SEPTEMBER</v>
      </c>
      <c r="G91" s="8"/>
      <c r="H91" s="8"/>
      <c r="J91" s="7" t="str">
        <f>+J6</f>
        <v>JULY - SEPTEMBER</v>
      </c>
      <c r="K91" s="8"/>
      <c r="L91" s="8"/>
    </row>
    <row r="93" spans="4:47">
      <c r="D93" s="9" t="str">
        <f>+IF($B$3="esp","Millones de €","€ Millions")</f>
        <v>€ Millions</v>
      </c>
      <c r="F93" s="10">
        <v>2019</v>
      </c>
      <c r="G93" s="10">
        <v>2018</v>
      </c>
      <c r="H93" s="10" t="s">
        <v>5</v>
      </c>
      <c r="I93" s="13"/>
      <c r="J93" s="10">
        <v>2019</v>
      </c>
      <c r="K93" s="10">
        <v>2018</v>
      </c>
      <c r="L93" s="10" t="s">
        <v>5</v>
      </c>
      <c r="M93" s="13"/>
      <c r="O93" s="9" t="str">
        <f>+IF($B$3="esp","Millones de €","€ Millions")</f>
        <v>€ Millions</v>
      </c>
      <c r="Q93" s="10">
        <v>2019</v>
      </c>
      <c r="R93" s="10">
        <v>2018</v>
      </c>
      <c r="S93" s="10" t="s">
        <v>5</v>
      </c>
      <c r="U93" s="10">
        <v>2019</v>
      </c>
      <c r="V93" s="10">
        <v>2018</v>
      </c>
      <c r="W93" s="10" t="s">
        <v>5</v>
      </c>
      <c r="Z93" s="9" t="str">
        <f>+IF($B$3="esp","Millones de €","€ Millions")</f>
        <v>€ Millions</v>
      </c>
      <c r="AB93" s="10">
        <v>2019</v>
      </c>
      <c r="AC93" s="10">
        <v>2018</v>
      </c>
      <c r="AD93" s="10" t="s">
        <v>5</v>
      </c>
      <c r="AF93" s="10">
        <v>2019</v>
      </c>
      <c r="AG93" s="10">
        <v>2018</v>
      </c>
      <c r="AH93" s="10" t="s">
        <v>5</v>
      </c>
      <c r="AK93" s="9" t="str">
        <f>+IF($B$3="esp","Millones de €","€ Millions")</f>
        <v>€ Millions</v>
      </c>
      <c r="AM93" s="10">
        <v>2019</v>
      </c>
      <c r="AN93" s="10">
        <v>2018</v>
      </c>
      <c r="AO93" s="10" t="str">
        <f>+IF($B$3="esp","Var.%","% Chg.")</f>
        <v>% Chg.</v>
      </c>
      <c r="AQ93" s="10">
        <v>2019</v>
      </c>
      <c r="AR93" s="10">
        <v>2018</v>
      </c>
      <c r="AS93" s="10" t="str">
        <f>+IF($B$3="esp","Var.%","% Chg.")</f>
        <v>% Chg.</v>
      </c>
    </row>
    <row r="94" spans="4:47" ht="15.75" customHeight="1">
      <c r="D94" s="11" t="str">
        <f>+IF($B$3="esp","Efecto Sentencia Mediapro y NIIF16","Mediapro sentence &amp; IFRS16 Effect")</f>
        <v>Mediapro sentence &amp; IFRS16 Effect</v>
      </c>
      <c r="F94" s="12"/>
      <c r="G94" s="12"/>
      <c r="H94" s="12"/>
      <c r="J94" s="12"/>
      <c r="K94" s="12"/>
      <c r="L94" s="12"/>
      <c r="O94" s="11" t="str">
        <f>+IF($B$3="esp","Efecto NIIF16","IFRS16 Effect")</f>
        <v>IFRS16 Effect</v>
      </c>
      <c r="Q94" s="12"/>
      <c r="R94" s="12"/>
      <c r="S94" s="12"/>
      <c r="U94" s="12"/>
      <c r="V94" s="12"/>
      <c r="W94" s="12"/>
      <c r="Z94" s="11" t="str">
        <f>+IF($B$3="esp","Efecto NIIF16","IFRS16 Effect")</f>
        <v>IFRS16 Effect</v>
      </c>
      <c r="AB94" s="12"/>
      <c r="AC94" s="12"/>
      <c r="AD94" s="12"/>
      <c r="AF94" s="12"/>
      <c r="AG94" s="12"/>
      <c r="AH94" s="12"/>
      <c r="AK94" s="11" t="str">
        <f>+IF($B$3="esp","Efecto NIIF16","IFRS16 Effect")</f>
        <v>IFRS16 Effect</v>
      </c>
      <c r="AM94" s="12"/>
      <c r="AN94" s="12"/>
      <c r="AO94" s="12"/>
      <c r="AQ94" s="12"/>
      <c r="AR94" s="12"/>
      <c r="AS94" s="12"/>
    </row>
    <row r="95" spans="4:47" s="13" customFormat="1" ht="15" customHeight="1">
      <c r="D95" s="13" t="str">
        <f>+IF($B$3="esp","Efectos extraordinarios en Ingresos","One-offs in Operating Revenues")</f>
        <v>One-offs in Operating Revenues</v>
      </c>
      <c r="F95" s="14"/>
      <c r="G95" s="15"/>
      <c r="H95" s="16" t="str">
        <f>IF(G95=0,"---",IF(OR(ABS((F95-G95)/ABS(G95))&gt;2,(F95*G95)&lt;0),"---",IF(G95="0","---",((F95-G95)/ABS(G95))*100)))</f>
        <v>---</v>
      </c>
      <c r="I95" s="1"/>
      <c r="J95" s="14"/>
      <c r="K95" s="15"/>
      <c r="L95" s="16" t="str">
        <f>IF(K95=0,"---",IF(OR(ABS((J95-K95)/ABS(K95))&gt;2,(J95*K95)&lt;0),"---",IF(K95="0","---",((J95-K95)/ABS(K95))*100)))</f>
        <v>---</v>
      </c>
      <c r="M95" s="1"/>
      <c r="O95" s="13" t="str">
        <f>+IF($B$3="esp","Efectos extraordinarios en Ingresos","One-offs in Operating Revenues")</f>
        <v>One-offs in Operating Revenues</v>
      </c>
      <c r="Q95" s="14">
        <f>+[1]SANTILLANA!AC80</f>
        <v>0</v>
      </c>
      <c r="R95" s="15">
        <f>+[1]SANTILLANA!AD80</f>
        <v>0</v>
      </c>
      <c r="S95" s="16" t="str">
        <f>IF(R95=0,"---",IF(OR(ABS((Q95-R95)/ABS(R95))&gt;2,(Q95*R95)&lt;0),"---",IF(R95="0","---",((Q95-R95)/ABS(R95))*100)))</f>
        <v>---</v>
      </c>
      <c r="U95" s="14">
        <f>+[1]SANTILLANA!AG80</f>
        <v>0</v>
      </c>
      <c r="V95" s="15">
        <f>+[1]SANTILLANA!AH80</f>
        <v>0</v>
      </c>
      <c r="W95" s="16" t="str">
        <f>IF(V95=0,"---",IF(OR(ABS((U95-V95)/ABS(V95))&gt;2,(U95*V95)&lt;0),"---",IF(V95="0","---",((U95-V95)/ABS(V95))*100)))</f>
        <v>---</v>
      </c>
      <c r="Z95" s="13" t="str">
        <f>+IF($B$3="esp","Efectos extraordinarios en Ingresos","One-offs in Operating Revenues")</f>
        <v>One-offs in Operating Revenues</v>
      </c>
      <c r="AB95" s="14">
        <f>+[1]RADIO!AC86</f>
        <v>0</v>
      </c>
      <c r="AC95" s="15">
        <f>+[1]RADIO!AD86</f>
        <v>0</v>
      </c>
      <c r="AD95" s="16" t="str">
        <f>IF(AC95=0,"---",IF(OR(ABS((AB95-AC95)/ABS(AC95))&gt;2,(AB95*AC95)&lt;0),"---",IF(AC95="0","---",((AB95-AC95)/ABS(AC95))*100)))</f>
        <v>---</v>
      </c>
      <c r="AF95" s="14">
        <f>+[1]RADIO!AG86</f>
        <v>0</v>
      </c>
      <c r="AG95" s="15">
        <f>+[1]RADIO!AH86</f>
        <v>0</v>
      </c>
      <c r="AH95" s="16" t="str">
        <f>IF(AG95=0,"---",IF(OR(ABS((AF95-AG95)/ABS(AG95))&gt;2,(AF95*AG95)&lt;0),"---",IF(AG95="0","---",((AF95-AG95)/ABS(AG95))*100)))</f>
        <v>---</v>
      </c>
      <c r="AK95" s="13" t="str">
        <f>+IF($B$3="esp","Efectos extraordinarios en Ingresos","One-offs in Operating Revenues")</f>
        <v>One-offs in Operating Revenues</v>
      </c>
      <c r="AM95" s="14">
        <f>+[1]NOTICIAS!AC52</f>
        <v>0</v>
      </c>
      <c r="AN95" s="15">
        <f>+[1]NOTICIAS!AD52</f>
        <v>0</v>
      </c>
      <c r="AO95" s="16" t="str">
        <f>IF(AN95=0,"---",IF(OR(ABS((AM95-AN95)/ABS(AN95))&gt;2,(AM95*AN95)&lt;0),"---",IF(AN95="0","---",((AM95-AN95)/ABS(AN95))*100)))</f>
        <v>---</v>
      </c>
      <c r="AQ95" s="14">
        <f>+[1]NOTICIAS!AG52</f>
        <v>0</v>
      </c>
      <c r="AR95" s="15">
        <f>+[1]NOTICIAS!AH52</f>
        <v>0</v>
      </c>
      <c r="AS95" s="16" t="str">
        <f>IF(AR95=0,"---",IF(OR(ABS((AQ95-AR95)/ABS(AR95))&gt;2,(AQ95*AR95)&lt;0),"---",IF(AR95="0","---",((AQ95-AR95)/ABS(AR95))*100)))</f>
        <v>---</v>
      </c>
    </row>
    <row r="96" spans="4:47" ht="15" customHeight="1">
      <c r="D96" s="21"/>
      <c r="F96" s="22"/>
      <c r="G96" s="23"/>
      <c r="H96" s="24" t="str">
        <f t="shared" ref="H96:H98" si="30">IF(G96=0,"---",IF(OR(ABS((F96-G96)/ABS(G96))&gt;2,(F96*G96)&lt;0),"---",IF(G96="0","---",((F96-G96)/ABS(G96))*100)))</f>
        <v>---</v>
      </c>
      <c r="J96" s="22"/>
      <c r="K96" s="23"/>
      <c r="L96" s="24" t="str">
        <f t="shared" ref="L96:L98" si="31">IF(K96=0,"---",IF(OR(ABS((J96-K96)/ABS(K96))&gt;2,(J96*K96)&lt;0),"---",IF(K96="0","---",((J96-K96)/ABS(K96))*100)))</f>
        <v>---</v>
      </c>
      <c r="O96" s="21"/>
      <c r="Q96" s="22"/>
      <c r="R96" s="23"/>
      <c r="S96" s="24" t="str">
        <f>IF(R96=0,"---",IF(OR(ABS((Q96-R96)/ABS(R96))&gt;2,(Q96*R96)&lt;0),"---",IF(R96="0","---",((Q96-R96)/ABS(R96))*100)))</f>
        <v>---</v>
      </c>
      <c r="U96" s="22"/>
      <c r="V96" s="23"/>
      <c r="W96" s="24" t="str">
        <f>IF(V96=0,"---",IF(OR(ABS((U96-V96)/ABS(V96))&gt;2,(U96*V96)&lt;0),"---",IF(V96="0","---",((U96-V96)/ABS(V96))*100)))</f>
        <v>---</v>
      </c>
      <c r="Z96" s="21"/>
      <c r="AB96" s="22"/>
      <c r="AC96" s="23"/>
      <c r="AD96" s="24"/>
      <c r="AF96" s="22"/>
      <c r="AG96" s="23"/>
      <c r="AH96" s="24"/>
      <c r="AK96" s="21"/>
      <c r="AM96" s="22"/>
      <c r="AN96" s="23"/>
      <c r="AO96" s="24"/>
      <c r="AQ96" s="22"/>
      <c r="AR96" s="23"/>
      <c r="AS96" s="24"/>
    </row>
    <row r="97" spans="1:47" ht="15" customHeight="1">
      <c r="D97" s="21"/>
      <c r="F97" s="22"/>
      <c r="G97" s="23"/>
      <c r="H97" s="24" t="str">
        <f t="shared" si="30"/>
        <v>---</v>
      </c>
      <c r="J97" s="22"/>
      <c r="K97" s="23"/>
      <c r="L97" s="24" t="str">
        <f t="shared" si="31"/>
        <v>---</v>
      </c>
      <c r="O97" s="21"/>
      <c r="Q97" s="22"/>
      <c r="R97" s="23"/>
      <c r="S97" s="24"/>
      <c r="U97" s="22"/>
      <c r="V97" s="23"/>
      <c r="W97" s="24"/>
      <c r="Z97" s="21"/>
      <c r="AB97" s="22"/>
      <c r="AC97" s="23"/>
      <c r="AD97" s="24"/>
      <c r="AF97" s="22"/>
      <c r="AG97" s="23"/>
      <c r="AH97" s="24"/>
      <c r="AK97" s="21"/>
      <c r="AM97" s="22"/>
      <c r="AN97" s="23"/>
      <c r="AO97" s="24"/>
      <c r="AQ97" s="22"/>
      <c r="AR97" s="23"/>
      <c r="AS97" s="24"/>
    </row>
    <row r="98" spans="1:47" ht="15" customHeight="1">
      <c r="D98" s="21"/>
      <c r="F98" s="22"/>
      <c r="G98" s="23"/>
      <c r="H98" s="24" t="str">
        <f t="shared" si="30"/>
        <v>---</v>
      </c>
      <c r="J98" s="22"/>
      <c r="K98" s="23"/>
      <c r="L98" s="24" t="str">
        <f t="shared" si="31"/>
        <v>---</v>
      </c>
      <c r="O98" s="21"/>
      <c r="Q98" s="22"/>
      <c r="R98" s="23"/>
      <c r="S98" s="24"/>
      <c r="U98" s="22"/>
      <c r="V98" s="23"/>
      <c r="W98" s="24"/>
      <c r="Z98" s="21"/>
      <c r="AB98" s="22"/>
      <c r="AC98" s="23"/>
      <c r="AD98" s="24"/>
      <c r="AF98" s="22"/>
      <c r="AG98" s="23"/>
      <c r="AH98" s="24"/>
      <c r="AK98" s="21"/>
      <c r="AM98" s="22"/>
      <c r="AN98" s="23"/>
      <c r="AO98" s="24"/>
      <c r="AQ98" s="22"/>
      <c r="AR98" s="23"/>
      <c r="AS98" s="24"/>
    </row>
    <row r="99" spans="1:47" ht="15" customHeight="1">
      <c r="D99" s="13" t="str">
        <f>+IF($B$3="esp","Efecto en Gastos","Effect in Expenses")</f>
        <v>Effect in Expenses</v>
      </c>
      <c r="E99" s="13"/>
      <c r="F99" s="14">
        <f>+[1]GRUPO!T99</f>
        <v>51.035825500000001</v>
      </c>
      <c r="G99" s="15">
        <f>+[1]GRUPO!U99</f>
        <v>-24.641406097127422</v>
      </c>
      <c r="H99" s="16" t="str">
        <f>IF(G99=0,"---",IF(OR(ABS((F99-G99)/ABS(G99))&gt;2,(F99*G99)&lt;0),"---",IF(G99="0","---",((F99-G99)/ABS(G99))*100)))</f>
        <v>---</v>
      </c>
      <c r="J99" s="14">
        <f>+[1]GRUPO!X99</f>
        <v>0</v>
      </c>
      <c r="K99" s="15">
        <f>+[1]GRUPO!Y99</f>
        <v>-8.088689696185412</v>
      </c>
      <c r="L99" s="16">
        <f>IF(K99=0,"---",IF(OR(ABS((J99-K99)/ABS(K99))&gt;2,(J99*K99)&lt;0),"---",IF(K99="0","---",((J99-K99)/ABS(K99))*100)))</f>
        <v>100</v>
      </c>
      <c r="O99" s="13" t="str">
        <f>+IF($B$3="esp","Efectos extraordinarios en Gastos","One-offs in Operating Expenses")</f>
        <v>One-offs in Operating Expenses</v>
      </c>
      <c r="Q99" s="14">
        <f>+Q101</f>
        <v>0</v>
      </c>
      <c r="R99" s="15">
        <f>+R101</f>
        <v>-10.063929732991873</v>
      </c>
      <c r="S99" s="16">
        <f>IF(R99=0,"---",IF(OR(ABS((Q99-R99)/ABS(R99))&gt;2,(Q99*R99)&lt;0),"---",IF(R99="0","---",((Q99-R99)/ABS(R99))*100)))</f>
        <v>100</v>
      </c>
      <c r="U99" s="14">
        <f>+U101</f>
        <v>0</v>
      </c>
      <c r="V99" s="15">
        <f>+V101</f>
        <v>-3.2412798862803598</v>
      </c>
      <c r="W99" s="16">
        <f>IF(V99=0,"---",IF(OR(ABS((U99-V99)/ABS(V99))&gt;2,(U99*V99)&lt;0),"---",IF(V99="0","---",((U99-V99)/ABS(V99))*100)))</f>
        <v>100</v>
      </c>
      <c r="Z99" s="13" t="str">
        <f>+IF($B$3="esp","Efectos extraordinarios en Gastos","One-offs in Operating Expenses")</f>
        <v>One-offs in Operating Expenses</v>
      </c>
      <c r="AB99" s="14">
        <f>+AB101</f>
        <v>0</v>
      </c>
      <c r="AC99" s="15">
        <f>+AC102</f>
        <v>7.1472500000000005</v>
      </c>
      <c r="AD99" s="16">
        <f>IF(AC99=0,"---",IF(OR(ABS((AB99-AC99)/ABS(AC99))&gt;2,(AB99*AC99)&lt;0),"---",IF(AC99="0","---",((AB99-AC99)/ABS(AC99))*100)))</f>
        <v>-100</v>
      </c>
      <c r="AF99" s="14">
        <f>+AF101</f>
        <v>0</v>
      </c>
      <c r="AG99" s="15">
        <f>+AG102</f>
        <v>0</v>
      </c>
      <c r="AH99" s="16" t="str">
        <f>IF(AG99=0,"---",IF(OR(ABS((AF99-AG99)/ABS(AG99))&gt;2,(AF99*AG99)&lt;0),"---",IF(AG99="0","---",((AF99-AG99)/ABS(AG99))*100)))</f>
        <v>---</v>
      </c>
      <c r="AK99" s="13" t="str">
        <f>+IF($B$3="esp","Efectos extraordinarios en Gastos","One-offs in Operating Expenses")</f>
        <v>One-offs in Operating Expenses</v>
      </c>
      <c r="AM99" s="14">
        <f>+AM101</f>
        <v>0</v>
      </c>
      <c r="AN99" s="15">
        <f>+AN101</f>
        <v>-4.10465539992164</v>
      </c>
      <c r="AO99" s="16">
        <f>IF(AN99=0,"---",IF(OR(ABS((AM99-AN99)/ABS(AN99))&gt;2,(AM99*AN99)&lt;0),"---",IF(AN99="0","---",((AM99-AN99)/ABS(AN99))*100)))</f>
        <v>100</v>
      </c>
      <c r="AQ99" s="14">
        <f>+AQ101</f>
        <v>0</v>
      </c>
      <c r="AR99" s="15">
        <f>+AR101</f>
        <v>-1.37688458529444</v>
      </c>
      <c r="AS99" s="16">
        <f>IF(AR99=0,"---",IF(OR(ABS((AQ99-AR99)/ABS(AR99))&gt;2,(AQ99*AR99)&lt;0),"---",IF(AR99="0","---",((AQ99-AR99)/ABS(AR99))*100)))</f>
        <v>100</v>
      </c>
    </row>
    <row r="100" spans="1:47" ht="15" customHeight="1">
      <c r="D100" s="21" t="str">
        <f>+IF($A$1="esp","Sentencia Mediapro","Mediapro Rulling")</f>
        <v>Mediapro Rulling</v>
      </c>
      <c r="F100" s="22">
        <f>+[1]GRUPO!T103</f>
        <v>51.035825500000001</v>
      </c>
      <c r="G100" s="23">
        <f>+[1]GRUPO!U103</f>
        <v>0</v>
      </c>
      <c r="H100" s="24" t="str">
        <f t="shared" ref="H100:H103" si="32">IF(G100=0,"---",IF(OR(ABS((F100-G100)/ABS(G100))&gt;2,(F100*G100)&lt;0),"---",IF(G100="0","---",((F100-G100)/ABS(G100))*100)))</f>
        <v>---</v>
      </c>
      <c r="J100" s="22">
        <f>+[1]GRUPO!X103</f>
        <v>0</v>
      </c>
      <c r="K100" s="23">
        <f>+[1]GRUPO!Y103</f>
        <v>0</v>
      </c>
      <c r="L100" s="24" t="str">
        <f t="shared" ref="L100:L103" si="33">IF(K100=0,"---",IF(OR(ABS((J100-K100)/ABS(K100))&gt;2,(J100*K100)&lt;0),"---",IF(K100="0","---",((J100-K100)/ABS(K100))*100)))</f>
        <v>---</v>
      </c>
      <c r="O100" s="21"/>
      <c r="Q100" s="22"/>
      <c r="R100" s="23"/>
      <c r="S100" s="24"/>
      <c r="T100" s="13"/>
      <c r="U100" s="22"/>
      <c r="V100" s="23"/>
      <c r="W100" s="24"/>
      <c r="Z100" s="21"/>
      <c r="AB100" s="22"/>
      <c r="AC100" s="23"/>
      <c r="AD100" s="24"/>
      <c r="AF100" s="22"/>
      <c r="AG100" s="23"/>
      <c r="AH100" s="24"/>
      <c r="AK100" s="21"/>
      <c r="AM100" s="22"/>
      <c r="AN100" s="23"/>
      <c r="AO100" s="24"/>
      <c r="AQ100" s="22"/>
      <c r="AR100" s="23"/>
      <c r="AS100" s="24"/>
    </row>
    <row r="101" spans="1:47" ht="15" customHeight="1">
      <c r="D101" s="21" t="str">
        <f>+IF($A$1="esp","NIIF16","IFRS16")</f>
        <v>IFRS16</v>
      </c>
      <c r="F101" s="22">
        <f>+[1]GRUPO!T104</f>
        <v>0</v>
      </c>
      <c r="G101" s="23">
        <f>+[1]GRUPO!U104</f>
        <v>-24.641406097127422</v>
      </c>
      <c r="H101" s="24">
        <f t="shared" si="32"/>
        <v>100</v>
      </c>
      <c r="J101" s="22">
        <f>+[1]GRUPO!X104</f>
        <v>0</v>
      </c>
      <c r="K101" s="23">
        <f>+[1]GRUPO!Y104</f>
        <v>-8.088689696185412</v>
      </c>
      <c r="L101" s="24">
        <f t="shared" si="33"/>
        <v>100</v>
      </c>
      <c r="O101" s="21" t="str">
        <f>+IF($A$1="esp","NIIF16","IFRS16")</f>
        <v>IFRS16</v>
      </c>
      <c r="Q101" s="22">
        <f>+[1]SANTILLANA!T87</f>
        <v>0</v>
      </c>
      <c r="R101" s="23">
        <f>+[1]SANTILLANA!U87</f>
        <v>-10.063929732991873</v>
      </c>
      <c r="S101" s="24">
        <f>IF(R101=0,"---",IF(OR(ABS((Q101-R101)/ABS(R101))&gt;2,(Q101*R101)&lt;0),"---",IF(R101="0","---",((Q101-R101)/ABS(R101))*100)))</f>
        <v>100</v>
      </c>
      <c r="T101" s="13"/>
      <c r="U101" s="22">
        <f>+[1]SANTILLANA!X87</f>
        <v>0</v>
      </c>
      <c r="V101" s="23">
        <f>+[1]SANTILLANA!Y87</f>
        <v>-3.2412798862803598</v>
      </c>
      <c r="W101" s="24">
        <f>IF(V101=0,"---",IF(OR(ABS((U101-V101)/ABS(V101))&gt;2,(U101*V101)&lt;0),"---",IF(V101="0","---",((U101-V101)/ABS(V101))*100)))</f>
        <v>100</v>
      </c>
      <c r="Z101" s="21" t="str">
        <f>+IF($A$1="esp","NIIF16","IFRS16")</f>
        <v>IFRS16</v>
      </c>
      <c r="AB101" s="22">
        <f>+[1]RADIO!T95</f>
        <v>0</v>
      </c>
      <c r="AC101" s="23">
        <f>+[1]RADIO!U95</f>
        <v>-9.5391969999999997</v>
      </c>
      <c r="AD101" s="24"/>
      <c r="AF101" s="22">
        <f>+[1]RADIO!X95</f>
        <v>0</v>
      </c>
      <c r="AG101" s="23">
        <f>+[1]RADIO!Y95</f>
        <v>0</v>
      </c>
      <c r="AH101" s="24"/>
      <c r="AK101" s="21" t="str">
        <f>+IF($A$1="esp","NIIF16","IFRS16")</f>
        <v>IFRS16</v>
      </c>
      <c r="AM101" s="22">
        <f>+[1]NOTICIAS!T60+[1]NOTICIAS!T61</f>
        <v>0</v>
      </c>
      <c r="AN101" s="23">
        <f>+[1]NOTICIAS!U60+[1]NOTICIAS!U61</f>
        <v>-4.10465539992164</v>
      </c>
      <c r="AO101" s="24"/>
      <c r="AQ101" s="22">
        <f>+[1]NOTICIAS!X60+[1]NOTICIAS!X61</f>
        <v>0</v>
      </c>
      <c r="AR101" s="23">
        <f>+[1]NOTICIAS!Y60+[1]NOTICIAS!Y61</f>
        <v>-1.37688458529444</v>
      </c>
      <c r="AS101" s="24"/>
    </row>
    <row r="102" spans="1:47" ht="15" customHeight="1">
      <c r="D102" s="13" t="str">
        <f>+IF($B$3="esp","Efecto en Amortización","Effect in Amortizations")</f>
        <v>Effect in Amortizations</v>
      </c>
      <c r="E102" s="13"/>
      <c r="F102" s="14">
        <f>+[1]GRUPO!T105</f>
        <v>0</v>
      </c>
      <c r="G102" s="15">
        <f>+[1]GRUPO!U105</f>
        <v>19.249335161314367</v>
      </c>
      <c r="H102" s="16">
        <f t="shared" si="32"/>
        <v>-100</v>
      </c>
      <c r="J102" s="14">
        <f>+[1]GRUPO!X105</f>
        <v>0</v>
      </c>
      <c r="K102" s="15">
        <f>+[1]GRUPO!Y105</f>
        <v>6.4037755362262629</v>
      </c>
      <c r="L102" s="16">
        <f t="shared" si="33"/>
        <v>-100</v>
      </c>
      <c r="O102" s="13" t="str">
        <f>+IF($B$3="esp","Efecto en Amortización","Effect in Amortizations")</f>
        <v>Effect in Amortizations</v>
      </c>
      <c r="Q102" s="14">
        <f>+Q103</f>
        <v>0</v>
      </c>
      <c r="R102" s="15">
        <f>+R103</f>
        <v>8.2815095789153634</v>
      </c>
      <c r="S102" s="16">
        <f>IF(R102=0,"---",IF(OR(ABS((Q102-R102)/ABS(R102))&gt;2,(Q102*R102)&lt;0),"---",IF(R102="0","---",((Q102-R102)/ABS(R102))*100)))</f>
        <v>-100</v>
      </c>
      <c r="T102" s="13"/>
      <c r="U102" s="14">
        <f>+U103</f>
        <v>0</v>
      </c>
      <c r="V102" s="15">
        <f>+V103</f>
        <v>2.7605003420932617</v>
      </c>
      <c r="W102" s="16">
        <f>IF(V102=0,"---",IF(OR(ABS((U102-V102)/ABS(V102))&gt;2,(U102*V102)&lt;0),"---",IF(V102="0","---",((U102-V102)/ABS(V102))*100)))</f>
        <v>-100</v>
      </c>
      <c r="Z102" s="13" t="str">
        <f>+IF($B$3="esp","Efecto en Amortización","Effect in Amortizations")</f>
        <v>Effect in Amortizations</v>
      </c>
      <c r="AB102" s="14">
        <f>+AB103</f>
        <v>0</v>
      </c>
      <c r="AC102" s="15">
        <f>+AC103</f>
        <v>7.1472500000000005</v>
      </c>
      <c r="AD102" s="16">
        <f>IF(AC102=0,"---",IF(OR(ABS((AB102-AC102)/ABS(AC102))&gt;2,(AB102*AC102)&lt;0),"---",IF(AC102="0","---",((AB102-AC102)/ABS(AC102))*100)))</f>
        <v>-100</v>
      </c>
      <c r="AF102" s="14">
        <f>+AF103</f>
        <v>0</v>
      </c>
      <c r="AG102" s="15">
        <f>+AG103</f>
        <v>0</v>
      </c>
      <c r="AH102" s="16" t="str">
        <f>IF(AG102=0,"---",IF(OR(ABS((AF102-AG102)/ABS(AG102))&gt;2,(AF102*AG102)&lt;0),"---",IF(AG102="0","---",((AF102-AG102)/ABS(AG102))*100)))</f>
        <v>---</v>
      </c>
      <c r="AK102" s="13" t="str">
        <f>+IF($B$3="esp","Efecto en Amortización","Effect in Amortizations")</f>
        <v>Effect in Amortizations</v>
      </c>
      <c r="AM102" s="14">
        <f>+AM103</f>
        <v>0</v>
      </c>
      <c r="AN102" s="15">
        <f>+AN103</f>
        <v>2.9784183414893328</v>
      </c>
      <c r="AO102" s="16">
        <f>IF(AN102=0,"---",IF(OR(ABS((AM102-AN102)/ABS(AN102))&gt;2,(AM102*AN102)&lt;0),"---",IF(AN102="0","---",((AM102-AN102)/ABS(AN102))*100)))</f>
        <v>-100</v>
      </c>
      <c r="AQ102" s="14">
        <f>+AQ103</f>
        <v>0</v>
      </c>
      <c r="AR102" s="15">
        <f>+AR103</f>
        <v>0.99280611382977746</v>
      </c>
      <c r="AS102" s="16">
        <f>IF(AR102=0,"---",IF(OR(ABS((AQ102-AR102)/ABS(AR102))&gt;2,(AQ102*AR102)&lt;0),"---",IF(AR102="0","---",((AQ102-AR102)/ABS(AR102))*100)))</f>
        <v>-100</v>
      </c>
    </row>
    <row r="103" spans="1:47" ht="15" customHeight="1">
      <c r="D103" s="21" t="str">
        <f>+IF($A$1="esp","NIIF16","IFRS16")</f>
        <v>IFRS16</v>
      </c>
      <c r="F103" s="22">
        <f>+[1]GRUPO!T110</f>
        <v>0</v>
      </c>
      <c r="G103" s="23">
        <f>+[1]GRUPO!U110</f>
        <v>19.249335161314367</v>
      </c>
      <c r="H103" s="24">
        <f t="shared" si="32"/>
        <v>-100</v>
      </c>
      <c r="J103" s="22">
        <f>+[1]GRUPO!X110</f>
        <v>0</v>
      </c>
      <c r="K103" s="23">
        <f>+[1]GRUPO!Y110</f>
        <v>6.4037755362262629</v>
      </c>
      <c r="L103" s="24">
        <f t="shared" si="33"/>
        <v>-100</v>
      </c>
      <c r="O103" s="21" t="str">
        <f>+IF($A$1="esp","NIIF16","IFRS16")</f>
        <v>IFRS16</v>
      </c>
      <c r="Q103" s="22">
        <f>+[1]SANTILLANA!T92</f>
        <v>0</v>
      </c>
      <c r="R103" s="23">
        <f>+[1]SANTILLANA!U92</f>
        <v>8.2815095789153634</v>
      </c>
      <c r="S103" s="24">
        <f t="shared" ref="S103" si="34">IF(R103=0,"---",IF(OR(ABS((Q103-R103)/ABS(R103))&gt;2,(Q103*R103)&lt;0),"---",IF(R103="0","---",((Q103-R103)/ABS(R103))*100)))</f>
        <v>-100</v>
      </c>
      <c r="U103" s="22">
        <f>+[1]SANTILLANA!X92</f>
        <v>0</v>
      </c>
      <c r="V103" s="23">
        <f>+[1]SANTILLANA!Y92</f>
        <v>2.7605003420932617</v>
      </c>
      <c r="W103" s="24">
        <f t="shared" ref="W103" si="35">IF(V103=0,"---",IF(OR(ABS((U103-V103)/ABS(V103))&gt;2,(U103*V103)&lt;0),"---",IF(V103="0","---",((U103-V103)/ABS(V103))*100)))</f>
        <v>-100</v>
      </c>
      <c r="Z103" s="21" t="str">
        <f>+IF($A$1="esp","NIIF16","IFRS16")</f>
        <v>IFRS16</v>
      </c>
      <c r="AB103" s="22">
        <f>+[1]RADIO!T101</f>
        <v>0</v>
      </c>
      <c r="AC103" s="23">
        <f>+[1]RADIO!U101</f>
        <v>7.1472500000000005</v>
      </c>
      <c r="AD103" s="24">
        <f t="shared" ref="AD103" si="36">IF(AC103=0,"---",IF(OR(ABS((AB103-AC103)/ABS(AC103))&gt;2,(AB103*AC103)&lt;0),"---",IF(AC103="0","---",((AB103-AC103)/ABS(AC103))*100)))</f>
        <v>-100</v>
      </c>
      <c r="AF103" s="22">
        <f>+[1]RADIO!X101</f>
        <v>0</v>
      </c>
      <c r="AG103" s="23">
        <f>+[1]RADIO!Y101</f>
        <v>0</v>
      </c>
      <c r="AH103" s="24" t="str">
        <f t="shared" ref="AH103" si="37">IF(AG103=0,"---",IF(OR(ABS((AF103-AG103)/ABS(AG103))&gt;2,(AF103*AG103)&lt;0),"---",IF(AG103="0","---",((AF103-AG103)/ABS(AG103))*100)))</f>
        <v>---</v>
      </c>
      <c r="AK103" s="21" t="str">
        <f>+IF($A$1="esp","NIIF16","IFRS16")</f>
        <v>IFRS16</v>
      </c>
      <c r="AM103" s="22">
        <f>+[1]NOTICIAS!T67+[1]NOTICIAS!T68</f>
        <v>0</v>
      </c>
      <c r="AN103" s="23">
        <f>+[1]NOTICIAS!U67+[1]NOTICIAS!U68</f>
        <v>2.9784183414893328</v>
      </c>
      <c r="AO103" s="24">
        <f t="shared" ref="AO103" si="38">IF(AN103=0,"---",IF(OR(ABS((AM103-AN103)/ABS(AN103))&gt;2,(AM103*AN103)&lt;0),"---",IF(AN103="0","---",((AM103-AN103)/ABS(AN103))*100)))</f>
        <v>-100</v>
      </c>
      <c r="AQ103" s="22">
        <f>+[1]NOTICIAS!X67+[1]NOTICIAS!X68</f>
        <v>0</v>
      </c>
      <c r="AR103" s="23">
        <f>+[1]NOTICIAS!Y67+[1]NOTICIAS!Y68</f>
        <v>0.99280611382977746</v>
      </c>
      <c r="AS103" s="24">
        <f t="shared" ref="AS103" si="39">IF(AR103=0,"---",IF(OR(ABS((AQ103-AR103)/ABS(AR103))&gt;2,(AQ103*AR103)&lt;0),"---",IF(AR103="0","---",((AQ103-AR103)/ABS(AR103))*100)))</f>
        <v>-100</v>
      </c>
    </row>
    <row r="104" spans="1:47" ht="15" customHeight="1">
      <c r="A104" s="52"/>
      <c r="D104" s="21"/>
      <c r="F104" s="23"/>
      <c r="G104" s="23"/>
      <c r="H104" s="24"/>
      <c r="J104" s="23"/>
      <c r="K104" s="23"/>
      <c r="L104" s="24"/>
      <c r="O104" s="21"/>
      <c r="Q104" s="22"/>
      <c r="R104" s="23"/>
      <c r="S104" s="24"/>
      <c r="U104" s="22"/>
      <c r="V104" s="23"/>
      <c r="W104" s="24"/>
      <c r="Z104" s="21"/>
      <c r="AB104" s="22"/>
      <c r="AC104" s="23"/>
      <c r="AD104" s="24"/>
      <c r="AF104" s="22"/>
      <c r="AG104" s="23"/>
      <c r="AH104" s="24"/>
      <c r="AK104" s="21"/>
      <c r="AN104" s="23"/>
      <c r="AO104" s="24"/>
      <c r="AR104" s="23"/>
      <c r="AS104" s="24"/>
    </row>
    <row r="105" spans="1:47" ht="15" customHeight="1">
      <c r="O105" s="21"/>
      <c r="Q105" s="22"/>
      <c r="R105" s="23"/>
      <c r="S105" s="24"/>
      <c r="U105" s="22"/>
      <c r="V105" s="23"/>
      <c r="W105" s="24"/>
      <c r="Z105" s="21"/>
      <c r="AB105" s="22"/>
      <c r="AC105" s="23"/>
      <c r="AD105" s="24"/>
      <c r="AF105" s="22"/>
      <c r="AG105" s="23"/>
      <c r="AH105" s="24"/>
      <c r="AK105" s="21"/>
      <c r="AN105" s="23"/>
      <c r="AO105" s="24"/>
      <c r="AR105" s="23"/>
      <c r="AS105" s="24"/>
    </row>
    <row r="106" spans="1:47" ht="15" customHeight="1">
      <c r="D106" s="21"/>
      <c r="F106" s="23"/>
      <c r="G106" s="23"/>
      <c r="H106" s="24"/>
      <c r="J106" s="23"/>
      <c r="K106" s="23"/>
      <c r="L106" s="24"/>
    </row>
    <row r="107" spans="1:47" ht="15" customHeight="1"/>
    <row r="108" spans="1:47" ht="15" customHeight="1">
      <c r="D108" s="21"/>
      <c r="F108" s="23"/>
      <c r="G108" s="23"/>
      <c r="H108" s="24"/>
      <c r="J108" s="23"/>
      <c r="K108" s="23"/>
      <c r="L108" s="24"/>
    </row>
    <row r="111" spans="1:47"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</row>
    <row r="114" spans="4:45">
      <c r="D114" s="9" t="str">
        <f>+IF($B$3="esp","Millones de €","€ Millions")</f>
        <v>€ Millions</v>
      </c>
      <c r="F114" s="7" t="str">
        <f>+F91</f>
        <v>JANUARY - SEPTEMBER</v>
      </c>
      <c r="G114" s="8"/>
      <c r="H114" s="8"/>
      <c r="J114" s="7" t="str">
        <f>+J91</f>
        <v>JULY - SEPTEMBER</v>
      </c>
      <c r="K114" s="8"/>
      <c r="L114" s="8"/>
      <c r="O114" s="9" t="str">
        <f>+IF($B$3="esp","Millones de €","€ Millions")</f>
        <v>€ Millions</v>
      </c>
      <c r="Q114" s="7" t="str">
        <f>+Q6</f>
        <v>JANUARY - SEPTEMBER</v>
      </c>
      <c r="R114" s="8"/>
      <c r="S114" s="8"/>
      <c r="U114" s="7" t="str">
        <f>+U6</f>
        <v>JULY - SEPTEMBER</v>
      </c>
      <c r="V114" s="8"/>
      <c r="W114" s="8"/>
      <c r="Z114" s="9" t="str">
        <f>+IF($B$3="esp","Millones de €","€ Millions")</f>
        <v>€ Millions</v>
      </c>
      <c r="AB114" s="7" t="str">
        <f>+AB6</f>
        <v>JANUARY - SEPTEMBER</v>
      </c>
      <c r="AC114" s="8"/>
      <c r="AD114" s="8"/>
      <c r="AF114" s="7" t="str">
        <f>+AF6</f>
        <v>JULY - SEPTEMBER</v>
      </c>
      <c r="AG114" s="8"/>
      <c r="AH114" s="8"/>
      <c r="AK114" s="9" t="str">
        <f>+IF($B$3="esp","Millones de €","€ Millions")</f>
        <v>€ Millions</v>
      </c>
      <c r="AM114" s="7" t="str">
        <f>+AM6</f>
        <v>JANUARY - SEPTEMBER</v>
      </c>
      <c r="AN114" s="8"/>
      <c r="AO114" s="8"/>
      <c r="AQ114" s="7" t="str">
        <f>+AQ6</f>
        <v>JULY - SEPTEMBER</v>
      </c>
      <c r="AR114" s="8"/>
      <c r="AS114" s="8"/>
    </row>
    <row r="115" spans="4:45" ht="6.75" customHeight="1">
      <c r="D115" s="9"/>
    </row>
    <row r="116" spans="4:45" ht="15">
      <c r="D116" s="53" t="str">
        <f>+IF($B$3="esp","GRUPO","GROUP")</f>
        <v>GROUP</v>
      </c>
      <c r="F116" s="10">
        <v>2019</v>
      </c>
      <c r="G116" s="10">
        <v>2018</v>
      </c>
      <c r="H116" s="10" t="s">
        <v>5</v>
      </c>
      <c r="J116" s="10">
        <v>2019</v>
      </c>
      <c r="K116" s="10">
        <v>2018</v>
      </c>
      <c r="L116" s="10" t="s">
        <v>5</v>
      </c>
      <c r="O116" s="53" t="str">
        <f>+IF($B$3="esp","EDUCACIÓN","EDUCATION")</f>
        <v>EDUCATION</v>
      </c>
      <c r="Q116" s="10">
        <v>2019</v>
      </c>
      <c r="R116" s="10">
        <v>2018</v>
      </c>
      <c r="S116" s="10" t="s">
        <v>5</v>
      </c>
      <c r="U116" s="10">
        <v>2019</v>
      </c>
      <c r="V116" s="10">
        <v>2018</v>
      </c>
      <c r="W116" s="10" t="s">
        <v>5</v>
      </c>
      <c r="Z116" s="53" t="str">
        <f>+IF($B$3="esp","RADIO","RADIO")</f>
        <v>RADIO</v>
      </c>
      <c r="AB116" s="10">
        <v>2019</v>
      </c>
      <c r="AC116" s="10">
        <v>2018</v>
      </c>
      <c r="AD116" s="10" t="s">
        <v>5</v>
      </c>
      <c r="AF116" s="10">
        <v>2019</v>
      </c>
      <c r="AG116" s="10">
        <v>2018</v>
      </c>
      <c r="AH116" s="10" t="s">
        <v>5</v>
      </c>
      <c r="AK116" s="53" t="str">
        <f>+IF($B$3="esp","PRENSA - incluye PBS y Tecnología","PRESS - includes PBS &amp; IT")</f>
        <v>PRESS - includes PBS &amp; IT</v>
      </c>
      <c r="AM116" s="10">
        <v>2019</v>
      </c>
      <c r="AN116" s="10">
        <v>2018</v>
      </c>
      <c r="AO116" s="10" t="str">
        <f>+IF($B$3="esp","Var.%","% Chg.")</f>
        <v>% Chg.</v>
      </c>
      <c r="AQ116" s="10">
        <v>2019</v>
      </c>
      <c r="AR116" s="10">
        <v>2018</v>
      </c>
      <c r="AS116" s="10" t="str">
        <f>+IF($B$3="esp","Var.%","% Chg.")</f>
        <v>% Chg.</v>
      </c>
    </row>
    <row r="117" spans="4:45" ht="15.75" customHeight="1">
      <c r="D117" s="11"/>
      <c r="F117" s="12"/>
      <c r="G117" s="12"/>
      <c r="H117" s="12"/>
      <c r="J117" s="12"/>
      <c r="K117" s="12"/>
      <c r="L117" s="12"/>
      <c r="O117" s="11"/>
      <c r="Q117" s="12"/>
      <c r="R117" s="12"/>
      <c r="S117" s="12"/>
      <c r="U117" s="12"/>
      <c r="V117" s="12"/>
      <c r="W117" s="12"/>
      <c r="Z117" s="11"/>
      <c r="AB117" s="12"/>
      <c r="AC117" s="12"/>
      <c r="AD117" s="12"/>
      <c r="AF117" s="12"/>
      <c r="AG117" s="12"/>
      <c r="AH117" s="12"/>
      <c r="AK117" s="11"/>
      <c r="AM117" s="12"/>
      <c r="AN117" s="12"/>
      <c r="AO117" s="12"/>
      <c r="AQ117" s="12"/>
      <c r="AR117" s="12"/>
      <c r="AS117" s="12"/>
    </row>
    <row r="118" spans="4:45" s="13" customFormat="1" ht="15" customHeight="1">
      <c r="D118" s="13" t="str">
        <f>+IF($B$3="esp","EBITDA criterio anterior contable","Previous criteria reported EBITDA")</f>
        <v>Previous criteria reported EBITDA</v>
      </c>
      <c r="F118" s="14"/>
      <c r="G118" s="15">
        <f>+[1]GRUPO!U160</f>
        <v>164.7127907770992</v>
      </c>
      <c r="H118" s="16"/>
      <c r="J118" s="14"/>
      <c r="K118" s="15">
        <f>+[1]GRUPO!Y160</f>
        <v>70.106267293714069</v>
      </c>
      <c r="L118" s="16"/>
      <c r="O118" s="13" t="str">
        <f>+IF($B$3="esp","EBITDA criterio anterior contable","Previous criteria reported EBITDA")</f>
        <v>Previous criteria reported EBITDA</v>
      </c>
      <c r="Q118" s="14"/>
      <c r="R118" s="15">
        <f>+[1]SANTILLANA!U167</f>
        <v>148.57634113183371</v>
      </c>
      <c r="S118" s="16">
        <f>IF(R118=0,"---",IF(OR(ABS((Q118-R118)/ABS(R118))&gt;2,(Q118*R118)&lt;0),"---",IF(R118="0","---",((Q118-R118)/ABS(R118))*100)))</f>
        <v>-100</v>
      </c>
      <c r="U118" s="14"/>
      <c r="V118" s="15">
        <f>+[1]SANTILLANA!Y167</f>
        <v>62.720535293190764</v>
      </c>
      <c r="W118" s="16">
        <f>IF(V118=0,"---",IF(OR(ABS((U118-V118)/ABS(V118))&gt;2,(U118*V118)&lt;0),"---",IF(V118="0","---",((U118-V118)/ABS(V118))*100)))</f>
        <v>-100</v>
      </c>
      <c r="Z118" s="13" t="str">
        <f>+IF($B$3="esp","EBITDA criterio anterior contable","Previous criteria reported EBITDA")</f>
        <v>Previous criteria reported EBITDA</v>
      </c>
      <c r="AB118" s="14"/>
      <c r="AC118" s="15">
        <f>+[1]RADIO!U113</f>
        <v>31.978222092699603</v>
      </c>
      <c r="AD118" s="16"/>
      <c r="AF118" s="14"/>
      <c r="AG118" s="15">
        <f>+[1]RADIO!Y113</f>
        <v>10.283676066892767</v>
      </c>
      <c r="AH118" s="16"/>
      <c r="AK118" s="13" t="str">
        <f>+IF($B$3="esp","EBITDA criterio anterior contable","Previous criteria reported EBITDA")</f>
        <v>Previous criteria reported EBITDA</v>
      </c>
      <c r="AM118" s="14"/>
      <c r="AN118" s="15">
        <f>+[1]NOTICIAS!U81</f>
        <v>-4.6960983965501706</v>
      </c>
      <c r="AO118" s="16">
        <f>IF(AN118=0,"---",IF(OR(ABS((AM118-AN118)/ABS(AN118))&gt;2,(AM118*AN118)&lt;0),"---",IF(AN118="0","---",((AM118-AN118)/ABS(AN118))*100)))</f>
        <v>100</v>
      </c>
      <c r="AQ118" s="14"/>
      <c r="AR118" s="15">
        <f>+[1]NOTICIAS!Y81</f>
        <v>-1.0949285703062799</v>
      </c>
      <c r="AS118" s="16">
        <f>IF(AR118=0,"---",IF(OR(ABS((AQ118-AR118)/ABS(AR118))&gt;2,(AQ118*AR118)&lt;0),"---",IF(AR118="0","---",((AQ118-AR118)/ABS(AR118))*100)))</f>
        <v>100</v>
      </c>
    </row>
    <row r="119" spans="4:45" ht="15" customHeight="1">
      <c r="D119" s="21" t="str">
        <f>+IF($B$3="esp","Provisiones","Provisions")</f>
        <v>Provisions</v>
      </c>
      <c r="F119" s="22"/>
      <c r="G119" s="23">
        <f>+[1]GRUPO!U161</f>
        <v>-22.256200535321202</v>
      </c>
      <c r="H119" s="24"/>
      <c r="J119" s="22"/>
      <c r="K119" s="23">
        <f>+[1]GRUPO!Y161</f>
        <v>-18.430802385586272</v>
      </c>
      <c r="L119" s="24"/>
      <c r="O119" s="21" t="str">
        <f>+IF($B$3="esp","Provisiones","Provisions")</f>
        <v>Provisions</v>
      </c>
      <c r="Q119" s="22"/>
      <c r="R119" s="23">
        <f>+[1]SANTILLANA!U168</f>
        <v>-19.655870798824701</v>
      </c>
      <c r="S119" s="24"/>
      <c r="U119" s="22"/>
      <c r="V119" s="23">
        <f>+[1]SANTILLANA!Y168</f>
        <v>-17.993840367414961</v>
      </c>
      <c r="W119" s="24"/>
      <c r="Z119" s="21" t="str">
        <f>+IF($B$3="esp","Provisiones","Provisions")</f>
        <v>Provisions</v>
      </c>
      <c r="AB119" s="22"/>
      <c r="AC119" s="23">
        <f>+[1]RADIO!U114</f>
        <v>-1.3381310717495001</v>
      </c>
      <c r="AD119" s="24"/>
      <c r="AF119" s="22"/>
      <c r="AG119" s="23">
        <f>+[1]RADIO!Y114</f>
        <v>-0.4061773626832651</v>
      </c>
      <c r="AH119" s="24"/>
      <c r="AK119" s="21" t="str">
        <f>+IF($B$3="esp","Provisiones","Provisions")</f>
        <v>Provisions</v>
      </c>
      <c r="AM119" s="22"/>
      <c r="AN119" s="23">
        <f>+[1]NOTICIAS!U82</f>
        <v>-1.12654989434654</v>
      </c>
      <c r="AO119" s="24"/>
      <c r="AQ119" s="22"/>
      <c r="AR119" s="23">
        <f>+[1]NOTICIAS!Y82</f>
        <v>-2.445887544438996E-2</v>
      </c>
      <c r="AS119" s="24"/>
    </row>
    <row r="120" spans="4:45" ht="15" customHeight="1">
      <c r="D120" s="13" t="str">
        <f>+IF($B$3="esp","EBITDA Contable","Reported EBITDA")</f>
        <v>Reported EBITDA</v>
      </c>
      <c r="E120" s="13"/>
      <c r="F120" s="14">
        <f>+[1]GRUPO!T162</f>
        <v>114.214642199162</v>
      </c>
      <c r="G120" s="15">
        <f>+[1]GRUPO!U162</f>
        <v>142.456590241778</v>
      </c>
      <c r="H120" s="16">
        <f>IF(G120=0,"---",IF(OR(ABS((F120-G120)/ABS(G120))&gt;2,(F120*G120)&lt;0),"---",IF(G120="0","---",((F120-G120)/ABS(G120))*100)))</f>
        <v>-19.824950179337883</v>
      </c>
      <c r="J120" s="14">
        <f>+[1]GRUPO!X162</f>
        <v>79.562049090603196</v>
      </c>
      <c r="K120" s="15">
        <f>+[1]GRUPO!Y162</f>
        <v>51.675464908127807</v>
      </c>
      <c r="L120" s="16">
        <f>IF(K120=0,"---",IF(OR(ABS((J120-K120)/ABS(K120))&gt;2,(J120*K120)&lt;0),"---",IF(K120="0","---",((J120-K120)/ABS(K120))*100)))</f>
        <v>53.964844306779</v>
      </c>
      <c r="O120" s="13" t="str">
        <f>+IF($B$3="esp","EBITDA Contable","Reported EBITDA")</f>
        <v>Reported EBITDA</v>
      </c>
      <c r="P120" s="13"/>
      <c r="Q120" s="14">
        <f>+[1]SANTILLANA!T169</f>
        <v>129.21480552604999</v>
      </c>
      <c r="R120" s="15">
        <f>+[1]SANTILLANA!U169</f>
        <v>128.92047033300901</v>
      </c>
      <c r="S120" s="16">
        <f>IF(R120=0,"---",IF(OR(ABS((Q120-R120)/ABS(R120))&gt;2,(Q120*R120)&lt;0),"---",IF(R120="0","---",((Q120-R120)/ABS(R120))*100)))</f>
        <v>0.22830756999310833</v>
      </c>
      <c r="U120" s="14">
        <f>+[1]SANTILLANA!X169</f>
        <v>67.362332028400687</v>
      </c>
      <c r="V120" s="15">
        <f>+[1]SANTILLANA!Y169</f>
        <v>44.726694925775803</v>
      </c>
      <c r="W120" s="16">
        <f>IF(V120=0,"---",IF(OR(ABS((U120-V120)/ABS(V120))&gt;2,(U120*V120)&lt;0),"---",IF(V120="0","---",((U120-V120)/ABS(V120))*100)))</f>
        <v>50.608785514308288</v>
      </c>
      <c r="Z120" s="13" t="str">
        <f>+IF($B$3="esp","EBITDA Contable","Reported EBITDA")</f>
        <v>Reported EBITDA</v>
      </c>
      <c r="AA120" s="13"/>
      <c r="AB120" s="14">
        <f>+[1]RADIO!T115</f>
        <v>41.822380985898704</v>
      </c>
      <c r="AC120" s="15">
        <f>+[1]RADIO!U115</f>
        <v>30.640091020950102</v>
      </c>
      <c r="AD120" s="16">
        <f>IF(AC120=0,"---",IF(OR(ABS((AB120-AC120)/ABS(AC120))&gt;2,(AB120*AC120)&lt;0),"---",IF(AC120="0","---",((AB120-AC120)/ABS(AC120))*100)))</f>
        <v>36.495616012702875</v>
      </c>
      <c r="AF120" s="14">
        <f>+[1]RADIO!X115</f>
        <v>13.677193606604504</v>
      </c>
      <c r="AG120" s="15">
        <f>+[1]RADIO!Y115</f>
        <v>9.8774987042095006</v>
      </c>
      <c r="AH120" s="16">
        <f>IF(AG120=0,"---",IF(OR(ABS((AF120-AG120)/ABS(AG120))&gt;2,(AF120*AG120)&lt;0),"---",IF(AG120="0","---",((AF120-AG120)/ABS(AG120))*100)))</f>
        <v>38.468189327888091</v>
      </c>
      <c r="AK120" s="13" t="str">
        <f>+IF($B$3="esp","EBITDA Contable","Reported EBITDA")</f>
        <v>Reported EBITDA</v>
      </c>
      <c r="AL120" s="13"/>
      <c r="AM120" s="14">
        <f>+[1]NOTICIAS!T83</f>
        <v>1.1243398419538499</v>
      </c>
      <c r="AN120" s="15">
        <f>+[1]NOTICIAS!U83</f>
        <v>-5.8226482908967103</v>
      </c>
      <c r="AO120" s="16" t="str">
        <f>IF(AN120=0,"---",IF(OR(ABS((AM120-AN120)/ABS(AN120))&gt;2,(AM120*AN120)&lt;0),"---",IF(AN120="0","---",((AM120-AN120)/ABS(AN120))*100)))</f>
        <v>---</v>
      </c>
      <c r="AQ120" s="14">
        <f>+[1]NOTICIAS!X83</f>
        <v>-0.52044125079057002</v>
      </c>
      <c r="AR120" s="15">
        <f>+[1]NOTICIAS!Y83</f>
        <v>-1.1193874457506698</v>
      </c>
      <c r="AS120" s="16">
        <f>IF(AR120=0,"---",IF(OR(ABS((AQ120-AR120)/ABS(AR120))&gt;2,(AQ120*AR120)&lt;0),"---",IF(AR120="0","---",((AQ120-AR120)/ABS(AR120))*100)))</f>
        <v>53.506602850851337</v>
      </c>
    </row>
    <row r="121" spans="4:45" ht="15" customHeight="1">
      <c r="D121" s="21" t="str">
        <f>+IF($A$1="esp","Sentencia Mediapro","Mediapro Rulling")</f>
        <v>Mediapro Rulling</v>
      </c>
      <c r="F121" s="22">
        <f>+[1]GRUPO!T163</f>
        <v>51.035825500000001</v>
      </c>
      <c r="G121" s="23">
        <f>+[1]GRUPO!U163</f>
        <v>0</v>
      </c>
      <c r="H121" s="24"/>
      <c r="J121" s="22">
        <f>+[1]GRUPO!X163</f>
        <v>0</v>
      </c>
      <c r="K121" s="23">
        <f>+[1]GRUPO!Y163</f>
        <v>0</v>
      </c>
      <c r="L121" s="24"/>
      <c r="O121" s="21"/>
      <c r="Q121" s="22"/>
      <c r="R121" s="23"/>
      <c r="S121" s="24"/>
      <c r="U121" s="22"/>
      <c r="V121" s="23"/>
      <c r="W121" s="24"/>
      <c r="Z121" s="21"/>
      <c r="AB121" s="22"/>
      <c r="AC121" s="23"/>
      <c r="AD121" s="24"/>
      <c r="AF121" s="22"/>
      <c r="AG121" s="23"/>
      <c r="AH121" s="24"/>
      <c r="AK121" s="21"/>
      <c r="AM121" s="22"/>
      <c r="AN121" s="23"/>
      <c r="AO121" s="24"/>
      <c r="AQ121" s="22"/>
      <c r="AR121" s="23"/>
      <c r="AS121" s="24"/>
    </row>
    <row r="122" spans="4:45" ht="15" customHeight="1">
      <c r="D122" s="21" t="str">
        <f>+IF($B$3="esp","Efecto NIIF16","IFRS16 Effect")</f>
        <v>IFRS16 Effect</v>
      </c>
      <c r="F122" s="22">
        <f>+[1]GRUPO!T164</f>
        <v>0</v>
      </c>
      <c r="G122" s="23">
        <f>+[1]GRUPO!U164</f>
        <v>24.641406097127401</v>
      </c>
      <c r="H122" s="24"/>
      <c r="J122" s="22">
        <f>+[1]GRUPO!X164</f>
        <v>0</v>
      </c>
      <c r="K122" s="23">
        <f>+[1]GRUPO!Y164</f>
        <v>8.0886896961853836</v>
      </c>
      <c r="L122" s="24"/>
      <c r="O122" s="21" t="str">
        <f>+IF($B$3="esp","Efecto NIIF16","IFRS16 Effect")</f>
        <v>IFRS16 Effect</v>
      </c>
      <c r="Q122" s="22"/>
      <c r="R122" s="23">
        <f>+[1]SANTILLANA!U170</f>
        <v>10.06392973299188</v>
      </c>
      <c r="S122" s="24"/>
      <c r="U122" s="22"/>
      <c r="V122" s="23">
        <f>+[1]SANTILLANA!Y170</f>
        <v>3.2412798862803669</v>
      </c>
      <c r="W122" s="24"/>
      <c r="Z122" s="21" t="str">
        <f>+IF($B$3="esp","Efecto NIIF16","IFRS16 Effect")</f>
        <v>IFRS16 Effect</v>
      </c>
      <c r="AB122" s="22"/>
      <c r="AC122" s="23">
        <f>+[1]RADIO!U116</f>
        <v>9.5391970000000015</v>
      </c>
      <c r="AD122" s="24"/>
      <c r="AF122" s="22"/>
      <c r="AG122" s="23">
        <f>+[1]RADIO!Y116</f>
        <v>3.1586900000000036</v>
      </c>
      <c r="AH122" s="24"/>
      <c r="AK122" s="21" t="str">
        <f>+IF($B$3="esp","Efecto NIIF16","IFRS16 Effect")</f>
        <v>IFRS16 Effect</v>
      </c>
      <c r="AM122" s="22"/>
      <c r="AN122" s="23">
        <f>+[1]NOTICIAS!U84</f>
        <v>4.1046553999216409</v>
      </c>
      <c r="AO122" s="24"/>
      <c r="AQ122" s="22"/>
      <c r="AR122" s="23">
        <f>+[1]NOTICIAS!Y84</f>
        <v>1.37688458529444</v>
      </c>
      <c r="AS122" s="24"/>
    </row>
    <row r="123" spans="4:45" ht="15" customHeight="1">
      <c r="D123" s="13" t="str">
        <f>+IF($B$3="esp","EBITDA Comparable","Comparable EBITDA")</f>
        <v>Comparable EBITDA</v>
      </c>
      <c r="E123" s="13"/>
      <c r="F123" s="14">
        <f>+[1]GRUPO!T165</f>
        <v>165.25046769916199</v>
      </c>
      <c r="G123" s="15">
        <f>+[1]GRUPO!U165</f>
        <v>167.0979963389054</v>
      </c>
      <c r="H123" s="16">
        <f t="shared" ref="H123:H126" si="40">IF(G123=0,"---",IF(OR(ABS((F123-G123)/ABS(G123))&gt;2,(F123*G123)&lt;0),"---",IF(G123="0","---",((F123-G123)/ABS(G123))*100)))</f>
        <v>-1.1056557709981687</v>
      </c>
      <c r="J123" s="14">
        <f>+[1]GRUPO!X165</f>
        <v>79.562049090603182</v>
      </c>
      <c r="K123" s="15">
        <f>+[1]GRUPO!Y165</f>
        <v>59.764154604313191</v>
      </c>
      <c r="L123" s="16">
        <f t="shared" ref="L123:L126" si="41">IF(K123=0,"---",IF(OR(ABS((J123-K123)/ABS(K123))&gt;2,(J123*K123)&lt;0),"---",IF(K123="0","---",((J123-K123)/ABS(K123))*100)))</f>
        <v>33.126703819987064</v>
      </c>
      <c r="O123" s="13" t="str">
        <f>+IF($B$3="esp","EBITDA Comparable","Comparable EBITDA")</f>
        <v>Comparable EBITDA</v>
      </c>
      <c r="Q123" s="14">
        <f>+[1]SANTILLANA!T171</f>
        <v>129.21480552604999</v>
      </c>
      <c r="R123" s="15">
        <f>+[1]SANTILLANA!U171</f>
        <v>138.98440006600089</v>
      </c>
      <c r="S123" s="16">
        <f t="shared" ref="S123:S126" si="42">IF(R123=0,"---",IF(OR(ABS((Q123-R123)/ABS(R123))&gt;2,(Q123*R123)&lt;0),"---",IF(R123="0","---",((Q123-R123)/ABS(R123))*100)))</f>
        <v>-7.0292741741602063</v>
      </c>
      <c r="U123" s="14">
        <f>+[1]SANTILLANA!X171</f>
        <v>67.362332028400687</v>
      </c>
      <c r="V123" s="15">
        <f>+[1]SANTILLANA!Y171</f>
        <v>47.96797481205617</v>
      </c>
      <c r="W123" s="16">
        <f t="shared" ref="W123:W126" si="43">IF(V123=0,"---",IF(OR(ABS((U123-V123)/ABS(V123))&gt;2,(U123*V123)&lt;0),"---",IF(V123="0","---",((U123-V123)/ABS(V123))*100)))</f>
        <v>40.431886675086353</v>
      </c>
      <c r="Z123" s="13" t="str">
        <f>+IF($B$3="esp","EBITDA Comparable","Comparable EBITDA")</f>
        <v>Comparable EBITDA</v>
      </c>
      <c r="AB123" s="14">
        <f>+[1]RADIO!T117</f>
        <v>41.822380985898704</v>
      </c>
      <c r="AC123" s="15">
        <f>+[1]RADIO!U117</f>
        <v>40.179288020950104</v>
      </c>
      <c r="AD123" s="16">
        <f t="shared" ref="AD123:AD128" si="44">IF(AC123=0,"---",IF(OR(ABS((AB123-AC123)/ABS(AC123))&gt;2,(AB123*AC123)&lt;0),"---",IF(AC123="0","---",((AB123-AC123)/ABS(AC123))*100)))</f>
        <v>4.0894028886023719</v>
      </c>
      <c r="AF123" s="14">
        <f>+[1]RADIO!X117</f>
        <v>13.677193606604504</v>
      </c>
      <c r="AG123" s="15">
        <f>+[1]RADIO!Y117</f>
        <v>13.036188704209504</v>
      </c>
      <c r="AH123" s="16">
        <f t="shared" ref="AH123:AH126" si="45">IF(AG123=0,"---",IF(OR(ABS((AF123-AG123)/ABS(AG123))&gt;2,(AF123*AG123)&lt;0),"---",IF(AG123="0","---",((AF123-AG123)/ABS(AG123))*100)))</f>
        <v>4.9171189290011883</v>
      </c>
      <c r="AK123" s="13" t="str">
        <f>+IF($B$3="esp","EBITDA Comparable","Comparable EBITDA")</f>
        <v>Comparable EBITDA</v>
      </c>
      <c r="AM123" s="14">
        <f>+[1]NOTICIAS!T85</f>
        <v>1.1243398419538499</v>
      </c>
      <c r="AN123" s="15">
        <f>+[1]NOTICIAS!U85</f>
        <v>-1.7179928909750697</v>
      </c>
      <c r="AO123" s="16" t="str">
        <f t="shared" ref="AO123:AO126" si="46">IF(AN123=0,"---",IF(OR(ABS((AM123-AN123)/ABS(AN123))&gt;2,(AM123*AN123)&lt;0),"---",IF(AN123="0","---",((AM123-AN123)/ABS(AN123))*100)))</f>
        <v>---</v>
      </c>
      <c r="AQ123" s="14">
        <f>+[1]NOTICIAS!X85</f>
        <v>-0.52044125079057002</v>
      </c>
      <c r="AR123" s="15">
        <f>+[1]NOTICIAS!Y85</f>
        <v>0.25749713954377018</v>
      </c>
      <c r="AS123" s="16" t="str">
        <f t="shared" ref="AS123:AS126" si="47">IF(AR123=0,"---",IF(OR(ABS((AQ123-AR123)/ABS(AR123))&gt;2,(AQ123*AR123)&lt;0),"---",IF(AR123="0","---",((AQ123-AR123)/ABS(AR123))*100)))</f>
        <v>---</v>
      </c>
    </row>
    <row r="124" spans="4:45" ht="15" customHeight="1">
      <c r="D124" s="21" t="str">
        <f>+IF($B$3="esp","Amortizaciones","Amortizations")</f>
        <v>Amortizations</v>
      </c>
      <c r="F124" s="22">
        <f>+[1]GRUPO!T166</f>
        <v>63.211849490382498</v>
      </c>
      <c r="G124" s="23">
        <f>+[1]GRUPO!U166</f>
        <v>62.435232402096268</v>
      </c>
      <c r="H124" s="24">
        <f t="shared" si="40"/>
        <v>1.2438763473877206</v>
      </c>
      <c r="J124" s="22">
        <f>+[1]GRUPO!X166</f>
        <v>22.510223617836395</v>
      </c>
      <c r="K124" s="23">
        <f>+[1]GRUPO!Y166</f>
        <v>22.922943031364966</v>
      </c>
      <c r="L124" s="24">
        <f t="shared" si="41"/>
        <v>-1.8004643337631452</v>
      </c>
      <c r="O124" s="21" t="str">
        <f>+IF($B$3="esp","Amortizaciones","Amortizations")</f>
        <v>Amortizations</v>
      </c>
      <c r="Q124" s="22">
        <f>+[1]SANTILLANA!T172</f>
        <v>41.4439632363556</v>
      </c>
      <c r="R124" s="23">
        <f>+[1]SANTILLANA!U172</f>
        <v>41.668202052954861</v>
      </c>
      <c r="S124" s="24">
        <f t="shared" si="42"/>
        <v>-0.53815332928040061</v>
      </c>
      <c r="U124" s="22">
        <f>+[1]SANTILLANA!X172</f>
        <v>15.383411437819699</v>
      </c>
      <c r="V124" s="23">
        <f>+[1]SANTILLANA!Y172</f>
        <v>16.013734492003859</v>
      </c>
      <c r="W124" s="24">
        <f t="shared" si="43"/>
        <v>-3.9361402831981467</v>
      </c>
      <c r="Z124" s="21" t="str">
        <f>+IF($B$3="esp","Amortizaciones","Amortizations")</f>
        <v>Amortizations</v>
      </c>
      <c r="AB124" s="22">
        <f>+[1]RADIO!T118</f>
        <v>13.4304171882834</v>
      </c>
      <c r="AC124" s="23">
        <f>+[1]RADIO!U118</f>
        <v>13.160802762280852</v>
      </c>
      <c r="AD124" s="24">
        <f t="shared" si="44"/>
        <v>2.048616872940825</v>
      </c>
      <c r="AF124" s="22">
        <f>+[1]RADIO!X118</f>
        <v>4.3199058197400593</v>
      </c>
      <c r="AG124" s="23">
        <f>+[1]RADIO!Y118</f>
        <v>4.3483182621853302</v>
      </c>
      <c r="AH124" s="24">
        <f t="shared" si="45"/>
        <v>-0.65341220978134551</v>
      </c>
      <c r="AK124" s="21" t="str">
        <f>+IF($B$3="esp","Amortizaciones","Amortizations")</f>
        <v>Amortizations</v>
      </c>
      <c r="AM124" s="22">
        <f>+[1]NOTICIAS!T86</f>
        <v>7.3132303357435102</v>
      </c>
      <c r="AN124" s="23">
        <f>+[1]NOTICIAS!U86</f>
        <v>6.5541750194372215</v>
      </c>
      <c r="AO124" s="24">
        <f t="shared" si="46"/>
        <v>11.581248807900549</v>
      </c>
      <c r="AQ124" s="22">
        <f>+[1]NOTICIAS!X86</f>
        <v>2.4506307502766802</v>
      </c>
      <c r="AR124" s="23">
        <f>+[1]NOTICIAS!Y86</f>
        <v>2.218761449185136</v>
      </c>
      <c r="AS124" s="24">
        <f t="shared" si="47"/>
        <v>10.450393447060328</v>
      </c>
    </row>
    <row r="125" spans="4:45" ht="15" customHeight="1">
      <c r="D125" s="21" t="str">
        <f>+IF($B$3="esp","Pérdidas de inmovilizado","Impairment from fixed assets")</f>
        <v>Impairment from fixed assets</v>
      </c>
      <c r="F125" s="22">
        <f>+[1]GRUPO!T167</f>
        <v>1.4076274043939847</v>
      </c>
      <c r="G125" s="23">
        <f>+[1]GRUPO!U167</f>
        <v>0.62548904372454928</v>
      </c>
      <c r="H125" s="24">
        <f t="shared" si="40"/>
        <v>125.04429430323816</v>
      </c>
      <c r="J125" s="22">
        <f>+[1]GRUPO!X167</f>
        <v>0.11911162526028818</v>
      </c>
      <c r="K125" s="23">
        <f>+[1]GRUPO!Y167</f>
        <v>0.24279517971677933</v>
      </c>
      <c r="L125" s="24">
        <f t="shared" si="41"/>
        <v>-50.94151976195247</v>
      </c>
      <c r="O125" s="21" t="str">
        <f>+IF($B$3="esp","Pérdidas de inmovilizado","Impairment from fixed assets")</f>
        <v>Impairment from fixed assets</v>
      </c>
      <c r="Q125" s="22">
        <f>+[1]SANTILLANA!T173</f>
        <v>1.3810407143935919</v>
      </c>
      <c r="R125" s="23">
        <f>+[1]SANTILLANA!U173</f>
        <v>0.58918336504601854</v>
      </c>
      <c r="S125" s="24">
        <f t="shared" si="42"/>
        <v>134.39913553664653</v>
      </c>
      <c r="U125" s="22">
        <f>+[1]SANTILLANA!X173</f>
        <v>0.11911162526019226</v>
      </c>
      <c r="V125" s="23">
        <f>+[1]SANTILLANA!Y173</f>
        <v>0.28404805103811626</v>
      </c>
      <c r="W125" s="24">
        <f t="shared" si="43"/>
        <v>-58.066381788266966</v>
      </c>
      <c r="Z125" s="21" t="str">
        <f>+IF($B$3="esp","Pérdidas de inmovilizado","Impairment from fixed assets")</f>
        <v>Impairment from fixed assets</v>
      </c>
      <c r="AB125" s="22">
        <f>+[1]RADIO!T119</f>
        <v>2.6586689999703594E-2</v>
      </c>
      <c r="AC125" s="23">
        <f>+[1]RADIO!U119</f>
        <v>-6.5710989999946179E-2</v>
      </c>
      <c r="AD125" s="24" t="str">
        <f t="shared" si="44"/>
        <v>---</v>
      </c>
      <c r="AF125" s="22">
        <f>+[1]RADIO!X119</f>
        <v>-1.5454304502782179E-13</v>
      </c>
      <c r="AG125" s="23">
        <f>+[1]RADIO!Y119</f>
        <v>-4.1214429999822499E-2</v>
      </c>
      <c r="AH125" s="24">
        <f t="shared" si="45"/>
        <v>99.999999999625018</v>
      </c>
      <c r="AK125" s="21" t="str">
        <f>+IF($B$3="esp","Pérdidas de inmovilizado","Impairment from fixed assets")</f>
        <v>Impairment from fixed assets</v>
      </c>
      <c r="AM125" s="22">
        <f>+[1]NOTICIAS!T87</f>
        <v>2.9309887850104133E-14</v>
      </c>
      <c r="AN125" s="23">
        <f>+[1]NOTICIAS!U87</f>
        <v>6.155867891166622E-5</v>
      </c>
      <c r="AO125" s="24">
        <f t="shared" si="46"/>
        <v>-99.999999952387071</v>
      </c>
      <c r="AQ125" s="22">
        <f>+[1]NOTICIAS!X87</f>
        <v>8.8817841970012523E-15</v>
      </c>
      <c r="AR125" s="23">
        <f>+[1]NOTICIAS!Y87</f>
        <v>6.1558678892126295E-5</v>
      </c>
      <c r="AS125" s="24">
        <f t="shared" si="47"/>
        <v>-99.999999985571847</v>
      </c>
    </row>
    <row r="126" spans="4:45" ht="15" customHeight="1">
      <c r="D126" s="13" t="str">
        <f>+IF($B$3="esp","Resultado de Explotación Comparable","Comparable Operating Result")</f>
        <v>Comparable Operating Result</v>
      </c>
      <c r="E126" s="13"/>
      <c r="F126" s="14">
        <f>+[1]GRUPO!T168</f>
        <v>100.6309908043855</v>
      </c>
      <c r="G126" s="15">
        <f>+[1]GRUPO!U168</f>
        <v>104.03727489308459</v>
      </c>
      <c r="H126" s="16">
        <f t="shared" si="40"/>
        <v>-3.2740996841753098</v>
      </c>
      <c r="J126" s="14">
        <f>+[1]GRUPO!X168</f>
        <v>56.932713847506498</v>
      </c>
      <c r="K126" s="15">
        <f>+[1]GRUPO!Y168</f>
        <v>36.598416393231446</v>
      </c>
      <c r="L126" s="16">
        <f t="shared" si="41"/>
        <v>55.560593758465735</v>
      </c>
      <c r="O126" s="13" t="str">
        <f>+IF($B$3="esp","Resultado de Explotación Comparable","Comparable Operating Result")</f>
        <v>Comparable Operating Result</v>
      </c>
      <c r="Q126" s="14">
        <f>+[1]SANTILLANA!T174</f>
        <v>86.389801575300794</v>
      </c>
      <c r="R126" s="15">
        <f>+[1]SANTILLANA!U174</f>
        <v>96.727014648000008</v>
      </c>
      <c r="S126" s="16">
        <f t="shared" si="42"/>
        <v>-10.686996916339703</v>
      </c>
      <c r="U126" s="14">
        <f>+[1]SANTILLANA!X174</f>
        <v>51.859808965320795</v>
      </c>
      <c r="V126" s="15">
        <f>+[1]SANTILLANA!Y174</f>
        <v>31.670192269014194</v>
      </c>
      <c r="W126" s="16">
        <f t="shared" si="43"/>
        <v>63.749586755934928</v>
      </c>
      <c r="Z126" s="13" t="str">
        <f>+IF($B$3="esp","Resultado de Explotación Comparable","Comparable Operating Result")</f>
        <v>Comparable Operating Result</v>
      </c>
      <c r="AB126" s="14">
        <f>+[1]RADIO!T120</f>
        <v>28.3653771076156</v>
      </c>
      <c r="AC126" s="15">
        <f>+[1]RADIO!U120</f>
        <v>27.084196248669198</v>
      </c>
      <c r="AD126" s="16">
        <f t="shared" si="44"/>
        <v>4.7303632243078093</v>
      </c>
      <c r="AF126" s="14">
        <f>+[1]RADIO!X120</f>
        <v>9.3572877868645996</v>
      </c>
      <c r="AG126" s="15">
        <f>+[1]RADIO!Y120</f>
        <v>8.7290848720239964</v>
      </c>
      <c r="AH126" s="16">
        <f t="shared" si="45"/>
        <v>7.1966640724727302</v>
      </c>
      <c r="AK126" s="13" t="str">
        <f>+IF($B$3="esp","Resultado de Explotación Comparable","Comparable Operating Result")</f>
        <v>Comparable Operating Result</v>
      </c>
      <c r="AM126" s="14">
        <f>+[1]NOTICIAS!T88</f>
        <v>-6.1888904937896898</v>
      </c>
      <c r="AN126" s="15">
        <f>+[1]NOTICIAS!U88</f>
        <v>-8.2722294690912026</v>
      </c>
      <c r="AO126" s="16">
        <f t="shared" si="46"/>
        <v>25.184733850599905</v>
      </c>
      <c r="AQ126" s="14">
        <f>+[1]NOTICIAS!X88</f>
        <v>-2.9710720010672595</v>
      </c>
      <c r="AR126" s="15">
        <f>+[1]NOTICIAS!Y88</f>
        <v>-1.9613258683202579</v>
      </c>
      <c r="AS126" s="16">
        <f t="shared" si="47"/>
        <v>-51.482833579907883</v>
      </c>
    </row>
    <row r="127" spans="4:45" ht="15" customHeight="1">
      <c r="D127" s="21" t="str">
        <f>+IF($A$1="esp","Sentencia Mediapro","Mediapro Rulling")</f>
        <v>Mediapro Rulling</v>
      </c>
      <c r="F127" s="22">
        <f>+[1]GRUPO!T169</f>
        <v>-51.035825500000001</v>
      </c>
      <c r="G127" s="23">
        <f>+[1]GRUPO!U169</f>
        <v>0</v>
      </c>
      <c r="H127" s="24"/>
      <c r="J127" s="22">
        <f>+[1]GRUPO!X169</f>
        <v>0</v>
      </c>
      <c r="K127" s="23">
        <f>+[1]GRUPO!Y169</f>
        <v>0</v>
      </c>
      <c r="L127" s="24"/>
      <c r="O127" s="21"/>
      <c r="Q127" s="22"/>
      <c r="R127" s="23"/>
      <c r="S127" s="24"/>
      <c r="U127" s="22"/>
      <c r="V127" s="23"/>
      <c r="W127" s="24"/>
      <c r="Z127" s="21"/>
      <c r="AB127" s="22"/>
      <c r="AC127" s="23"/>
      <c r="AD127" s="24"/>
      <c r="AF127" s="22"/>
      <c r="AG127" s="23"/>
      <c r="AH127" s="24"/>
      <c r="AK127" s="21"/>
      <c r="AM127" s="22"/>
      <c r="AN127" s="23"/>
      <c r="AO127" s="24"/>
      <c r="AQ127" s="22"/>
      <c r="AR127" s="23"/>
      <c r="AS127" s="24"/>
    </row>
    <row r="128" spans="4:45" ht="15" customHeight="1">
      <c r="D128" s="21" t="str">
        <f>+IF($B$3="esp","Efecto NIIF16","IFRS16 Effect")</f>
        <v>IFRS16 Effect</v>
      </c>
      <c r="F128" s="22">
        <f>+[1]GRUPO!T170</f>
        <v>0</v>
      </c>
      <c r="G128" s="23">
        <f>+[1]GRUPO!U170</f>
        <v>-5.3920709358130523</v>
      </c>
      <c r="H128" s="24"/>
      <c r="J128" s="22">
        <f>+[1]GRUPO!X170</f>
        <v>0</v>
      </c>
      <c r="K128" s="23">
        <f>+[1]GRUPO!Y170</f>
        <v>-1.684914159959142</v>
      </c>
      <c r="L128" s="24"/>
      <c r="O128" s="21" t="str">
        <f>+IF($B$3="esp","Efecto NIIF16","IFRS16 Effect")</f>
        <v>IFRS16 Effect</v>
      </c>
      <c r="Q128" s="22"/>
      <c r="R128" s="23">
        <f>+[1]SANTILLANA!U175</f>
        <v>-1.7824201540765046</v>
      </c>
      <c r="S128" s="24"/>
      <c r="U128" s="22"/>
      <c r="V128" s="23">
        <f>+[1]SANTILLANA!Y175</f>
        <v>-0.48077954418709368</v>
      </c>
      <c r="W128" s="24"/>
      <c r="Z128" s="21" t="str">
        <f>+IF($B$3="esp","Efecto NIIF16","IFRS16 Effect")</f>
        <v>IFRS16 Effect</v>
      </c>
      <c r="AB128" s="22"/>
      <c r="AC128" s="23">
        <f>+[1]RADIO!U121</f>
        <v>-2.3919469999999983</v>
      </c>
      <c r="AD128" s="24">
        <f t="shared" si="44"/>
        <v>100</v>
      </c>
      <c r="AF128" s="22"/>
      <c r="AG128" s="23">
        <f>+[1]RADIO!Y121</f>
        <v>-0.78893999999999664</v>
      </c>
      <c r="AH128" s="24">
        <f t="shared" ref="AH128" si="48">IF(AG128=0,"---",IF(OR(ABS((AF128-AG128)/ABS(AG128))&gt;2,(AF128*AG128)&lt;0),"---",IF(AG128="0","---",((AF128-AG128)/ABS(AG128))*100)))</f>
        <v>100</v>
      </c>
      <c r="AK128" s="21" t="str">
        <f>+IF($B$3="esp","Efecto NIIF16","IFRS16 Effect")</f>
        <v>IFRS16 Effect</v>
      </c>
      <c r="AM128" s="22"/>
      <c r="AN128" s="23">
        <f>+[1]NOTICIAS!U89</f>
        <v>-1.1262370584323058</v>
      </c>
      <c r="AO128" s="24"/>
      <c r="AQ128" s="22"/>
      <c r="AR128" s="23">
        <f>+[1]NOTICIAS!Y89</f>
        <v>-0.3840784714646599</v>
      </c>
      <c r="AS128" s="24"/>
    </row>
    <row r="129" spans="4:45" ht="15" customHeight="1">
      <c r="D129" s="13" t="str">
        <f>+IF($B$3="esp","EBIT Contable","Reported Operating Result")</f>
        <v>Reported Operating Result</v>
      </c>
      <c r="E129" s="13"/>
      <c r="F129" s="14">
        <f>+[1]GRUPO!T171</f>
        <v>49.595165304385503</v>
      </c>
      <c r="G129" s="15">
        <f>+[1]GRUPO!U171</f>
        <v>98.645203957271534</v>
      </c>
      <c r="H129" s="16">
        <f>IF(G129=0,"---",IF(OR(ABS((F129-G129)/ABS(G129))&gt;2,(F129*G129)&lt;0),"---",IF(G129="0","---",((F129-G129)/ABS(G129))*100)))</f>
        <v>-49.723693281765833</v>
      </c>
      <c r="J129" s="14">
        <f>+[1]GRUPO!X171</f>
        <v>56.932713847506498</v>
      </c>
      <c r="K129" s="15">
        <f>+[1]GRUPO!Y171</f>
        <v>34.913502233272304</v>
      </c>
      <c r="L129" s="16">
        <f>IF(K129=0,"---",IF(OR(ABS((J129-K129)/ABS(K129))&gt;2,(J129*K129)&lt;0),"---",IF(K129="0","---",((J129-K129)/ABS(K129))*100)))</f>
        <v>63.067896961795064</v>
      </c>
      <c r="O129" s="13" t="str">
        <f>+IF($B$3="esp","EBIT Contable","Reported Operating Result")</f>
        <v>Reported Operating Result</v>
      </c>
      <c r="P129" s="13"/>
      <c r="Q129" s="14">
        <f>+[1]SANTILLANA!T176</f>
        <v>86.389801575300794</v>
      </c>
      <c r="R129" s="15">
        <f>+[1]SANTILLANA!U176</f>
        <v>94.944594493923503</v>
      </c>
      <c r="S129" s="16">
        <f>IF(R129=0,"---",IF(OR(ABS((Q129-R129)/ABS(R129))&gt;2,(Q129*R129)&lt;0),"---",IF(R129="0","---",((Q129-R129)/ABS(R129))*100)))</f>
        <v>-9.0103001273760981</v>
      </c>
      <c r="U129" s="14">
        <f>+[1]SANTILLANA!X176</f>
        <v>51.859808965320795</v>
      </c>
      <c r="V129" s="15">
        <f>+[1]SANTILLANA!Y176</f>
        <v>31.1894127248271</v>
      </c>
      <c r="W129" s="16">
        <f>IF(V129=0,"---",IF(OR(ABS((U129-V129)/ABS(V129))&gt;2,(U129*V129)&lt;0),"---",IF(V129="0","---",((U129-V129)/ABS(V129))*100)))</f>
        <v>66.27375905683482</v>
      </c>
      <c r="Z129" s="13" t="str">
        <f>+IF($B$3="esp","EBIT Contable","Reported Operating Result")</f>
        <v>Reported Operating Result</v>
      </c>
      <c r="AA129" s="13"/>
      <c r="AB129" s="14">
        <f>+[1]RADIO!T122</f>
        <v>28.3653771076156</v>
      </c>
      <c r="AC129" s="15">
        <f>+[1]RADIO!U122</f>
        <v>24.692249248669199</v>
      </c>
      <c r="AD129" s="16">
        <f>IF(AC129=0,"---",IF(OR(ABS((AB129-AC129)/ABS(AC129))&gt;2,(AB129*AC129)&lt;0),"---",IF(AC129="0","---",((AB129-AC129)/ABS(AC129))*100)))</f>
        <v>14.875630899215736</v>
      </c>
      <c r="AF129" s="14">
        <f>+[1]RADIO!X122</f>
        <v>9.3572877868645996</v>
      </c>
      <c r="AG129" s="15">
        <f>+[1]RADIO!Y122</f>
        <v>7.9401448720239998</v>
      </c>
      <c r="AH129" s="16">
        <f>IF(AG129=0,"---",IF(OR(ABS((AF129-AG129)/ABS(AG129))&gt;2,(AF129*AG129)&lt;0),"---",IF(AG129="0","---",((AF129-AG129)/ABS(AG129))*100)))</f>
        <v>17.847821893448149</v>
      </c>
      <c r="AK129" s="13" t="str">
        <f>+IF($B$3="esp","EBIT Contable","Reported Operating Result")</f>
        <v>Reported Operating Result</v>
      </c>
      <c r="AL129" s="13"/>
      <c r="AM129" s="14">
        <f>+[1]NOTICIAS!T90</f>
        <v>-6.1888904937896898</v>
      </c>
      <c r="AN129" s="15">
        <f>+[1]NOTICIAS!U90</f>
        <v>-9.3984665275235084</v>
      </c>
      <c r="AO129" s="16">
        <f>IF(AN129=0,"---",IF(OR(ABS((AM129-AN129)/ABS(AN129))&gt;2,(AM129*AN129)&lt;0),"---",IF(AN129="0","---",((AM129-AN129)/ABS(AN129))*100)))</f>
        <v>34.149996963169912</v>
      </c>
      <c r="AQ129" s="14">
        <f>+[1]NOTICIAS!X90</f>
        <v>-2.9710720010672595</v>
      </c>
      <c r="AR129" s="15">
        <f>+[1]NOTICIAS!Y90</f>
        <v>-2.3454043397849178</v>
      </c>
      <c r="AS129" s="16">
        <f>IF(AR129=0,"---",IF(OR(ABS((AQ129-AR129)/ABS(AR129))&gt;2,(AQ129*AR129)&lt;0),"---",IF(AR129="0","---",((AQ129-AR129)/ABS(AR129))*100)))</f>
        <v>-26.676324020945479</v>
      </c>
    </row>
    <row r="130" spans="4:45" ht="15" customHeight="1"/>
    <row r="132" spans="4:45">
      <c r="D132" s="9"/>
      <c r="F132" s="7" t="str">
        <f>+F114</f>
        <v>JANUARY - SEPTEMBER</v>
      </c>
      <c r="G132" s="8"/>
      <c r="H132" s="8"/>
      <c r="J132" s="7" t="str">
        <f>+J114</f>
        <v>JULY - SEPTEMBER</v>
      </c>
      <c r="K132" s="8"/>
      <c r="L132" s="8"/>
      <c r="AK132" s="9" t="str">
        <f>+IF($B$3="esp","Millones de €","€ Millions")</f>
        <v>€ Millions</v>
      </c>
      <c r="AM132" s="7" t="str">
        <f>+AM114</f>
        <v>JANUARY - SEPTEMBER</v>
      </c>
      <c r="AN132" s="8"/>
      <c r="AO132" s="8"/>
      <c r="AQ132" s="7" t="str">
        <f>+AQ114</f>
        <v>JULY - SEPTEMBER</v>
      </c>
      <c r="AR132" s="8"/>
      <c r="AS132" s="8"/>
    </row>
    <row r="133" spans="4:45" ht="14.25" customHeight="1"/>
    <row r="134" spans="4:45" ht="15">
      <c r="D134" s="53" t="str">
        <f>+IF($B$3="esp","OTROS","OTHERS")</f>
        <v>OTHERS</v>
      </c>
      <c r="F134" s="10">
        <v>2019</v>
      </c>
      <c r="G134" s="10">
        <v>2018</v>
      </c>
      <c r="H134" s="10" t="s">
        <v>5</v>
      </c>
      <c r="J134" s="10">
        <v>2019</v>
      </c>
      <c r="K134" s="10">
        <v>2018</v>
      </c>
      <c r="L134" s="10" t="s">
        <v>5</v>
      </c>
      <c r="AK134" s="53" t="str">
        <f>+IF($B$3="esp","PRENSA","PRESS")</f>
        <v>PRESS</v>
      </c>
      <c r="AM134" s="10">
        <v>2019</v>
      </c>
      <c r="AN134" s="10">
        <v>2018</v>
      </c>
      <c r="AO134" s="10" t="str">
        <f>+IF($B$3="esp","Var.%","% Chg.")</f>
        <v>% Chg.</v>
      </c>
      <c r="AQ134" s="10">
        <v>2019</v>
      </c>
      <c r="AR134" s="10">
        <v>2018</v>
      </c>
      <c r="AS134" s="10" t="str">
        <f>+IF($B$3="esp","Var.%","% Chg.")</f>
        <v>% Chg.</v>
      </c>
    </row>
    <row r="135" spans="4:45" ht="15.75" customHeight="1">
      <c r="D135" s="11"/>
      <c r="F135" s="12"/>
      <c r="G135" s="12"/>
      <c r="H135" s="12"/>
      <c r="J135" s="12"/>
      <c r="K135" s="12"/>
      <c r="L135" s="12"/>
      <c r="AK135" s="11"/>
      <c r="AM135" s="12"/>
      <c r="AN135" s="12"/>
      <c r="AO135" s="12"/>
      <c r="AQ135" s="12"/>
      <c r="AR135" s="12"/>
      <c r="AS135" s="12"/>
    </row>
    <row r="136" spans="4:45" s="13" customFormat="1" ht="15" customHeight="1">
      <c r="D136" s="13" t="str">
        <f>+IF($B$3="esp","EBITDA criterio anterior contable","Previous criteria reported EBITDA")</f>
        <v>Previous criteria reported EBITDA</v>
      </c>
      <c r="F136" s="14"/>
      <c r="G136" s="15">
        <f>+[1]GRUPO!U178</f>
        <v>-11.145674050883947</v>
      </c>
      <c r="H136" s="16"/>
      <c r="J136" s="14"/>
      <c r="K136" s="15">
        <f>+[1]GRUPO!Y178</f>
        <v>-1.8030154960631819</v>
      </c>
      <c r="L136" s="16"/>
      <c r="AK136" s="13" t="str">
        <f>+IF($B$3="esp","EBITDA criterio anterior contable","Previous criteria reported EBITDA")</f>
        <v>Previous criteria reported EBITDA</v>
      </c>
      <c r="AM136" s="14"/>
      <c r="AN136" s="15">
        <f>+[1]NOTICIAS!U94</f>
        <v>-1.83337445721434</v>
      </c>
      <c r="AO136" s="16">
        <f>IF(AN136=0,"---",IF(OR(ABS((AM136-AN136)/ABS(AN136))&gt;2,(AM136*AN136)&lt;0),"---",IF(AN136="0","---",((AM136-AN136)/ABS(AN136))*100)))</f>
        <v>100</v>
      </c>
      <c r="AQ136" s="14"/>
      <c r="AR136" s="15">
        <f>+[1]NOTICIAS!Y94</f>
        <v>-1.0826421292297188</v>
      </c>
      <c r="AS136" s="16">
        <f>IF(AR136=0,"---",IF(OR(ABS((AQ136-AR136)/ABS(AR136))&gt;2,(AQ136*AR136)&lt;0),"---",IF(AR136="0","---",((AQ136-AR136)/ABS(AR136))*100)))</f>
        <v>100</v>
      </c>
    </row>
    <row r="137" spans="4:45" ht="15" customHeight="1">
      <c r="D137" s="21" t="str">
        <f>+IF($B$3="esp","Provisiones","Provisions")</f>
        <v>Provisions</v>
      </c>
      <c r="F137" s="22"/>
      <c r="G137" s="23">
        <f>+[1]GRUPO!U179</f>
        <v>-0.13564877040046142</v>
      </c>
      <c r="H137" s="24"/>
      <c r="J137" s="22"/>
      <c r="K137" s="23">
        <f>+[1]GRUPO!Y179</f>
        <v>-6.3257800436564704E-3</v>
      </c>
      <c r="L137" s="24"/>
      <c r="AK137" s="21" t="str">
        <f>+IF($B$3="esp","Provisiones","Provisions")</f>
        <v>Provisions</v>
      </c>
      <c r="AM137" s="22"/>
      <c r="AN137" s="23">
        <f>+[1]NOTICIAS!U95</f>
        <v>-1.0125765387650401</v>
      </c>
      <c r="AO137" s="24"/>
      <c r="AQ137" s="22"/>
      <c r="AR137" s="23">
        <f>+[1]NOTICIAS!Y95</f>
        <v>-1.4306770776581046E-2</v>
      </c>
      <c r="AS137" s="24"/>
    </row>
    <row r="138" spans="4:45" ht="15" customHeight="1">
      <c r="D138" s="13" t="str">
        <f>+IF($B$3="esp","EBITDA Contable","Reported EBITDA")</f>
        <v>Reported EBITDA</v>
      </c>
      <c r="E138" s="13"/>
      <c r="F138" s="14">
        <f>+[1]GRUPO!T180</f>
        <v>-57.946884154740538</v>
      </c>
      <c r="G138" s="15">
        <f>+[1]GRUPO!U180</f>
        <v>-11.281322821284396</v>
      </c>
      <c r="H138" s="16" t="str">
        <f>IF(G138=0,"---",IF(OR(ABS((F138-G138)/ABS(G138))&gt;2,(F138*G138)&lt;0),"---",IF(G138="0","---",((F138-G138)/ABS(G138))*100)))</f>
        <v>---</v>
      </c>
      <c r="J138" s="14">
        <f>+[1]GRUPO!X180</f>
        <v>-0.95703529361142614</v>
      </c>
      <c r="K138" s="15">
        <f>+[1]GRUPO!Y180</f>
        <v>-1.8093412761068262</v>
      </c>
      <c r="L138" s="16">
        <f>IF(K138=0,"---",IF(OR(ABS((J138-K138)/ABS(K138))&gt;2,(J138*K138)&lt;0),"---",IF(K138="0","---",((J138-K138)/ABS(K138))*100)))</f>
        <v>47.105871830289168</v>
      </c>
      <c r="AK138" s="13" t="str">
        <f>+IF($B$3="esp","EBITDA Contable","Reported EBITDA")</f>
        <v>Reported EBITDA</v>
      </c>
      <c r="AL138" s="13"/>
      <c r="AM138" s="14">
        <f>+[1]NOTICIAS!T96</f>
        <v>1.83828380857494</v>
      </c>
      <c r="AN138" s="15">
        <f>+[1]NOTICIAS!U96</f>
        <v>-2.8459509959793801</v>
      </c>
      <c r="AO138" s="16" t="str">
        <f>IF(AN138=0,"---",IF(OR(ABS((AM138-AN138)/ABS(AN138))&gt;2,(AM138*AN138)&lt;0),"---",IF(AN138="0","---",((AM138-AN138)/ABS(AN138))*100)))</f>
        <v>---</v>
      </c>
      <c r="AQ138" s="14">
        <f>+[1]NOTICIAS!X96</f>
        <v>-0.83458320738706027</v>
      </c>
      <c r="AR138" s="15">
        <f>+[1]NOTICIAS!Y96</f>
        <v>-1.0969489000063</v>
      </c>
      <c r="AS138" s="16">
        <f>IF(AR138=0,"---",IF(OR(ABS((AQ138-AR138)/ABS(AR138))&gt;2,(AQ138*AR138)&lt;0),"---",IF(AR138="0","---",((AQ138-AR138)/ABS(AR138))*100)))</f>
        <v>23.917767966924703</v>
      </c>
    </row>
    <row r="139" spans="4:45" ht="15" customHeight="1">
      <c r="D139" s="21" t="str">
        <f>+IF($A$1="esp","Sentencia Mediapro","Mediapro Rulling")</f>
        <v>Mediapro Rulling</v>
      </c>
      <c r="F139" s="22">
        <f>+[1]GRUPO!T181</f>
        <v>51.035825500000001</v>
      </c>
      <c r="G139" s="23">
        <f>+[1]GRUPO!U181</f>
        <v>0</v>
      </c>
      <c r="H139" s="24"/>
      <c r="J139" s="22">
        <f>+[1]GRUPO!X181</f>
        <v>0</v>
      </c>
      <c r="K139" s="23">
        <f>+[1]GRUPO!Y181</f>
        <v>0</v>
      </c>
      <c r="L139" s="24"/>
      <c r="AK139" s="21" t="str">
        <f>+IF($B$3="esp","Efecto NIIF16","IFRS16 Effect")</f>
        <v>IFRS16 Effect</v>
      </c>
      <c r="AM139" s="22"/>
      <c r="AN139" s="23">
        <f>+[1]NOTICIAS!U97</f>
        <v>3.41330376728164</v>
      </c>
      <c r="AO139" s="24"/>
      <c r="AQ139" s="22"/>
      <c r="AR139" s="23">
        <f>+[1]NOTICIAS!Y97</f>
        <v>1.1453073926544399</v>
      </c>
      <c r="AS139" s="24"/>
    </row>
    <row r="140" spans="4:45" ht="15" customHeight="1">
      <c r="D140" s="21" t="str">
        <f>+IF($B$3="esp","Efecto NIIF16","IFRS16 Effect")</f>
        <v>IFRS16 Effect</v>
      </c>
      <c r="F140" s="22">
        <f>+[1]GRUPO!T182</f>
        <v>0</v>
      </c>
      <c r="G140" s="23">
        <f>+[1]GRUPO!U182</f>
        <v>0.93362396421387839</v>
      </c>
      <c r="H140" s="24"/>
      <c r="J140" s="22">
        <f>+[1]GRUPO!X182</f>
        <v>0</v>
      </c>
      <c r="K140" s="23">
        <f>+[1]GRUPO!Y182</f>
        <v>0.31183522461057311</v>
      </c>
      <c r="L140" s="24"/>
      <c r="AK140" s="13" t="str">
        <f>+IF($B$3="esp","EBITDA Comparable","Comparable EBITDA")</f>
        <v>Comparable EBITDA</v>
      </c>
      <c r="AL140" s="13"/>
      <c r="AM140" s="14">
        <f>+[1]NOTICIAS!T98</f>
        <v>1.83828380857494</v>
      </c>
      <c r="AN140" s="15">
        <f>+[1]NOTICIAS!U98</f>
        <v>0.56735277130225992</v>
      </c>
      <c r="AO140" s="16" t="str">
        <f t="shared" ref="AO140:AO145" si="49">IF(AN140=0,"---",IF(OR(ABS((AM140-AN140)/ABS(AN140))&gt;2,(AM140*AN140)&lt;0),"---",IF(AN140="0","---",((AM140-AN140)/ABS(AN140))*100)))</f>
        <v>---</v>
      </c>
      <c r="AQ140" s="14">
        <f>+[1]NOTICIAS!X98</f>
        <v>-0.83458320738706027</v>
      </c>
      <c r="AR140" s="15">
        <f>+[1]NOTICIAS!Y98</f>
        <v>4.835849264813985E-2</v>
      </c>
      <c r="AS140" s="16" t="str">
        <f t="shared" ref="AS140:AS143" si="50">IF(AR140=0,"---",IF(OR(ABS((AQ140-AR140)/ABS(AR140))&gt;2,(AQ140*AR140)&lt;0),"---",IF(AR140="0","---",((AQ140-AR140)/ABS(AR140))*100)))</f>
        <v>---</v>
      </c>
    </row>
    <row r="141" spans="4:45" ht="15" customHeight="1">
      <c r="D141" s="13" t="str">
        <f>+IF($B$3="esp","EBITDA Comparable","Comparable EBITDA")</f>
        <v>Comparable EBITDA</v>
      </c>
      <c r="E141" s="13"/>
      <c r="F141" s="14">
        <f>+[1]GRUPO!T183</f>
        <v>-6.9110586547405521</v>
      </c>
      <c r="G141" s="15">
        <f>+[1]GRUPO!U183</f>
        <v>-10.347698857070517</v>
      </c>
      <c r="H141" s="16">
        <f t="shared" ref="H141:H144" si="51">IF(G141=0,"---",IF(OR(ABS((F141-G141)/ABS(G141))&gt;2,(F141*G141)&lt;0),"---",IF(G141="0","---",((F141-G141)/ABS(G141))*100)))</f>
        <v>33.211637193922883</v>
      </c>
      <c r="J141" s="14">
        <f>+[1]GRUPO!X183</f>
        <v>-0.95703529361143858</v>
      </c>
      <c r="K141" s="15">
        <f>+[1]GRUPO!Y183</f>
        <v>-1.4975060514962522</v>
      </c>
      <c r="L141" s="16">
        <f t="shared" ref="L141:L144" si="52">IF(K141=0,"---",IF(OR(ABS((J141-K141)/ABS(K141))&gt;2,(J141*K141)&lt;0),"---",IF(K141="0","---",((J141-K141)/ABS(K141))*100)))</f>
        <v>36.091390571997714</v>
      </c>
      <c r="AK141" s="21" t="str">
        <f>+IF($B$3="esp","Amortizaciones","Amortizations")</f>
        <v>Amortizations</v>
      </c>
      <c r="AM141" s="22">
        <f>+[1]NOTICIAS!T99</f>
        <v>5.88967101137525</v>
      </c>
      <c r="AN141" s="23">
        <f>+[1]NOTICIAS!U99</f>
        <v>5.6717805856657781</v>
      </c>
      <c r="AO141" s="24">
        <f t="shared" si="49"/>
        <v>3.8416582309291658</v>
      </c>
      <c r="AQ141" s="22">
        <f>+[1]NOTICIAS!X99</f>
        <v>1.9583420847878101</v>
      </c>
      <c r="AR141" s="23">
        <f>+[1]NOTICIAS!Y99</f>
        <v>1.9330944522466194</v>
      </c>
      <c r="AS141" s="24">
        <f t="shared" si="50"/>
        <v>1.306073405355247</v>
      </c>
    </row>
    <row r="142" spans="4:45" ht="15" customHeight="1">
      <c r="D142" s="21" t="str">
        <f>+IF($B$3="esp","Amortizaciones","Amortizations")</f>
        <v>Amortizations</v>
      </c>
      <c r="F142" s="22">
        <f>+[1]GRUPO!T184</f>
        <v>1.024238729999988</v>
      </c>
      <c r="G142" s="23">
        <f>+[1]GRUPO!U184</f>
        <v>1.0520525674233339</v>
      </c>
      <c r="H142" s="24">
        <f t="shared" si="51"/>
        <v>-2.6437687891838868</v>
      </c>
      <c r="J142" s="22">
        <f>+[1]GRUPO!X184</f>
        <v>0.35627560999995644</v>
      </c>
      <c r="K142" s="23">
        <f>+[1]GRUPO!Y184</f>
        <v>0.34212882799064026</v>
      </c>
      <c r="L142" s="24">
        <f t="shared" si="52"/>
        <v>4.1349283813357003</v>
      </c>
      <c r="AK142" s="21" t="str">
        <f>+IF($B$3="esp","Pérdidas de inmovilizado","Impairment from fixed assets")</f>
        <v>Impairment from fixed assets</v>
      </c>
      <c r="AM142" s="22">
        <f>+[1]NOTICIAS!T100</f>
        <v>3.9968028886505635E-14</v>
      </c>
      <c r="AN142" s="23">
        <f>+[1]NOTICIAS!U100</f>
        <v>6.1558678809525702E-5</v>
      </c>
      <c r="AO142" s="24">
        <f t="shared" si="49"/>
        <v>-99.999999935073276</v>
      </c>
      <c r="AQ142" s="22">
        <f>+[1]NOTICIAS!X100</f>
        <v>2.9753977059954195E-14</v>
      </c>
      <c r="AR142" s="23">
        <f>+[1]NOTICIAS!Y100</f>
        <v>6.1558678809525702E-5</v>
      </c>
      <c r="AS142" s="24">
        <f t="shared" si="50"/>
        <v>-99.999999951665657</v>
      </c>
    </row>
    <row r="143" spans="4:45" ht="15" customHeight="1">
      <c r="D143" s="21" t="str">
        <f>+IF($B$3="esp","Pérdidas de inmovilizado","Impairment from fixed assets")</f>
        <v>Impairment from fixed assets</v>
      </c>
      <c r="F143" s="22">
        <f>+[1]GRUPO!T185</f>
        <v>6.5991656583719305E-13</v>
      </c>
      <c r="G143" s="23">
        <f>+[1]GRUPO!U185</f>
        <v>0.10195510999956525</v>
      </c>
      <c r="H143" s="24">
        <f t="shared" si="51"/>
        <v>-99.999999999352738</v>
      </c>
      <c r="J143" s="22">
        <f>+[1]GRUPO!X185</f>
        <v>2.4158453015843406E-13</v>
      </c>
      <c r="K143" s="23">
        <f>+[1]GRUPO!Y185</f>
        <v>-1.0000000040655266E-4</v>
      </c>
      <c r="L143" s="24" t="str">
        <f t="shared" si="52"/>
        <v>---</v>
      </c>
      <c r="AK143" s="13" t="str">
        <f>+IF($B$3="esp","Resultado de Explotación Comparable","Comparable Operating Result")</f>
        <v>Comparable Operating Result</v>
      </c>
      <c r="AL143" s="13"/>
      <c r="AM143" s="14">
        <f>+[1]NOTICIAS!T101</f>
        <v>-4.0513872028003499</v>
      </c>
      <c r="AN143" s="15">
        <f>+[1]NOTICIAS!U101</f>
        <v>-5.1044893730423277</v>
      </c>
      <c r="AO143" s="16">
        <f t="shared" si="49"/>
        <v>20.630901414029555</v>
      </c>
      <c r="AQ143" s="14">
        <f>+[1]NOTICIAS!X101</f>
        <v>-2.7929252921749002</v>
      </c>
      <c r="AR143" s="15">
        <f>+[1]NOTICIAS!Y101</f>
        <v>-1.8847975182772894</v>
      </c>
      <c r="AS143" s="16">
        <f t="shared" si="50"/>
        <v>-48.181715281949351</v>
      </c>
    </row>
    <row r="144" spans="4:45" ht="15" customHeight="1">
      <c r="D144" s="13" t="str">
        <f>+IF($B$3="esp","Resultado de Explotación Comparable","Comparable Operating Result")</f>
        <v>Comparable Operating Result</v>
      </c>
      <c r="E144" s="13"/>
      <c r="F144" s="14">
        <f>+[1]GRUPO!T186</f>
        <v>-7.9352973847412001</v>
      </c>
      <c r="G144" s="15">
        <f>+[1]GRUPO!U186</f>
        <v>-11.501706534493417</v>
      </c>
      <c r="H144" s="16">
        <f t="shared" si="51"/>
        <v>31.007652117158603</v>
      </c>
      <c r="J144" s="14">
        <f>+[1]GRUPO!X186</f>
        <v>-1.3133109036116366</v>
      </c>
      <c r="K144" s="15">
        <f>+[1]GRUPO!Y186</f>
        <v>-1.8395348794864876</v>
      </c>
      <c r="L144" s="16">
        <f t="shared" si="52"/>
        <v>28.606360322004239</v>
      </c>
      <c r="AK144" s="21" t="str">
        <f>+IF($B$3="esp","Efecto NIIF16","IFRS16 Effect")</f>
        <v>IFRS16 Effect</v>
      </c>
      <c r="AM144" s="22"/>
      <c r="AN144" s="23">
        <f>+[1]NOTICIAS!U102</f>
        <v>-0.94208573577244259</v>
      </c>
      <c r="AO144" s="24"/>
      <c r="AQ144" s="22"/>
      <c r="AR144" s="23">
        <f>+[1]NOTICIAS!Y102</f>
        <v>-0.3215680488180408</v>
      </c>
      <c r="AS144" s="24"/>
    </row>
    <row r="145" spans="4:47" ht="15" customHeight="1">
      <c r="D145" s="21" t="str">
        <f>+IF($A$1="esp","Sentencia Mediapro","Mediapro Rulling")</f>
        <v>Mediapro Rulling</v>
      </c>
      <c r="F145" s="22">
        <f>+[1]GRUPO!T187</f>
        <v>-51.035825500000001</v>
      </c>
      <c r="G145" s="23">
        <f>+[1]GRUPO!U187</f>
        <v>0</v>
      </c>
      <c r="H145" s="24"/>
      <c r="J145" s="22">
        <f>+[1]GRUPO!X187</f>
        <v>0</v>
      </c>
      <c r="K145" s="23">
        <f>+[1]GRUPO!Y187</f>
        <v>0</v>
      </c>
      <c r="L145" s="24"/>
      <c r="AK145" s="13" t="str">
        <f>+IF($B$3="esp","EBIT Contable","Reported Operating Result")</f>
        <v>Reported Operating Result</v>
      </c>
      <c r="AL145" s="13"/>
      <c r="AM145" s="14">
        <f>+[1]NOTICIAS!T103</f>
        <v>-4.0513872028003499</v>
      </c>
      <c r="AN145" s="15">
        <f>+[1]NOTICIAS!U103</f>
        <v>-6.0465751088147703</v>
      </c>
      <c r="AO145" s="16">
        <f t="shared" si="49"/>
        <v>32.996992017941054</v>
      </c>
      <c r="AQ145" s="14">
        <f>+[1]NOTICIAS!X103</f>
        <v>-2.7929252921749002</v>
      </c>
      <c r="AR145" s="15">
        <f>+[1]NOTICIAS!Y103</f>
        <v>-2.2063655670953302</v>
      </c>
      <c r="AS145" s="16">
        <f t="shared" ref="AS145" si="53">IF(AR145=0,"---",IF(OR(ABS((AQ145-AR145)/ABS(AR145))&gt;2,(AQ145*AR145)&lt;0),"---",IF(AR145="0","---",((AQ145-AR145)/ABS(AR145))*100)))</f>
        <v>-26.584883929809202</v>
      </c>
    </row>
    <row r="146" spans="4:47" ht="15" customHeight="1">
      <c r="D146" s="21" t="str">
        <f>+IF($B$3="esp","Efecto NIIF16","IFRS16 Effect")</f>
        <v>IFRS16 Effect</v>
      </c>
      <c r="F146" s="22">
        <f>+[1]GRUPO!T188</f>
        <v>0</v>
      </c>
      <c r="G146" s="23">
        <f>+[1]GRUPO!U188</f>
        <v>-9.1466723304243658E-2</v>
      </c>
      <c r="H146" s="24"/>
      <c r="J146" s="22">
        <f>+[1]GRUPO!X188</f>
        <v>0</v>
      </c>
      <c r="K146" s="23">
        <f>+[1]GRUPO!Y188</f>
        <v>-3.1116144307391735E-2</v>
      </c>
      <c r="L146" s="24"/>
    </row>
    <row r="147" spans="4:47" ht="15" customHeight="1">
      <c r="D147" s="13" t="str">
        <f>+IF($B$3="esp","EBIT Contable","Reported Operating Result")</f>
        <v>Reported Operating Result</v>
      </c>
      <c r="E147" s="13"/>
      <c r="F147" s="14">
        <f>+[1]GRUPO!T189</f>
        <v>-58.971122884741199</v>
      </c>
      <c r="G147" s="15">
        <f>+[1]GRUPO!U189</f>
        <v>-11.593173257797661</v>
      </c>
      <c r="H147" s="16" t="str">
        <f>IF(G147=0,"---",IF(OR(ABS((F147-G147)/ABS(G147))&gt;2,(F147*G147)&lt;0),"---",IF(G147="0","---",((F147-G147)/ABS(G147))*100)))</f>
        <v>---</v>
      </c>
      <c r="J147" s="14">
        <f>+[1]GRUPO!X189</f>
        <v>-1.3133109036116295</v>
      </c>
      <c r="K147" s="15">
        <f>+[1]GRUPO!Y189</f>
        <v>-1.8706510237938776</v>
      </c>
      <c r="L147" s="16">
        <f>IF(K147=0,"---",IF(OR(ABS((J147-K147)/ABS(K147))&gt;2,(J147*K147)&lt;0),"---",IF(K147="0","---",((J147-K147)/ABS(K147))*100)))</f>
        <v>29.79391201742715</v>
      </c>
    </row>
    <row r="148" spans="4:47" ht="15" customHeight="1"/>
    <row r="149" spans="4:47" ht="15" customHeight="1"/>
    <row r="150" spans="4:47" ht="15" customHeight="1"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</row>
    <row r="151" spans="4:47" ht="15" customHeight="1"/>
    <row r="152" spans="4:47" ht="15" customHeight="1">
      <c r="F152" s="7" t="str">
        <f>+F132</f>
        <v>JANUARY - SEPTEMBER</v>
      </c>
      <c r="G152" s="8"/>
      <c r="H152" s="8"/>
      <c r="J152" s="7" t="str">
        <f>+J132</f>
        <v>JULY - SEPTEMBER</v>
      </c>
      <c r="K152" s="8"/>
      <c r="L152" s="8"/>
      <c r="Q152" s="7"/>
      <c r="R152" s="8"/>
      <c r="S152" s="8"/>
      <c r="U152" s="7"/>
      <c r="V152" s="8"/>
      <c r="W152" s="8"/>
    </row>
    <row r="153" spans="4:47" ht="4.5" customHeight="1"/>
    <row r="154" spans="4:47" ht="15" customHeight="1">
      <c r="D154" s="9" t="str">
        <f>+IF($B$3="esp","Millones de €","€ Millions")</f>
        <v>€ Millions</v>
      </c>
      <c r="F154" s="10">
        <v>2019</v>
      </c>
      <c r="G154" s="10">
        <v>2018</v>
      </c>
      <c r="H154" s="10" t="s">
        <v>5</v>
      </c>
      <c r="J154" s="10">
        <v>2019</v>
      </c>
      <c r="K154" s="10">
        <v>2018</v>
      </c>
      <c r="L154" s="10" t="s">
        <v>5</v>
      </c>
      <c r="O154" s="9"/>
      <c r="Q154" s="10"/>
      <c r="R154" s="10"/>
      <c r="S154" s="10"/>
      <c r="U154" s="10"/>
      <c r="V154" s="10"/>
      <c r="W154" s="10"/>
    </row>
    <row r="155" spans="4:47" ht="15" customHeight="1">
      <c r="D155" s="11" t="str">
        <f>+IF($B$3="esp","Ingresos de Explotación","Operating Revenues")</f>
        <v>Operating Revenues</v>
      </c>
      <c r="F155" s="12"/>
      <c r="G155" s="12"/>
      <c r="H155" s="12"/>
      <c r="J155" s="12"/>
      <c r="K155" s="12"/>
      <c r="L155" s="12"/>
      <c r="O155" s="11"/>
      <c r="Q155" s="12"/>
      <c r="R155" s="12"/>
      <c r="S155" s="12"/>
      <c r="U155" s="12"/>
      <c r="V155" s="12"/>
      <c r="W155" s="12"/>
    </row>
    <row r="156" spans="4:47" ht="15" customHeight="1">
      <c r="D156" s="13" t="str">
        <f>+IF($B$3="esp","GRUPO","GROUP")</f>
        <v>GROUP</v>
      </c>
      <c r="E156" s="13"/>
      <c r="F156" s="14">
        <f>+[1]GRUPO!T120</f>
        <v>796.88588326507499</v>
      </c>
      <c r="G156" s="15">
        <f>+[1]GRUPO!U120</f>
        <v>823.29512010346707</v>
      </c>
      <c r="H156" s="16">
        <f>IF(G156=0,"---",IF(OR(ABS((F156-G156)/ABS(G156))&gt;2,(F156*G156)&lt;0),"---",IF(G156="0","---",((F156-G156)/ABS(G156))*100)))</f>
        <v>-3.2077484966840459</v>
      </c>
      <c r="J156" s="14">
        <f>+[1]GRUPO!X120</f>
        <v>311.218331015643</v>
      </c>
      <c r="K156" s="15">
        <f>+[1]GRUPO!Y120</f>
        <v>280.99725833878108</v>
      </c>
      <c r="L156" s="16">
        <f>IF(K156=0,"---",IF(OR(ABS((J156-K156)/ABS(K156))&gt;2,(J156*K156)&lt;0),"---",IF(K156="0","---",((J156-K156)/ABS(K156))*100)))</f>
        <v>10.754935067881068</v>
      </c>
      <c r="O156" s="13"/>
      <c r="P156" s="13"/>
      <c r="Q156" s="14"/>
      <c r="R156" s="15"/>
      <c r="S156" s="16"/>
      <c r="U156" s="14"/>
      <c r="V156" s="15"/>
      <c r="W156" s="16"/>
    </row>
    <row r="157" spans="4:47" s="13" customFormat="1" ht="15" customHeight="1">
      <c r="D157" s="21" t="str">
        <f>+IF($B$3="esp","Educación","Education")</f>
        <v>Education</v>
      </c>
      <c r="E157" s="1"/>
      <c r="F157" s="22">
        <f>+[1]GRUPO!T121</f>
        <v>461.13603968567099</v>
      </c>
      <c r="G157" s="23">
        <f>+[1]GRUPO!U121</f>
        <v>467.59816027889303</v>
      </c>
      <c r="H157" s="24">
        <f>IF(G157=0,"---",IF(OR(ABS((F157-G157)/ABS(G157))&gt;2,(F157*G157)&lt;0),"---",IF(G157="0","---",((F157-G157)/ABS(G157))*100)))</f>
        <v>-1.3819816120251176</v>
      </c>
      <c r="J157" s="22">
        <f>+[1]GRUPO!X121</f>
        <v>205.156496230269</v>
      </c>
      <c r="K157" s="23">
        <f>+[1]GRUPO!Y121</f>
        <v>166.26297127451301</v>
      </c>
      <c r="L157" s="24">
        <f>IF(K157=0,"---",IF(OR(ABS((J157-K157)/ABS(K157))&gt;2,(J157*K157)&lt;0),"---",IF(K157="0","---",((J157-K157)/ABS(K157))*100)))</f>
        <v>23.392776309488529</v>
      </c>
      <c r="O157" s="21"/>
      <c r="P157" s="1"/>
      <c r="Q157" s="22"/>
      <c r="R157" s="23"/>
      <c r="S157" s="24"/>
      <c r="U157" s="22"/>
      <c r="V157" s="23"/>
      <c r="W157" s="24"/>
    </row>
    <row r="158" spans="4:47" ht="15" customHeight="1">
      <c r="D158" s="21" t="str">
        <f>+IF($B$3="esp","Radio","Radio")</f>
        <v>Radio</v>
      </c>
      <c r="F158" s="22">
        <f>+[1]GRUPO!T122</f>
        <v>196.37257326384102</v>
      </c>
      <c r="G158" s="23">
        <f>+[1]GRUPO!U122</f>
        <v>204.77720739574499</v>
      </c>
      <c r="H158" s="24">
        <f t="shared" ref="H158:H159" si="54">IF(G158=0,"---",IF(OR(ABS((F158-G158)/ABS(G158))&gt;2,(F158*G158)&lt;0),"---",IF(G158="0","---",((F158-G158)/ABS(G158))*100)))</f>
        <v>-4.1042820335280208</v>
      </c>
      <c r="J158" s="22">
        <f>+[1]GRUPO!X122</f>
        <v>61.872456748335026</v>
      </c>
      <c r="K158" s="23">
        <f>+[1]GRUPO!Y122</f>
        <v>68.800627108537981</v>
      </c>
      <c r="L158" s="24">
        <f t="shared" ref="L158:L159" si="55">IF(K158=0,"---",IF(OR(ABS((J158-K158)/ABS(K158))&gt;2,(J158*K158)&lt;0),"---",IF(K158="0","---",((J158-K158)/ABS(K158))*100)))</f>
        <v>-10.069923271590627</v>
      </c>
      <c r="O158" s="21"/>
      <c r="Q158" s="22"/>
      <c r="R158" s="23"/>
      <c r="S158" s="24"/>
      <c r="U158" s="22"/>
      <c r="V158" s="23"/>
      <c r="W158" s="24"/>
    </row>
    <row r="159" spans="4:47" ht="15" customHeight="1">
      <c r="D159" s="21" t="str">
        <f>+IF($B$3="esp","Prensa Total - incluye PBS y Tecnología","Press Total - includes PBS&amp;IT")</f>
        <v>Press Total - includes PBS&amp;IT</v>
      </c>
      <c r="F159" s="22">
        <f>+[1]GRUPO!T123</f>
        <v>152.93424918526998</v>
      </c>
      <c r="G159" s="23">
        <f>+[1]GRUPO!U123</f>
        <v>158.46020069447701</v>
      </c>
      <c r="H159" s="24">
        <f t="shared" si="54"/>
        <v>-3.4872803927981111</v>
      </c>
      <c r="J159" s="22">
        <f>+[1]GRUPO!X123</f>
        <v>48.402927849129981</v>
      </c>
      <c r="K159" s="23">
        <f>+[1]GRUPO!Y123</f>
        <v>48.899451987794009</v>
      </c>
      <c r="L159" s="24">
        <f t="shared" si="55"/>
        <v>-1.0153981659916518</v>
      </c>
      <c r="O159" s="31"/>
      <c r="Q159" s="23"/>
      <c r="R159" s="23"/>
      <c r="S159" s="24"/>
      <c r="U159" s="23"/>
      <c r="V159" s="23"/>
      <c r="W159" s="24"/>
    </row>
    <row r="160" spans="4:47" s="13" customFormat="1" ht="15" customHeight="1">
      <c r="D160" s="21" t="str">
        <f>+IF($B$3="esp","Otros","Others")</f>
        <v>Others</v>
      </c>
      <c r="E160" s="1"/>
      <c r="F160" s="22">
        <f>+[1]GRUPO!T124</f>
        <v>-13.556978869706995</v>
      </c>
      <c r="G160" s="23">
        <f>+[1]GRUPO!U124</f>
        <v>-7.5404482656479672</v>
      </c>
      <c r="H160" s="24">
        <f>IF(G160=0,"---",IF(OR(ABS((F160-G160)/ABS(G160))&gt;2,(F160*G160)&lt;0),"---",IF(G160="0","---",((F160-G160)/ABS(G160))*100)))</f>
        <v>-79.790091942790013</v>
      </c>
      <c r="I160" s="1"/>
      <c r="J160" s="22">
        <f>+[1]GRUPO!X124</f>
        <v>-4.2135498120910029</v>
      </c>
      <c r="K160" s="23">
        <f>+[1]GRUPO!Y124</f>
        <v>-2.9657920320639164</v>
      </c>
      <c r="L160" s="24">
        <f>IF(K160=0,"---",IF(OR(ABS((J160-K160)/ABS(K160))&gt;2,(J160*K160)&lt;0),"---",IF(K160="0","---",((J160-K160)/ABS(K160))*100)))</f>
        <v>-42.071654604816061</v>
      </c>
    </row>
    <row r="161" spans="4:23" ht="15" customHeight="1">
      <c r="Q161" s="7"/>
      <c r="R161" s="8"/>
      <c r="S161" s="8"/>
      <c r="U161" s="7"/>
      <c r="V161" s="8"/>
      <c r="W161" s="8"/>
    </row>
    <row r="162" spans="4:23" ht="15" customHeight="1">
      <c r="D162" s="21"/>
    </row>
    <row r="163" spans="4:23" ht="15" customHeight="1">
      <c r="D163" s="21"/>
      <c r="F163" s="23"/>
      <c r="G163" s="23"/>
      <c r="H163" s="24"/>
      <c r="I163" s="13"/>
      <c r="J163" s="23"/>
      <c r="K163" s="23"/>
      <c r="L163" s="24"/>
      <c r="O163" s="9"/>
      <c r="Q163" s="10"/>
      <c r="R163" s="10"/>
      <c r="S163" s="10"/>
      <c r="U163" s="10"/>
      <c r="V163" s="10"/>
      <c r="W163" s="10"/>
    </row>
    <row r="164" spans="4:23" s="13" customFormat="1" ht="4.5" customHeight="1">
      <c r="D164" s="21"/>
      <c r="E164" s="1"/>
      <c r="F164" s="23"/>
      <c r="G164" s="23"/>
      <c r="H164" s="24"/>
      <c r="I164" s="1"/>
      <c r="J164" s="23"/>
      <c r="K164" s="23"/>
      <c r="L164" s="24"/>
    </row>
    <row r="165" spans="4:23" ht="15" customHeight="1"/>
    <row r="166" spans="4:23" ht="15" customHeight="1">
      <c r="F166" s="7" t="str">
        <f>+F152</f>
        <v>JANUARY - SEPTEMBER</v>
      </c>
      <c r="G166" s="8"/>
      <c r="H166" s="8"/>
      <c r="J166" s="7" t="str">
        <f>+J152</f>
        <v>JULY - SEPTEMBER</v>
      </c>
      <c r="K166" s="8"/>
      <c r="L166" s="8"/>
      <c r="O166" s="11"/>
      <c r="Q166" s="12"/>
      <c r="R166" s="12"/>
      <c r="S166" s="12"/>
      <c r="U166" s="12"/>
      <c r="V166" s="12"/>
      <c r="W166" s="12"/>
    </row>
    <row r="167" spans="4:23" ht="15" customHeight="1">
      <c r="I167" s="13"/>
      <c r="O167" s="13"/>
      <c r="P167" s="13"/>
      <c r="Q167" s="14"/>
      <c r="R167" s="15"/>
      <c r="S167" s="16"/>
      <c r="U167" s="14"/>
      <c r="V167" s="15"/>
      <c r="W167" s="16"/>
    </row>
    <row r="168" spans="4:23" ht="15" customHeight="1">
      <c r="D168" s="9" t="str">
        <f>+IF($B$3="esp","Millones de €","€ Millions")</f>
        <v>€ Millions</v>
      </c>
      <c r="F168" s="10">
        <v>2019</v>
      </c>
      <c r="G168" s="10">
        <v>2018</v>
      </c>
      <c r="H168" s="10" t="s">
        <v>5</v>
      </c>
      <c r="J168" s="10">
        <v>2019</v>
      </c>
      <c r="K168" s="10">
        <v>2018</v>
      </c>
      <c r="L168" s="10" t="s">
        <v>5</v>
      </c>
      <c r="O168" s="21"/>
      <c r="Q168" s="22"/>
      <c r="R168" s="23"/>
      <c r="S168" s="24"/>
      <c r="U168" s="22"/>
      <c r="V168" s="23"/>
      <c r="W168" s="24"/>
    </row>
    <row r="169" spans="4:23" ht="15" customHeight="1">
      <c r="D169" s="11" t="str">
        <f>+IF($B$3="esp","EBITDA Comparable","Comparable EBITDA")</f>
        <v>Comparable EBITDA</v>
      </c>
      <c r="F169" s="12"/>
      <c r="G169" s="12"/>
      <c r="H169" s="12"/>
      <c r="J169" s="12"/>
      <c r="K169" s="12"/>
      <c r="L169" s="12"/>
      <c r="O169" s="21"/>
      <c r="Q169" s="22"/>
      <c r="R169" s="23"/>
      <c r="S169" s="24"/>
      <c r="U169" s="22"/>
      <c r="V169" s="23"/>
      <c r="W169" s="24"/>
    </row>
    <row r="170" spans="4:23" ht="15" customHeight="1">
      <c r="D170" s="13" t="str">
        <f>+IF($B$3="esp","GRUPO","GROUP")</f>
        <v>GROUP</v>
      </c>
      <c r="E170" s="13"/>
      <c r="F170" s="14">
        <f>+[1]GRUPO!T132</f>
        <v>165.25046769916199</v>
      </c>
      <c r="G170" s="15">
        <f>+[1]GRUPO!U132</f>
        <v>167.0979963389054</v>
      </c>
      <c r="H170" s="16">
        <f>IF(G170=0,"---",IF(OR(ABS((F170-G170)/ABS(G170))&gt;2,(F170*G170)&lt;0),"---",IF(G170="0","---",((F170-G170)/ABS(G170))*100)))</f>
        <v>-1.1056557709981687</v>
      </c>
      <c r="J170" s="14">
        <f>+[1]GRUPO!X132</f>
        <v>79.562049090603182</v>
      </c>
      <c r="K170" s="15">
        <f>+[1]GRUPO!Y132</f>
        <v>59.764154604313191</v>
      </c>
      <c r="L170" s="16">
        <f>IF(K170=0,"---",IF(OR(ABS((J170-K170)/ABS(K170))&gt;2,(J170*K170)&lt;0),"---",IF(K170="0","---",((J170-K170)/ABS(K170))*100)))</f>
        <v>33.126703819987064</v>
      </c>
      <c r="O170" s="31"/>
      <c r="Q170" s="23"/>
      <c r="R170" s="23"/>
      <c r="S170" s="24"/>
      <c r="U170" s="23"/>
      <c r="V170" s="23"/>
      <c r="W170" s="24"/>
    </row>
    <row r="171" spans="4:23" s="13" customFormat="1" ht="15" customHeight="1">
      <c r="D171" s="21" t="str">
        <f>+IF($B$3="esp","Educación","Education")</f>
        <v>Education</v>
      </c>
      <c r="E171" s="1"/>
      <c r="F171" s="22">
        <f>+[1]GRUPO!T133</f>
        <v>129.21480552604999</v>
      </c>
      <c r="G171" s="23">
        <f>+[1]GRUPO!U133</f>
        <v>138.98440006600089</v>
      </c>
      <c r="H171" s="24">
        <f t="shared" ref="H171:H173" si="56">IF(G171=0,"---",IF(OR(ABS((F171-G171)/ABS(G171))&gt;2,(F171*G171)&lt;0),"---",IF(G171="0","---",((F171-G171)/ABS(G171))*100)))</f>
        <v>-7.0292741741602063</v>
      </c>
      <c r="I171" s="1"/>
      <c r="J171" s="22">
        <f>+[1]GRUPO!X133</f>
        <v>67.362332028400687</v>
      </c>
      <c r="K171" s="23">
        <f>+[1]GRUPO!Y133</f>
        <v>47.96797481205617</v>
      </c>
      <c r="L171" s="24">
        <f t="shared" ref="L171:L173" si="57">IF(K171=0,"---",IF(OR(ABS((J171-K171)/ABS(K171))&gt;2,(J171*K171)&lt;0),"---",IF(K171="0","---",((J171-K171)/ABS(K171))*100)))</f>
        <v>40.431886675086353</v>
      </c>
      <c r="O171" s="21"/>
      <c r="P171" s="1"/>
      <c r="Q171" s="23"/>
      <c r="R171" s="23"/>
      <c r="S171" s="24"/>
      <c r="U171" s="23"/>
      <c r="V171" s="23"/>
      <c r="W171" s="24"/>
    </row>
    <row r="172" spans="4:23" ht="15" customHeight="1">
      <c r="D172" s="21" t="str">
        <f>+IF($B$3="esp","Radio","Radio")</f>
        <v>Radio</v>
      </c>
      <c r="F172" s="22">
        <f>+[1]GRUPO!T134</f>
        <v>41.822380985898704</v>
      </c>
      <c r="G172" s="23">
        <f>+[1]GRUPO!U134</f>
        <v>40.179288020950104</v>
      </c>
      <c r="H172" s="24">
        <f t="shared" si="56"/>
        <v>4.0894028886023719</v>
      </c>
      <c r="J172" s="22">
        <f>+[1]GRUPO!X134</f>
        <v>13.677193606604504</v>
      </c>
      <c r="K172" s="23">
        <f>+[1]GRUPO!Y134</f>
        <v>13.036188704209504</v>
      </c>
      <c r="L172" s="24">
        <f t="shared" si="57"/>
        <v>4.9171189290011883</v>
      </c>
      <c r="Q172" s="7"/>
      <c r="R172" s="8"/>
      <c r="S172" s="8"/>
      <c r="U172" s="7"/>
      <c r="V172" s="8"/>
      <c r="W172" s="8"/>
    </row>
    <row r="173" spans="4:23" s="13" customFormat="1" ht="15" customHeight="1">
      <c r="D173" s="21" t="str">
        <f>+IF($B$3="esp","Prensa Total - incluye PBS y Tecnología","Press Total - includes PBS&amp;IT")</f>
        <v>Press Total - includes PBS&amp;IT</v>
      </c>
      <c r="E173" s="1"/>
      <c r="F173" s="22">
        <f>+[1]GRUPO!T135</f>
        <v>1.1243398419538499</v>
      </c>
      <c r="G173" s="23">
        <f>+[1]GRUPO!U135</f>
        <v>-1.7179928909750697</v>
      </c>
      <c r="H173" s="24" t="str">
        <f t="shared" si="56"/>
        <v>---</v>
      </c>
      <c r="I173" s="1"/>
      <c r="J173" s="22">
        <f>+[1]GRUPO!X135</f>
        <v>-0.52044125079057002</v>
      </c>
      <c r="K173" s="23">
        <f>+[1]GRUPO!Y135</f>
        <v>0.25749713954377018</v>
      </c>
      <c r="L173" s="24" t="str">
        <f t="shared" si="57"/>
        <v>---</v>
      </c>
      <c r="O173" s="1"/>
      <c r="P173" s="1"/>
      <c r="Q173" s="1"/>
      <c r="R173" s="1"/>
      <c r="S173" s="1"/>
      <c r="U173" s="1"/>
      <c r="V173" s="1"/>
      <c r="W173" s="1"/>
    </row>
    <row r="174" spans="4:23" ht="15" customHeight="1">
      <c r="D174" s="21" t="str">
        <f>+IF($B$3="esp","Otros","Others")</f>
        <v>Others</v>
      </c>
      <c r="F174" s="22">
        <f>+[1]GRUPO!T136</f>
        <v>-6.9110586547405521</v>
      </c>
      <c r="G174" s="23">
        <f>+[1]GRUPO!U136</f>
        <v>-10.347698857070517</v>
      </c>
      <c r="H174" s="24">
        <f>IF(G174=0,"---",IF(OR(ABS((F174-G174)/ABS(G174))&gt;2,(F174*G174)&lt;0),"---",IF(G174="0","---",((F174-G174)/ABS(G174))*100)))</f>
        <v>33.211637193922883</v>
      </c>
      <c r="J174" s="22">
        <f>+[1]GRUPO!X136</f>
        <v>-0.95703529361143858</v>
      </c>
      <c r="K174" s="23">
        <f>+[1]GRUPO!Y136</f>
        <v>-1.4975060514962522</v>
      </c>
      <c r="L174" s="24">
        <f>IF(K174=0,"---",IF(OR(ABS((J174-K174)/ABS(K174))&gt;2,(J174*K174)&lt;0),"---",IF(K174="0","---",((J174-K174)/ABS(K174))*100)))</f>
        <v>36.091390571997714</v>
      </c>
      <c r="O174" s="9"/>
      <c r="Q174" s="10"/>
      <c r="R174" s="10"/>
      <c r="S174" s="10"/>
      <c r="U174" s="10"/>
      <c r="V174" s="10"/>
      <c r="W174" s="10"/>
    </row>
    <row r="175" spans="4:23" ht="15" customHeight="1">
      <c r="O175" s="11"/>
      <c r="Q175" s="12"/>
      <c r="R175" s="12"/>
      <c r="S175" s="12"/>
      <c r="U175" s="12"/>
      <c r="V175" s="12"/>
      <c r="W175" s="12"/>
    </row>
    <row r="176" spans="4:23" ht="15" customHeight="1">
      <c r="D176" s="21"/>
      <c r="F176" s="23"/>
      <c r="G176" s="23"/>
      <c r="H176" s="24"/>
      <c r="J176" s="23"/>
      <c r="K176" s="23"/>
      <c r="L176" s="24"/>
      <c r="O176" s="13"/>
      <c r="P176" s="13"/>
      <c r="Q176" s="14"/>
      <c r="R176" s="15"/>
      <c r="S176" s="16"/>
      <c r="U176" s="14"/>
      <c r="V176" s="15"/>
      <c r="W176" s="16"/>
    </row>
    <row r="177" spans="4:23" s="13" customFormat="1" ht="15" customHeight="1">
      <c r="D177" s="21"/>
      <c r="E177" s="1"/>
      <c r="F177" s="23"/>
      <c r="G177" s="23"/>
      <c r="H177" s="24"/>
      <c r="J177" s="23"/>
      <c r="K177" s="23"/>
      <c r="L177" s="24"/>
      <c r="O177" s="21"/>
      <c r="P177" s="1"/>
      <c r="Q177" s="22"/>
      <c r="R177" s="23"/>
      <c r="S177" s="24"/>
      <c r="U177" s="22"/>
      <c r="V177" s="23"/>
      <c r="W177" s="24"/>
    </row>
    <row r="178" spans="4:23" ht="15" customHeight="1">
      <c r="D178" s="21"/>
      <c r="F178" s="23"/>
      <c r="G178" s="23"/>
      <c r="H178" s="24"/>
      <c r="J178" s="23"/>
      <c r="K178" s="23"/>
      <c r="L178" s="24"/>
      <c r="O178" s="21"/>
      <c r="Q178" s="22"/>
      <c r="R178" s="23"/>
      <c r="S178" s="24"/>
      <c r="U178" s="22"/>
      <c r="V178" s="23"/>
      <c r="W178" s="24"/>
    </row>
    <row r="179" spans="4:23" ht="15" customHeight="1">
      <c r="O179" s="31"/>
      <c r="Q179" s="23"/>
      <c r="R179" s="23"/>
      <c r="S179" s="24"/>
      <c r="U179" s="23"/>
      <c r="V179" s="23"/>
      <c r="W179" s="24"/>
    </row>
    <row r="180" spans="4:23" ht="15" customHeight="1">
      <c r="O180" s="21"/>
      <c r="Q180" s="23"/>
      <c r="R180" s="23"/>
      <c r="S180" s="24"/>
      <c r="U180" s="23"/>
      <c r="V180" s="23"/>
      <c r="W180" s="24"/>
    </row>
    <row r="181" spans="4:23" ht="15" customHeight="1"/>
    <row r="182" spans="4:23" ht="15" customHeight="1">
      <c r="Q182" s="7"/>
      <c r="R182" s="8"/>
      <c r="S182" s="8"/>
      <c r="U182" s="7"/>
      <c r="V182" s="8"/>
      <c r="W182" s="8"/>
    </row>
    <row r="183" spans="4:23" ht="15" customHeight="1"/>
    <row r="184" spans="4:23" ht="15" customHeight="1">
      <c r="O184" s="9"/>
      <c r="Q184" s="10"/>
      <c r="R184" s="10"/>
      <c r="S184" s="10"/>
      <c r="U184" s="10"/>
      <c r="V184" s="10"/>
      <c r="W184" s="10"/>
    </row>
    <row r="185" spans="4:23" ht="15" customHeight="1">
      <c r="O185" s="11"/>
      <c r="Q185" s="12"/>
      <c r="R185" s="12"/>
      <c r="S185" s="12"/>
      <c r="U185" s="12"/>
      <c r="V185" s="12"/>
      <c r="W185" s="12"/>
    </row>
    <row r="186" spans="4:23" ht="15" customHeight="1">
      <c r="O186" s="13"/>
      <c r="P186" s="13"/>
      <c r="Q186" s="14"/>
      <c r="R186" s="15"/>
      <c r="S186" s="16"/>
      <c r="U186" s="14"/>
      <c r="V186" s="15"/>
      <c r="W186" s="16"/>
    </row>
    <row r="187" spans="4:23" ht="15" customHeight="1">
      <c r="O187" s="21"/>
      <c r="Q187" s="22"/>
      <c r="R187" s="23"/>
      <c r="S187" s="24"/>
      <c r="U187" s="22"/>
      <c r="V187" s="23"/>
      <c r="W187" s="24"/>
    </row>
    <row r="188" spans="4:23" ht="15" customHeight="1">
      <c r="O188" s="21"/>
      <c r="Q188" s="22"/>
      <c r="R188" s="23"/>
      <c r="S188" s="24"/>
      <c r="U188" s="22"/>
      <c r="V188" s="23"/>
      <c r="W188" s="24"/>
    </row>
    <row r="189" spans="4:23" ht="15" customHeight="1">
      <c r="O189" s="31"/>
      <c r="Q189" s="23"/>
      <c r="R189" s="23"/>
      <c r="S189" s="24"/>
      <c r="U189" s="23"/>
      <c r="V189" s="23"/>
      <c r="W189" s="24"/>
    </row>
    <row r="190" spans="4:23" ht="15" customHeight="1">
      <c r="O190" s="21"/>
      <c r="Q190" s="23"/>
      <c r="R190" s="23"/>
      <c r="S190" s="24"/>
      <c r="U190" s="23"/>
      <c r="V190" s="23"/>
      <c r="W190" s="24"/>
    </row>
    <row r="191" spans="4:23" ht="15" customHeight="1"/>
    <row r="192" spans="4:23" ht="15" customHeight="1"/>
    <row r="193" spans="15:23" ht="15" customHeight="1"/>
    <row r="194" spans="15:23" ht="15" customHeight="1"/>
    <row r="195" spans="15:23" ht="15" customHeight="1"/>
    <row r="196" spans="15:23" ht="15" customHeight="1">
      <c r="O196" s="21"/>
      <c r="Q196" s="23"/>
      <c r="R196" s="23"/>
      <c r="S196" s="24"/>
      <c r="U196" s="23"/>
      <c r="V196" s="23"/>
      <c r="W196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Guelbenzu Robles, Belen</dc:creator>
  <cp:lastModifiedBy>Guelbenzu Robles, Belen</cp:lastModifiedBy>
  <dcterms:created xsi:type="dcterms:W3CDTF">2019-10-29T14:43:13Z</dcterms:created>
  <dcterms:modified xsi:type="dcterms:W3CDTF">2019-10-29T14:43:49Z</dcterms:modified>
</cp:coreProperties>
</file>