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santillana-my.sharepoint.com/personal/bguelbenzu_prisa_com/Documents/RESULTADOS/1Q2020/Doc Def/"/>
    </mc:Choice>
  </mc:AlternateContent>
  <xr:revisionPtr revIDLastSave="0" documentId="8_{C03C075B-76E1-4098-BA75-9E64A1661CF3}" xr6:coauthVersionLast="44" xr6:coauthVersionMax="44" xr10:uidLastSave="{00000000-0000-0000-0000-000000000000}"/>
  <bookViews>
    <workbookView xWindow="-108" yWindow="-108" windowWidth="23256" windowHeight="12576" xr2:uid="{00204462-0D77-4617-A18F-8E94E3C92E6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6" i="1" l="1"/>
  <c r="O166" i="1" s="1"/>
  <c r="M166" i="1"/>
  <c r="K166" i="1"/>
  <c r="N165" i="1"/>
  <c r="O165" i="1" s="1"/>
  <c r="M165" i="1"/>
  <c r="K165" i="1"/>
  <c r="N164" i="1"/>
  <c r="O164" i="1" s="1"/>
  <c r="M164" i="1"/>
  <c r="K164" i="1"/>
  <c r="N163" i="1"/>
  <c r="O163" i="1" s="1"/>
  <c r="M163" i="1"/>
  <c r="K163" i="1"/>
  <c r="N162" i="1"/>
  <c r="O162" i="1" s="1"/>
  <c r="M162" i="1"/>
  <c r="K162" i="1"/>
  <c r="N161" i="1"/>
  <c r="O161" i="1" s="1"/>
  <c r="M161" i="1"/>
  <c r="K161" i="1"/>
  <c r="N160" i="1"/>
  <c r="O160" i="1" s="1"/>
  <c r="M160" i="1"/>
  <c r="K160" i="1"/>
  <c r="N159" i="1"/>
  <c r="O159" i="1" s="1"/>
  <c r="M159" i="1"/>
  <c r="K159" i="1"/>
  <c r="N158" i="1"/>
  <c r="O158" i="1" s="1"/>
  <c r="M158" i="1"/>
  <c r="K158" i="1"/>
  <c r="K157" i="1"/>
  <c r="O156" i="1"/>
  <c r="M154" i="1"/>
  <c r="O152" i="1"/>
  <c r="N152" i="1"/>
  <c r="M152" i="1"/>
  <c r="K152" i="1"/>
  <c r="O151" i="1"/>
  <c r="N151" i="1"/>
  <c r="M151" i="1"/>
  <c r="K151" i="1"/>
  <c r="O150" i="1"/>
  <c r="N150" i="1"/>
  <c r="M150" i="1"/>
  <c r="K150" i="1"/>
  <c r="O149" i="1"/>
  <c r="N149" i="1"/>
  <c r="M149" i="1"/>
  <c r="K149" i="1"/>
  <c r="O148" i="1"/>
  <c r="N148" i="1"/>
  <c r="M148" i="1"/>
  <c r="K148" i="1"/>
  <c r="O147" i="1"/>
  <c r="N147" i="1"/>
  <c r="M147" i="1"/>
  <c r="K147" i="1"/>
  <c r="O146" i="1"/>
  <c r="N146" i="1"/>
  <c r="M146" i="1"/>
  <c r="K146" i="1"/>
  <c r="O145" i="1"/>
  <c r="N145" i="1"/>
  <c r="M145" i="1"/>
  <c r="K145" i="1"/>
  <c r="O144" i="1"/>
  <c r="N144" i="1"/>
  <c r="M144" i="1"/>
  <c r="K144" i="1"/>
  <c r="K143" i="1"/>
  <c r="O142" i="1"/>
  <c r="M140" i="1"/>
  <c r="N135" i="1"/>
  <c r="O135" i="1" s="1"/>
  <c r="M135" i="1"/>
  <c r="K135" i="1"/>
  <c r="N134" i="1"/>
  <c r="O134" i="1" s="1"/>
  <c r="M134" i="1"/>
  <c r="K134" i="1"/>
  <c r="N133" i="1"/>
  <c r="O133" i="1" s="1"/>
  <c r="M133" i="1"/>
  <c r="K133" i="1"/>
  <c r="N132" i="1"/>
  <c r="O132" i="1" s="1"/>
  <c r="M132" i="1"/>
  <c r="K132" i="1"/>
  <c r="N131" i="1"/>
  <c r="O131" i="1" s="1"/>
  <c r="M131" i="1"/>
  <c r="K131" i="1"/>
  <c r="N130" i="1"/>
  <c r="O130" i="1" s="1"/>
  <c r="M130" i="1"/>
  <c r="K130" i="1"/>
  <c r="N129" i="1"/>
  <c r="O129" i="1" s="1"/>
  <c r="M129" i="1"/>
  <c r="K129" i="1"/>
  <c r="N128" i="1"/>
  <c r="O128" i="1" s="1"/>
  <c r="M128" i="1"/>
  <c r="K128" i="1"/>
  <c r="N127" i="1"/>
  <c r="O127" i="1" s="1"/>
  <c r="M127" i="1"/>
  <c r="K127" i="1"/>
  <c r="G127" i="1"/>
  <c r="H127" i="1" s="1"/>
  <c r="F127" i="1"/>
  <c r="D127" i="1"/>
  <c r="K126" i="1"/>
  <c r="H126" i="1"/>
  <c r="G126" i="1"/>
  <c r="F126" i="1"/>
  <c r="D126" i="1"/>
  <c r="O125" i="1"/>
  <c r="G125" i="1"/>
  <c r="H125" i="1" s="1"/>
  <c r="F125" i="1"/>
  <c r="D125" i="1"/>
  <c r="G124" i="1"/>
  <c r="H124" i="1" s="1"/>
  <c r="F124" i="1"/>
  <c r="D124" i="1"/>
  <c r="M123" i="1"/>
  <c r="G123" i="1"/>
  <c r="H123" i="1" s="1"/>
  <c r="F123" i="1"/>
  <c r="D123" i="1"/>
  <c r="D122" i="1"/>
  <c r="N121" i="1"/>
  <c r="O121" i="1" s="1"/>
  <c r="M121" i="1"/>
  <c r="K121" i="1"/>
  <c r="H121" i="1"/>
  <c r="D121" i="1"/>
  <c r="N120" i="1"/>
  <c r="O120" i="1" s="1"/>
  <c r="M120" i="1"/>
  <c r="K120" i="1"/>
  <c r="N119" i="1"/>
  <c r="O119" i="1" s="1"/>
  <c r="M119" i="1"/>
  <c r="K119" i="1"/>
  <c r="N118" i="1"/>
  <c r="O118" i="1" s="1"/>
  <c r="M118" i="1"/>
  <c r="K118" i="1"/>
  <c r="N117" i="1"/>
  <c r="M117" i="1"/>
  <c r="O117" i="1" s="1"/>
  <c r="K117" i="1"/>
  <c r="G117" i="1"/>
  <c r="H117" i="1" s="1"/>
  <c r="F117" i="1"/>
  <c r="D117" i="1"/>
  <c r="N116" i="1"/>
  <c r="M116" i="1"/>
  <c r="O116" i="1" s="1"/>
  <c r="K116" i="1"/>
  <c r="G116" i="1"/>
  <c r="H116" i="1" s="1"/>
  <c r="F116" i="1"/>
  <c r="D116" i="1"/>
  <c r="N115" i="1"/>
  <c r="M115" i="1"/>
  <c r="O115" i="1" s="1"/>
  <c r="K115" i="1"/>
  <c r="G115" i="1"/>
  <c r="H115" i="1" s="1"/>
  <c r="F115" i="1"/>
  <c r="D115" i="1"/>
  <c r="N114" i="1"/>
  <c r="M114" i="1"/>
  <c r="O114" i="1" s="1"/>
  <c r="K114" i="1"/>
  <c r="G114" i="1"/>
  <c r="H114" i="1" s="1"/>
  <c r="F114" i="1"/>
  <c r="D114" i="1"/>
  <c r="N113" i="1"/>
  <c r="M113" i="1"/>
  <c r="O113" i="1" s="1"/>
  <c r="K113" i="1"/>
  <c r="G113" i="1"/>
  <c r="H113" i="1" s="1"/>
  <c r="F113" i="1"/>
  <c r="D113" i="1"/>
  <c r="K112" i="1"/>
  <c r="D112" i="1"/>
  <c r="O111" i="1"/>
  <c r="K111" i="1"/>
  <c r="H111" i="1"/>
  <c r="D111" i="1"/>
  <c r="M109" i="1"/>
  <c r="H100" i="1"/>
  <c r="G100" i="1"/>
  <c r="D100" i="1"/>
  <c r="G99" i="1"/>
  <c r="H99" i="1" s="1"/>
  <c r="F99" i="1"/>
  <c r="D99" i="1"/>
  <c r="D98" i="1"/>
  <c r="H97" i="1"/>
  <c r="D97" i="1"/>
  <c r="F95" i="1"/>
  <c r="F109" i="1" s="1"/>
  <c r="F119" i="1" s="1"/>
  <c r="K88" i="1"/>
  <c r="O87" i="1"/>
  <c r="N87" i="1"/>
  <c r="M87" i="1"/>
  <c r="K87" i="1"/>
  <c r="O86" i="1"/>
  <c r="N86" i="1"/>
  <c r="M86" i="1"/>
  <c r="K86" i="1"/>
  <c r="O85" i="1"/>
  <c r="N85" i="1"/>
  <c r="M85" i="1"/>
  <c r="K85" i="1"/>
  <c r="D85" i="1"/>
  <c r="T84" i="1"/>
  <c r="R84" i="1"/>
  <c r="N84" i="1"/>
  <c r="M84" i="1"/>
  <c r="O84" i="1" s="1"/>
  <c r="K84" i="1"/>
  <c r="G84" i="1"/>
  <c r="H84" i="1" s="1"/>
  <c r="F84" i="1"/>
  <c r="D84" i="1"/>
  <c r="R83" i="1"/>
  <c r="N83" i="1"/>
  <c r="O83" i="1" s="1"/>
  <c r="M83" i="1"/>
  <c r="K83" i="1"/>
  <c r="G83" i="1"/>
  <c r="F83" i="1"/>
  <c r="H83" i="1" s="1"/>
  <c r="D83" i="1"/>
  <c r="U82" i="1"/>
  <c r="V82" i="1" s="1"/>
  <c r="T82" i="1"/>
  <c r="R82" i="1"/>
  <c r="N82" i="1"/>
  <c r="N88" i="1" s="1"/>
  <c r="M82" i="1"/>
  <c r="M88" i="1" s="1"/>
  <c r="K82" i="1"/>
  <c r="G82" i="1"/>
  <c r="H82" i="1" s="1"/>
  <c r="F82" i="1"/>
  <c r="D82" i="1"/>
  <c r="U81" i="1"/>
  <c r="T81" i="1"/>
  <c r="T83" i="1" s="1"/>
  <c r="R81" i="1"/>
  <c r="M81" i="1"/>
  <c r="K81" i="1"/>
  <c r="G81" i="1"/>
  <c r="H81" i="1" s="1"/>
  <c r="F81" i="1"/>
  <c r="D81" i="1"/>
  <c r="U80" i="1"/>
  <c r="V80" i="1" s="1"/>
  <c r="T80" i="1"/>
  <c r="R80" i="1"/>
  <c r="N80" i="1"/>
  <c r="O80" i="1" s="1"/>
  <c r="M80" i="1"/>
  <c r="K80" i="1"/>
  <c r="G80" i="1"/>
  <c r="H80" i="1" s="1"/>
  <c r="F80" i="1"/>
  <c r="F85" i="1" s="1"/>
  <c r="D80" i="1"/>
  <c r="N79" i="1"/>
  <c r="O79" i="1" s="1"/>
  <c r="M79" i="1"/>
  <c r="K79" i="1"/>
  <c r="F79" i="1"/>
  <c r="D79" i="1"/>
  <c r="R78" i="1"/>
  <c r="N78" i="1"/>
  <c r="O78" i="1" s="1"/>
  <c r="M78" i="1"/>
  <c r="K78" i="1"/>
  <c r="G78" i="1"/>
  <c r="H78" i="1" s="1"/>
  <c r="F78" i="1"/>
  <c r="D78" i="1"/>
  <c r="R77" i="1"/>
  <c r="N77" i="1"/>
  <c r="O77" i="1" s="1"/>
  <c r="M77" i="1"/>
  <c r="K77" i="1"/>
  <c r="G77" i="1"/>
  <c r="H77" i="1" s="1"/>
  <c r="F77" i="1"/>
  <c r="D77" i="1"/>
  <c r="U76" i="1"/>
  <c r="V76" i="1" s="1"/>
  <c r="T76" i="1"/>
  <c r="R76" i="1"/>
  <c r="N76" i="1"/>
  <c r="O76" i="1" s="1"/>
  <c r="M76" i="1"/>
  <c r="K76" i="1"/>
  <c r="G76" i="1"/>
  <c r="H76" i="1" s="1"/>
  <c r="F76" i="1"/>
  <c r="D76" i="1"/>
  <c r="U75" i="1"/>
  <c r="U77" i="1" s="1"/>
  <c r="T75" i="1"/>
  <c r="R75" i="1"/>
  <c r="N75" i="1"/>
  <c r="N81" i="1" s="1"/>
  <c r="M75" i="1"/>
  <c r="K75" i="1"/>
  <c r="G75" i="1"/>
  <c r="H75" i="1" s="1"/>
  <c r="F75" i="1"/>
  <c r="D75" i="1"/>
  <c r="U74" i="1"/>
  <c r="U78" i="1" s="1"/>
  <c r="T74" i="1"/>
  <c r="T77" i="1" s="1"/>
  <c r="R74" i="1"/>
  <c r="N74" i="1"/>
  <c r="O74" i="1" s="1"/>
  <c r="M74" i="1"/>
  <c r="K74" i="1"/>
  <c r="G74" i="1"/>
  <c r="H74" i="1" s="1"/>
  <c r="F74" i="1"/>
  <c r="D74" i="1"/>
  <c r="N73" i="1"/>
  <c r="O73" i="1" s="1"/>
  <c r="M73" i="1"/>
  <c r="K73" i="1"/>
  <c r="G73" i="1"/>
  <c r="H73" i="1" s="1"/>
  <c r="F73" i="1"/>
  <c r="D73" i="1"/>
  <c r="R72" i="1"/>
  <c r="N72" i="1"/>
  <c r="O72" i="1" s="1"/>
  <c r="M72" i="1"/>
  <c r="K72" i="1"/>
  <c r="G72" i="1"/>
  <c r="H72" i="1" s="1"/>
  <c r="F72" i="1"/>
  <c r="D72" i="1"/>
  <c r="U71" i="1"/>
  <c r="V71" i="1" s="1"/>
  <c r="T71" i="1"/>
  <c r="R71" i="1"/>
  <c r="N71" i="1"/>
  <c r="O71" i="1" s="1"/>
  <c r="M71" i="1"/>
  <c r="K71" i="1"/>
  <c r="G71" i="1"/>
  <c r="H71" i="1" s="1"/>
  <c r="F71" i="1"/>
  <c r="D71" i="1"/>
  <c r="U70" i="1"/>
  <c r="U72" i="1" s="1"/>
  <c r="T70" i="1"/>
  <c r="R70" i="1"/>
  <c r="N70" i="1"/>
  <c r="O70" i="1" s="1"/>
  <c r="M70" i="1"/>
  <c r="K70" i="1"/>
  <c r="G70" i="1"/>
  <c r="H70" i="1" s="1"/>
  <c r="F70" i="1"/>
  <c r="D70" i="1"/>
  <c r="U69" i="1"/>
  <c r="V69" i="1" s="1"/>
  <c r="T69" i="1"/>
  <c r="T72" i="1" s="1"/>
  <c r="R69" i="1"/>
  <c r="N69" i="1"/>
  <c r="O69" i="1" s="1"/>
  <c r="M69" i="1"/>
  <c r="K69" i="1"/>
  <c r="G69" i="1"/>
  <c r="H69" i="1" s="1"/>
  <c r="F69" i="1"/>
  <c r="D69" i="1"/>
  <c r="R68" i="1"/>
  <c r="K68" i="1"/>
  <c r="D68" i="1"/>
  <c r="V67" i="1"/>
  <c r="O67" i="1"/>
  <c r="H67" i="1"/>
  <c r="F65" i="1"/>
  <c r="D65" i="1"/>
  <c r="H64" i="1"/>
  <c r="G64" i="1"/>
  <c r="F64" i="1"/>
  <c r="D64" i="1"/>
  <c r="H63" i="1"/>
  <c r="G63" i="1"/>
  <c r="F63" i="1"/>
  <c r="D63" i="1"/>
  <c r="H62" i="1"/>
  <c r="G62" i="1"/>
  <c r="F62" i="1"/>
  <c r="D62" i="1"/>
  <c r="H61" i="1"/>
  <c r="G61" i="1"/>
  <c r="F61" i="1"/>
  <c r="D61" i="1"/>
  <c r="H60" i="1"/>
  <c r="G60" i="1"/>
  <c r="G65" i="1" s="1"/>
  <c r="G85" i="1" s="1"/>
  <c r="F60" i="1"/>
  <c r="D60" i="1"/>
  <c r="D59" i="1"/>
  <c r="G58" i="1"/>
  <c r="H58" i="1" s="1"/>
  <c r="F58" i="1"/>
  <c r="D58" i="1"/>
  <c r="G57" i="1"/>
  <c r="H57" i="1" s="1"/>
  <c r="F57" i="1"/>
  <c r="D57" i="1"/>
  <c r="G56" i="1"/>
  <c r="H56" i="1" s="1"/>
  <c r="F56" i="1"/>
  <c r="D56" i="1"/>
  <c r="G55" i="1"/>
  <c r="H55" i="1" s="1"/>
  <c r="F55" i="1"/>
  <c r="D55" i="1"/>
  <c r="G54" i="1"/>
  <c r="G59" i="1" s="1"/>
  <c r="G79" i="1" s="1"/>
  <c r="F54" i="1"/>
  <c r="F59" i="1" s="1"/>
  <c r="D54" i="1"/>
  <c r="G53" i="1"/>
  <c r="H53" i="1" s="1"/>
  <c r="F53" i="1"/>
  <c r="D53" i="1"/>
  <c r="G52" i="1"/>
  <c r="H52" i="1" s="1"/>
  <c r="F52" i="1"/>
  <c r="D52" i="1"/>
  <c r="G51" i="1"/>
  <c r="H51" i="1" s="1"/>
  <c r="F51" i="1"/>
  <c r="D51" i="1"/>
  <c r="G50" i="1"/>
  <c r="H50" i="1" s="1"/>
  <c r="F50" i="1"/>
  <c r="D50" i="1"/>
  <c r="G49" i="1"/>
  <c r="H49" i="1" s="1"/>
  <c r="F49" i="1"/>
  <c r="D49" i="1"/>
  <c r="D48" i="1"/>
  <c r="H47" i="1"/>
  <c r="D47" i="1"/>
  <c r="G45" i="1"/>
  <c r="D45" i="1"/>
  <c r="D43" i="1"/>
  <c r="G42" i="1"/>
  <c r="D42" i="1"/>
  <c r="G41" i="1"/>
  <c r="F41" i="1"/>
  <c r="D41" i="1"/>
  <c r="G40" i="1"/>
  <c r="F40" i="1"/>
  <c r="H40" i="1" s="1"/>
  <c r="D40" i="1"/>
  <c r="H39" i="1"/>
  <c r="G39" i="1"/>
  <c r="F39" i="1"/>
  <c r="D39" i="1"/>
  <c r="G38" i="1"/>
  <c r="F38" i="1"/>
  <c r="H38" i="1" s="1"/>
  <c r="D38" i="1"/>
  <c r="H37" i="1"/>
  <c r="G37" i="1"/>
  <c r="F37" i="1"/>
  <c r="D37" i="1"/>
  <c r="G36" i="1"/>
  <c r="F36" i="1"/>
  <c r="H36" i="1" s="1"/>
  <c r="D36" i="1"/>
  <c r="N35" i="1"/>
  <c r="K35" i="1"/>
  <c r="G35" i="1"/>
  <c r="H35" i="1" s="1"/>
  <c r="F35" i="1"/>
  <c r="D35" i="1"/>
  <c r="AB34" i="1"/>
  <c r="AC34" i="1" s="1"/>
  <c r="AA34" i="1"/>
  <c r="Y34" i="1"/>
  <c r="N34" i="1"/>
  <c r="O34" i="1" s="1"/>
  <c r="M34" i="1"/>
  <c r="K34" i="1"/>
  <c r="G34" i="1"/>
  <c r="H34" i="1" s="1"/>
  <c r="F34" i="1"/>
  <c r="D34" i="1"/>
  <c r="Y33" i="1"/>
  <c r="N33" i="1"/>
  <c r="M33" i="1"/>
  <c r="O33" i="1" s="1"/>
  <c r="K33" i="1"/>
  <c r="G33" i="1"/>
  <c r="F33" i="1"/>
  <c r="H33" i="1" s="1"/>
  <c r="D33" i="1"/>
  <c r="AB32" i="1"/>
  <c r="AA32" i="1"/>
  <c r="AA33" i="1" s="1"/>
  <c r="Y32" i="1"/>
  <c r="N32" i="1"/>
  <c r="M32" i="1"/>
  <c r="O32" i="1" s="1"/>
  <c r="K32" i="1"/>
  <c r="G32" i="1"/>
  <c r="F32" i="1"/>
  <c r="H32" i="1" s="1"/>
  <c r="D32" i="1"/>
  <c r="AB31" i="1"/>
  <c r="AA31" i="1"/>
  <c r="AC31" i="1" s="1"/>
  <c r="Y31" i="1"/>
  <c r="N31" i="1"/>
  <c r="M31" i="1"/>
  <c r="O31" i="1" s="1"/>
  <c r="K31" i="1"/>
  <c r="G31" i="1"/>
  <c r="D31" i="1"/>
  <c r="AB30" i="1"/>
  <c r="AC30" i="1" s="1"/>
  <c r="AA30" i="1"/>
  <c r="Y30" i="1"/>
  <c r="N30" i="1"/>
  <c r="O30" i="1" s="1"/>
  <c r="M30" i="1"/>
  <c r="K30" i="1"/>
  <c r="G30" i="1"/>
  <c r="H30" i="1" s="1"/>
  <c r="F30" i="1"/>
  <c r="D30" i="1"/>
  <c r="Y29" i="1"/>
  <c r="N29" i="1"/>
  <c r="M29" i="1"/>
  <c r="M35" i="1" s="1"/>
  <c r="K29" i="1"/>
  <c r="H29" i="1"/>
  <c r="G29" i="1"/>
  <c r="F29" i="1"/>
  <c r="D29" i="1"/>
  <c r="AB28" i="1"/>
  <c r="AB29" i="1" s="1"/>
  <c r="AA28" i="1"/>
  <c r="AC28" i="1" s="1"/>
  <c r="Y28" i="1"/>
  <c r="N28" i="1"/>
  <c r="K28" i="1"/>
  <c r="G28" i="1"/>
  <c r="H28" i="1" s="1"/>
  <c r="F28" i="1"/>
  <c r="D28" i="1"/>
  <c r="AB27" i="1"/>
  <c r="AC27" i="1" s="1"/>
  <c r="AA27" i="1"/>
  <c r="Y27" i="1"/>
  <c r="R27" i="1"/>
  <c r="N27" i="1"/>
  <c r="M27" i="1"/>
  <c r="O27" i="1" s="1"/>
  <c r="K27" i="1"/>
  <c r="G27" i="1"/>
  <c r="F27" i="1"/>
  <c r="H27" i="1" s="1"/>
  <c r="D27" i="1"/>
  <c r="AB26" i="1"/>
  <c r="AA26" i="1"/>
  <c r="AC26" i="1" s="1"/>
  <c r="Y26" i="1"/>
  <c r="R26" i="1"/>
  <c r="N26" i="1"/>
  <c r="M26" i="1"/>
  <c r="O26" i="1" s="1"/>
  <c r="K26" i="1"/>
  <c r="G26" i="1"/>
  <c r="F26" i="1"/>
  <c r="H26" i="1" s="1"/>
  <c r="D26" i="1"/>
  <c r="AB25" i="1"/>
  <c r="AA25" i="1"/>
  <c r="AC25" i="1" s="1"/>
  <c r="Y25" i="1"/>
  <c r="U25" i="1"/>
  <c r="T25" i="1"/>
  <c r="V25" i="1" s="1"/>
  <c r="R25" i="1"/>
  <c r="N25" i="1"/>
  <c r="M25" i="1"/>
  <c r="O25" i="1" s="1"/>
  <c r="K25" i="1"/>
  <c r="G25" i="1"/>
  <c r="D25" i="1"/>
  <c r="AB24" i="1"/>
  <c r="AC24" i="1" s="1"/>
  <c r="AA24" i="1"/>
  <c r="Y24" i="1"/>
  <c r="U24" i="1"/>
  <c r="V24" i="1" s="1"/>
  <c r="T24" i="1"/>
  <c r="R24" i="1"/>
  <c r="N24" i="1"/>
  <c r="O24" i="1" s="1"/>
  <c r="M24" i="1"/>
  <c r="K24" i="1"/>
  <c r="G24" i="1"/>
  <c r="H24" i="1" s="1"/>
  <c r="F24" i="1"/>
  <c r="D24" i="1"/>
  <c r="AB23" i="1"/>
  <c r="AC23" i="1" s="1"/>
  <c r="AA23" i="1"/>
  <c r="Y23" i="1"/>
  <c r="U23" i="1"/>
  <c r="V23" i="1" s="1"/>
  <c r="T23" i="1"/>
  <c r="R23" i="1"/>
  <c r="N23" i="1"/>
  <c r="O23" i="1" s="1"/>
  <c r="M23" i="1"/>
  <c r="K23" i="1"/>
  <c r="G23" i="1"/>
  <c r="H23" i="1" s="1"/>
  <c r="F23" i="1"/>
  <c r="D23" i="1"/>
  <c r="AB22" i="1"/>
  <c r="AC22" i="1" s="1"/>
  <c r="AA22" i="1"/>
  <c r="Y22" i="1"/>
  <c r="R22" i="1"/>
  <c r="N22" i="1"/>
  <c r="M22" i="1"/>
  <c r="M28" i="1" s="1"/>
  <c r="K22" i="1"/>
  <c r="H22" i="1"/>
  <c r="G22" i="1"/>
  <c r="F22" i="1"/>
  <c r="D22" i="1"/>
  <c r="AB21" i="1"/>
  <c r="AA21" i="1"/>
  <c r="AC21" i="1" s="1"/>
  <c r="Y21" i="1"/>
  <c r="R21" i="1"/>
  <c r="N21" i="1"/>
  <c r="M21" i="1"/>
  <c r="O21" i="1" s="1"/>
  <c r="K21" i="1"/>
  <c r="H21" i="1"/>
  <c r="G21" i="1"/>
  <c r="F21" i="1"/>
  <c r="D21" i="1"/>
  <c r="AB20" i="1"/>
  <c r="AA20" i="1"/>
  <c r="AC20" i="1" s="1"/>
  <c r="Y20" i="1"/>
  <c r="V20" i="1"/>
  <c r="U20" i="1"/>
  <c r="T20" i="1"/>
  <c r="R20" i="1"/>
  <c r="N20" i="1"/>
  <c r="M20" i="1"/>
  <c r="O20" i="1" s="1"/>
  <c r="K20" i="1"/>
  <c r="H20" i="1"/>
  <c r="G20" i="1"/>
  <c r="F20" i="1"/>
  <c r="F25" i="1" s="1"/>
  <c r="D20" i="1"/>
  <c r="AB19" i="1"/>
  <c r="AA19" i="1"/>
  <c r="AC19" i="1" s="1"/>
  <c r="U19" i="1"/>
  <c r="U15" i="1" s="1"/>
  <c r="T19" i="1"/>
  <c r="R19" i="1"/>
  <c r="N19" i="1"/>
  <c r="O19" i="1" s="1"/>
  <c r="M19" i="1"/>
  <c r="K19" i="1"/>
  <c r="G19" i="1"/>
  <c r="H19" i="1" s="1"/>
  <c r="F19" i="1"/>
  <c r="D19" i="1"/>
  <c r="AB18" i="1"/>
  <c r="AC18" i="1" s="1"/>
  <c r="AA18" i="1"/>
  <c r="U18" i="1"/>
  <c r="U22" i="1" s="1"/>
  <c r="T18" i="1"/>
  <c r="T22" i="1" s="1"/>
  <c r="R18" i="1"/>
  <c r="N18" i="1"/>
  <c r="M18" i="1"/>
  <c r="O18" i="1" s="1"/>
  <c r="K18" i="1"/>
  <c r="G18" i="1"/>
  <c r="F18" i="1"/>
  <c r="H18" i="1" s="1"/>
  <c r="D18" i="1"/>
  <c r="AB17" i="1"/>
  <c r="AA17" i="1"/>
  <c r="AC17" i="1" s="1"/>
  <c r="Y17" i="1"/>
  <c r="R17" i="1"/>
  <c r="N17" i="1"/>
  <c r="M17" i="1"/>
  <c r="O17" i="1" s="1"/>
  <c r="K17" i="1"/>
  <c r="G17" i="1"/>
  <c r="F17" i="1"/>
  <c r="H17" i="1" s="1"/>
  <c r="D17" i="1"/>
  <c r="AB16" i="1"/>
  <c r="AA16" i="1"/>
  <c r="AC16" i="1" s="1"/>
  <c r="Y16" i="1"/>
  <c r="T16" i="1"/>
  <c r="R16" i="1"/>
  <c r="N16" i="1"/>
  <c r="M16" i="1"/>
  <c r="O16" i="1" s="1"/>
  <c r="K16" i="1"/>
  <c r="G16" i="1"/>
  <c r="F16" i="1"/>
  <c r="H16" i="1" s="1"/>
  <c r="D16" i="1"/>
  <c r="AB15" i="1"/>
  <c r="AA15" i="1"/>
  <c r="AC15" i="1" s="1"/>
  <c r="R15" i="1"/>
  <c r="N15" i="1"/>
  <c r="O15" i="1" s="1"/>
  <c r="M15" i="1"/>
  <c r="K15" i="1"/>
  <c r="G15" i="1"/>
  <c r="H15" i="1" s="1"/>
  <c r="F15" i="1"/>
  <c r="D15" i="1"/>
  <c r="AB14" i="1"/>
  <c r="AC14" i="1" s="1"/>
  <c r="AA14" i="1"/>
  <c r="R14" i="1"/>
  <c r="O14" i="1"/>
  <c r="N14" i="1"/>
  <c r="M14" i="1"/>
  <c r="K14" i="1"/>
  <c r="G14" i="1"/>
  <c r="F14" i="1"/>
  <c r="H14" i="1" s="1"/>
  <c r="D14" i="1"/>
  <c r="AC13" i="1"/>
  <c r="AB13" i="1"/>
  <c r="AA13" i="1"/>
  <c r="Y13" i="1"/>
  <c r="R13" i="1"/>
  <c r="O13" i="1"/>
  <c r="N13" i="1"/>
  <c r="M13" i="1"/>
  <c r="K13" i="1"/>
  <c r="G13" i="1"/>
  <c r="F13" i="1"/>
  <c r="H13" i="1" s="1"/>
  <c r="D13" i="1"/>
  <c r="AC12" i="1"/>
  <c r="AB12" i="1"/>
  <c r="AA12" i="1"/>
  <c r="Y12" i="1"/>
  <c r="U12" i="1"/>
  <c r="U16" i="1" s="1"/>
  <c r="V16" i="1" s="1"/>
  <c r="T12" i="1"/>
  <c r="V12" i="1" s="1"/>
  <c r="R12" i="1"/>
  <c r="O12" i="1"/>
  <c r="N12" i="1"/>
  <c r="M12" i="1"/>
  <c r="K12" i="1"/>
  <c r="G12" i="1"/>
  <c r="F12" i="1"/>
  <c r="H12" i="1" s="1"/>
  <c r="D12" i="1"/>
  <c r="AC11" i="1"/>
  <c r="AB11" i="1"/>
  <c r="AB33" i="1" s="1"/>
  <c r="AA11" i="1"/>
  <c r="Y11" i="1"/>
  <c r="U11" i="1"/>
  <c r="T11" i="1"/>
  <c r="V11" i="1" s="1"/>
  <c r="R11" i="1"/>
  <c r="O11" i="1"/>
  <c r="N11" i="1"/>
  <c r="M11" i="1"/>
  <c r="K11" i="1"/>
  <c r="G11" i="1"/>
  <c r="F11" i="1"/>
  <c r="H11" i="1" s="1"/>
  <c r="D11" i="1"/>
  <c r="AC10" i="1"/>
  <c r="AB10" i="1"/>
  <c r="AA10" i="1"/>
  <c r="Y10" i="1"/>
  <c r="U10" i="1"/>
  <c r="U14" i="1" s="1"/>
  <c r="T10" i="1"/>
  <c r="T27" i="1" s="1"/>
  <c r="R10" i="1"/>
  <c r="O10" i="1"/>
  <c r="N10" i="1"/>
  <c r="M10" i="1"/>
  <c r="K10" i="1"/>
  <c r="G10" i="1"/>
  <c r="F10" i="1"/>
  <c r="H10" i="1" s="1"/>
  <c r="D10" i="1"/>
  <c r="Y9" i="1"/>
  <c r="R9" i="1"/>
  <c r="K9" i="1"/>
  <c r="D9" i="1"/>
  <c r="AC8" i="1"/>
  <c r="Y8" i="1"/>
  <c r="V8" i="1"/>
  <c r="R8" i="1"/>
  <c r="O8" i="1"/>
  <c r="K8" i="1"/>
  <c r="H8" i="1"/>
  <c r="D8" i="1"/>
  <c r="AA6" i="1"/>
  <c r="T6" i="1"/>
  <c r="M6" i="1"/>
  <c r="F6" i="1"/>
  <c r="Y3" i="1"/>
  <c r="R3" i="1"/>
  <c r="K3" i="1"/>
  <c r="D3" i="1"/>
  <c r="V72" i="1" l="1"/>
  <c r="V77" i="1"/>
  <c r="U17" i="1"/>
  <c r="T15" i="1"/>
  <c r="V15" i="1" s="1"/>
  <c r="V19" i="1"/>
  <c r="H54" i="1"/>
  <c r="V70" i="1"/>
  <c r="V75" i="1"/>
  <c r="U83" i="1"/>
  <c r="V83" i="1" s="1"/>
  <c r="AC32" i="1"/>
  <c r="V81" i="1"/>
  <c r="O82" i="1"/>
  <c r="U13" i="1"/>
  <c r="T78" i="1"/>
  <c r="T13" i="1"/>
  <c r="T14" i="1"/>
  <c r="T17" i="1" s="1"/>
  <c r="O29" i="1"/>
  <c r="F45" i="1"/>
  <c r="H45" i="1" s="1"/>
  <c r="U26" i="1"/>
  <c r="U27" i="1"/>
  <c r="F31" i="1"/>
  <c r="V74" i="1"/>
  <c r="O75" i="1"/>
  <c r="U84" i="1"/>
  <c r="V10" i="1"/>
  <c r="O22" i="1"/>
  <c r="T26" i="1"/>
  <c r="T21" i="1"/>
  <c r="AA29" i="1"/>
  <c r="V18" i="1"/>
  <c r="U21" i="1"/>
  <c r="V21" i="1" s="1"/>
  <c r="V13" i="1" l="1"/>
  <c r="V26" i="1"/>
  <c r="V17" i="1"/>
  <c r="V14" i="1"/>
</calcChain>
</file>

<file path=xl/sharedStrings.xml><?xml version="1.0" encoding="utf-8"?>
<sst xmlns="http://schemas.openxmlformats.org/spreadsheetml/2006/main" count="10" uniqueCount="7">
  <si>
    <t>idioma</t>
  </si>
  <si>
    <t>ENG</t>
  </si>
  <si>
    <t>ESP</t>
  </si>
  <si>
    <t>Español</t>
  </si>
  <si>
    <t>English</t>
  </si>
  <si>
    <t>El País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</si>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</sst>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#,##0.0;\(#,##0.0\)"/>
    <numFmt numFmtId="167" formatCode="0.0;\ \(0.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b/>
      <sz val="10"/>
      <color rgb="FFFF0000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165" fontId="2" fillId="2" borderId="3" xfId="0" applyNumberFormat="1" applyFont="1" applyFill="1" applyBorder="1"/>
    <xf numFmtId="0" fontId="2" fillId="2" borderId="3" xfId="0" applyFont="1" applyFill="1" applyBorder="1"/>
    <xf numFmtId="0" fontId="7" fillId="2" borderId="0" xfId="0" applyFont="1" applyFill="1"/>
    <xf numFmtId="166" fontId="7" fillId="4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167" fontId="7" fillId="2" borderId="0" xfId="0" applyNumberFormat="1" applyFont="1" applyFill="1" applyAlignment="1">
      <alignment horizontal="right" indent="1"/>
    </xf>
    <xf numFmtId="0" fontId="7" fillId="2" borderId="4" xfId="0" applyFont="1" applyFill="1" applyBorder="1"/>
    <xf numFmtId="166" fontId="7" fillId="4" borderId="5" xfId="0" applyNumberFormat="1" applyFont="1" applyFill="1" applyBorder="1" applyAlignment="1">
      <alignment horizontal="right" indent="1"/>
    </xf>
    <xf numFmtId="166" fontId="7" fillId="2" borderId="5" xfId="0" applyNumberFormat="1" applyFont="1" applyFill="1" applyBorder="1" applyAlignment="1">
      <alignment horizontal="right" indent="1"/>
    </xf>
    <xf numFmtId="167" fontId="7" fillId="2" borderId="5" xfId="0" applyNumberFormat="1" applyFont="1" applyFill="1" applyBorder="1" applyAlignment="1">
      <alignment horizontal="right" indent="1"/>
    </xf>
    <xf numFmtId="0" fontId="2" fillId="2" borderId="0" xfId="0" applyFont="1" applyFill="1" applyAlignment="1">
      <alignment horizontal="left" indent="2"/>
    </xf>
    <xf numFmtId="166" fontId="2" fillId="4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167" fontId="2" fillId="2" borderId="0" xfId="0" applyNumberFormat="1" applyFont="1" applyFill="1" applyAlignment="1">
      <alignment horizontal="right" indent="1"/>
    </xf>
    <xf numFmtId="0" fontId="7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left" indent="2"/>
    </xf>
    <xf numFmtId="0" fontId="8" fillId="2" borderId="0" xfId="0" applyFont="1" applyFill="1"/>
    <xf numFmtId="166" fontId="8" fillId="4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167" fontId="8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4"/>
    </xf>
    <xf numFmtId="0" fontId="8" fillId="2" borderId="0" xfId="0" applyFont="1" applyFill="1" applyAlignment="1">
      <alignment horizontal="left" indent="4"/>
    </xf>
    <xf numFmtId="167" fontId="7" fillId="2" borderId="6" xfId="0" applyNumberFormat="1" applyFont="1" applyFill="1" applyBorder="1" applyAlignment="1">
      <alignment horizontal="right" indent="1"/>
    </xf>
    <xf numFmtId="0" fontId="8" fillId="2" borderId="0" xfId="0" applyFont="1" applyFill="1" applyAlignment="1">
      <alignment horizontal="left" indent="6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7" fillId="2" borderId="7" xfId="0" applyFont="1" applyFill="1" applyBorder="1"/>
    <xf numFmtId="0" fontId="7" fillId="2" borderId="6" xfId="0" applyFont="1" applyFill="1" applyBorder="1"/>
    <xf numFmtId="166" fontId="7" fillId="4" borderId="4" xfId="0" applyNumberFormat="1" applyFont="1" applyFill="1" applyBorder="1" applyAlignment="1">
      <alignment horizontal="right" indent="1"/>
    </xf>
    <xf numFmtId="166" fontId="7" fillId="2" borderId="7" xfId="0" applyNumberFormat="1" applyFont="1" applyFill="1" applyBorder="1" applyAlignment="1">
      <alignment horizontal="right" indent="1"/>
    </xf>
    <xf numFmtId="167" fontId="7" fillId="2" borderId="7" xfId="0" applyNumberFormat="1" applyFont="1" applyFill="1" applyBorder="1" applyAlignment="1">
      <alignment horizontal="right" indent="1"/>
    </xf>
    <xf numFmtId="0" fontId="7" fillId="2" borderId="4" xfId="0" applyFont="1" applyFill="1" applyBorder="1" applyAlignment="1">
      <alignment horizontal="left" indent="1"/>
    </xf>
    <xf numFmtId="0" fontId="4" fillId="2" borderId="0" xfId="0" applyFont="1" applyFill="1" applyAlignment="1">
      <alignment horizontal="right" indent="1"/>
    </xf>
    <xf numFmtId="0" fontId="6" fillId="2" borderId="0" xfId="0" applyFont="1" applyFill="1"/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165" fontId="2" fillId="2" borderId="0" xfId="0" applyNumberFormat="1" applyFont="1" applyFill="1"/>
    <xf numFmtId="166" fontId="7" fillId="2" borderId="6" xfId="0" applyNumberFormat="1" applyFont="1" applyFill="1" applyBorder="1" applyAlignment="1">
      <alignment horizontal="right" indent="1"/>
    </xf>
    <xf numFmtId="0" fontId="7" fillId="2" borderId="3" xfId="0" applyFont="1" applyFill="1" applyBorder="1"/>
    <xf numFmtId="166" fontId="7" fillId="4" borderId="3" xfId="0" applyNumberFormat="1" applyFont="1" applyFill="1" applyBorder="1" applyAlignment="1">
      <alignment horizontal="right" indent="1"/>
    </xf>
    <xf numFmtId="166" fontId="7" fillId="2" borderId="3" xfId="0" applyNumberFormat="1" applyFont="1" applyFill="1" applyBorder="1" applyAlignment="1">
      <alignment horizontal="right" indent="1"/>
    </xf>
    <xf numFmtId="167" fontId="7" fillId="2" borderId="3" xfId="0" applyNumberFormat="1" applyFont="1" applyFill="1" applyBorder="1" applyAlignment="1">
      <alignment horizontal="right" indent="1"/>
    </xf>
    <xf numFmtId="0" fontId="2" fillId="5" borderId="0" xfId="0" applyFont="1" applyFill="1"/>
    <xf numFmtId="0" fontId="9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uelbenzu\OneDrive%20-%20Santillana\RESULTADOS\1Q2020\Doc%20Def\TABLAS%20NOTA%20IR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SANTILLANA"/>
      <sheetName val="RADIO"/>
      <sheetName val="NOTICIAS"/>
      <sheetName val="TRANSFORMACIÓN"/>
      <sheetName val="To Publish"/>
      <sheetName val="MEDIA CAPITAL"/>
      <sheetName val="Hoja1"/>
    </sheetNames>
    <sheetDataSet>
      <sheetData sheetId="0">
        <row r="10">
          <cell r="F10">
            <v>262.52598114086601</v>
          </cell>
          <cell r="G10">
            <v>273.02430730949203</v>
          </cell>
        </row>
        <row r="11">
          <cell r="F11">
            <v>72.260448163356358</v>
          </cell>
          <cell r="G11">
            <v>87.651712344780691</v>
          </cell>
        </row>
        <row r="12">
          <cell r="F12">
            <v>190.26553297750965</v>
          </cell>
          <cell r="G12">
            <v>185.37259496471134</v>
          </cell>
        </row>
        <row r="13">
          <cell r="F13">
            <v>190.25476797750966</v>
          </cell>
          <cell r="G13">
            <v>185.17275596471134</v>
          </cell>
        </row>
        <row r="14">
          <cell r="F14">
            <v>1.07650000000003E-2</v>
          </cell>
          <cell r="G14">
            <v>0.19983899999999999</v>
          </cell>
        </row>
        <row r="15">
          <cell r="F15">
            <v>206.70286803855731</v>
          </cell>
          <cell r="G15">
            <v>255.29526247835693</v>
          </cell>
        </row>
        <row r="16">
          <cell r="F16">
            <v>91.235053699356627</v>
          </cell>
          <cell r="G16">
            <v>151.22335039478111</v>
          </cell>
        </row>
        <row r="17">
          <cell r="F17">
            <v>115.46781433920069</v>
          </cell>
          <cell r="G17">
            <v>104.07191208357582</v>
          </cell>
        </row>
        <row r="18">
          <cell r="F18">
            <v>115.2465656592007</v>
          </cell>
          <cell r="G18">
            <v>103.80436608357584</v>
          </cell>
        </row>
        <row r="19">
          <cell r="F19">
            <v>0.22124868000000128</v>
          </cell>
          <cell r="G19">
            <v>0.26754599999999995</v>
          </cell>
        </row>
        <row r="20">
          <cell r="F20">
            <v>55.823113102308703</v>
          </cell>
          <cell r="G20">
            <v>17.729044831135099</v>
          </cell>
        </row>
        <row r="21">
          <cell r="F21">
            <v>-18.974605536000261</v>
          </cell>
          <cell r="G21">
            <v>-63.571638050000416</v>
          </cell>
        </row>
        <row r="22">
          <cell r="F22">
            <v>74.797718638308965</v>
          </cell>
          <cell r="G22">
            <v>81.300682881135515</v>
          </cell>
        </row>
        <row r="23">
          <cell r="F23">
            <v>75.00820231830896</v>
          </cell>
          <cell r="G23">
            <v>81.368389881135499</v>
          </cell>
        </row>
        <row r="24">
          <cell r="F24">
            <v>-0.21048368000000098</v>
          </cell>
          <cell r="G24">
            <v>-6.7706999999999989E-2</v>
          </cell>
        </row>
        <row r="26">
          <cell r="F26">
            <v>32.172132363561197</v>
          </cell>
          <cell r="G26">
            <v>-4.1486755392055059</v>
          </cell>
        </row>
        <row r="27">
          <cell r="F27">
            <v>-26.754435449115874</v>
          </cell>
          <cell r="G27">
            <v>-71.283472015765227</v>
          </cell>
        </row>
        <row r="28">
          <cell r="F28">
            <v>58.926567812677071</v>
          </cell>
          <cell r="G28">
            <v>67.134796476559714</v>
          </cell>
        </row>
        <row r="29">
          <cell r="F29">
            <v>59.141196492677075</v>
          </cell>
          <cell r="G29">
            <v>67.207018476559711</v>
          </cell>
        </row>
        <row r="30">
          <cell r="F30">
            <v>-0.21462868000000299</v>
          </cell>
          <cell r="G30">
            <v>-7.2221999999999995E-2</v>
          </cell>
        </row>
        <row r="32">
          <cell r="F32">
            <v>-15.689301210659799</v>
          </cell>
          <cell r="G32">
            <v>-19.7159229119057</v>
          </cell>
        </row>
        <row r="33">
          <cell r="F33">
            <v>-14.801160724024099</v>
          </cell>
          <cell r="G33">
            <v>-14.1508772627976</v>
          </cell>
        </row>
        <row r="34">
          <cell r="F34">
            <v>-0.88814048663570055</v>
          </cell>
          <cell r="G34">
            <v>-5.5650456491081002</v>
          </cell>
        </row>
        <row r="35">
          <cell r="F35">
            <v>1.50092253490239</v>
          </cell>
          <cell r="G35">
            <v>0.348563539142141</v>
          </cell>
        </row>
        <row r="36">
          <cell r="F36">
            <v>17.983753687803787</v>
          </cell>
          <cell r="G36">
            <v>-23.516034911969065</v>
          </cell>
        </row>
        <row r="37">
          <cell r="F37">
            <v>20.365690952806521</v>
          </cell>
          <cell r="G37">
            <v>21.134615524793567</v>
          </cell>
        </row>
        <row r="38">
          <cell r="F38">
            <v>-25.0022665112465</v>
          </cell>
          <cell r="G38">
            <v>-0.73551593662175008</v>
          </cell>
        </row>
        <row r="39">
          <cell r="F39">
            <v>-1.2481050697074199</v>
          </cell>
          <cell r="G39">
            <v>-4.7967037359836908</v>
          </cell>
        </row>
        <row r="40">
          <cell r="F40">
            <v>-26.136098706541812</v>
          </cell>
          <cell r="G40">
            <v>-40.589462637400693</v>
          </cell>
        </row>
        <row r="41">
          <cell r="F41">
            <v>28.768000000000001</v>
          </cell>
        </row>
        <row r="42">
          <cell r="G42">
            <v>40.828660400000011</v>
          </cell>
        </row>
        <row r="49">
          <cell r="F49">
            <v>262.52598114086601</v>
          </cell>
          <cell r="G49">
            <v>273.02430730949203</v>
          </cell>
        </row>
        <row r="50">
          <cell r="F50">
            <v>72.260448163356358</v>
          </cell>
          <cell r="G50">
            <v>87.651712344780691</v>
          </cell>
        </row>
        <row r="51">
          <cell r="F51">
            <v>190.26553297750965</v>
          </cell>
          <cell r="G51">
            <v>185.37259496471134</v>
          </cell>
        </row>
        <row r="52">
          <cell r="F52">
            <v>190.25476797750966</v>
          </cell>
          <cell r="G52">
            <v>185.17275596471134</v>
          </cell>
        </row>
        <row r="53">
          <cell r="F53">
            <v>1.07650000000003E-2</v>
          </cell>
          <cell r="G53">
            <v>0.19983899999999999</v>
          </cell>
        </row>
        <row r="54">
          <cell r="F54">
            <v>55.823113102308703</v>
          </cell>
          <cell r="G54">
            <v>68.7648703311351</v>
          </cell>
        </row>
        <row r="55">
          <cell r="F55">
            <v>-18.974605536000261</v>
          </cell>
          <cell r="G55">
            <v>-12.535812550000415</v>
          </cell>
        </row>
        <row r="56">
          <cell r="F56">
            <v>74.797718638308965</v>
          </cell>
          <cell r="G56">
            <v>81.300682881135515</v>
          </cell>
        </row>
        <row r="57">
          <cell r="F57">
            <v>75.00820231830896</v>
          </cell>
          <cell r="G57">
            <v>81.368389881135499</v>
          </cell>
        </row>
        <row r="58">
          <cell r="F58">
            <v>-0.21048368000000098</v>
          </cell>
          <cell r="G58">
            <v>-6.7706999999999989E-2</v>
          </cell>
        </row>
        <row r="60">
          <cell r="F60">
            <v>32.172132363561197</v>
          </cell>
          <cell r="G60">
            <v>46.887149960794495</v>
          </cell>
        </row>
        <row r="61">
          <cell r="F61">
            <v>-26.754435449115874</v>
          </cell>
          <cell r="G61">
            <v>-20.247646515765219</v>
          </cell>
        </row>
        <row r="62">
          <cell r="F62">
            <v>58.926567812677071</v>
          </cell>
          <cell r="G62">
            <v>67.134796476559714</v>
          </cell>
        </row>
        <row r="63">
          <cell r="F63">
            <v>59.141196492677075</v>
          </cell>
          <cell r="G63">
            <v>67.207018476559711</v>
          </cell>
        </row>
        <row r="64">
          <cell r="F64">
            <v>-0.21462868000000299</v>
          </cell>
          <cell r="G64">
            <v>-7.2221999999999995E-2</v>
          </cell>
        </row>
        <row r="69">
          <cell r="F69">
            <v>280.77029784128848</v>
          </cell>
          <cell r="G69">
            <v>273.02430730949203</v>
          </cell>
        </row>
        <row r="70">
          <cell r="F70">
            <v>72.26044816335633</v>
          </cell>
          <cell r="G70">
            <v>87.651712344780691</v>
          </cell>
        </row>
        <row r="71">
          <cell r="F71">
            <v>208.50984967793215</v>
          </cell>
          <cell r="G71">
            <v>185.37259496471134</v>
          </cell>
        </row>
        <row r="72">
          <cell r="F72">
            <v>208.49908467793213</v>
          </cell>
          <cell r="G72">
            <v>185.17275596471134</v>
          </cell>
        </row>
        <row r="73">
          <cell r="F73">
            <v>1.07650000000003E-2</v>
          </cell>
          <cell r="G73">
            <v>0.19983899999999999</v>
          </cell>
        </row>
        <row r="74">
          <cell r="F74">
            <v>64.202774933669787</v>
          </cell>
          <cell r="G74">
            <v>68.7648703311351</v>
          </cell>
        </row>
        <row r="75">
          <cell r="F75">
            <v>-18.974605536000254</v>
          </cell>
          <cell r="G75">
            <v>-12.535812550000415</v>
          </cell>
        </row>
        <row r="76">
          <cell r="F76">
            <v>83.177380469670041</v>
          </cell>
          <cell r="G76">
            <v>81.300682881135515</v>
          </cell>
        </row>
        <row r="77">
          <cell r="F77">
            <v>83.387864149670037</v>
          </cell>
          <cell r="G77">
            <v>81.368389881135499</v>
          </cell>
        </row>
        <row r="78">
          <cell r="F78">
            <v>-0.21048368000000098</v>
          </cell>
          <cell r="G78">
            <v>-6.7706999999999989E-2</v>
          </cell>
        </row>
        <row r="80">
          <cell r="F80">
            <v>39.210862014017394</v>
          </cell>
          <cell r="G80">
            <v>46.887149960794495</v>
          </cell>
        </row>
        <row r="81">
          <cell r="F81">
            <v>-26.754435449115874</v>
          </cell>
          <cell r="G81">
            <v>-20.247646515765219</v>
          </cell>
        </row>
        <row r="82">
          <cell r="F82">
            <v>65.965297463133268</v>
          </cell>
          <cell r="G82">
            <v>67.134796476559714</v>
          </cell>
        </row>
        <row r="83">
          <cell r="F83">
            <v>66.179926143133272</v>
          </cell>
          <cell r="G83">
            <v>67.207018476559711</v>
          </cell>
        </row>
        <row r="84">
          <cell r="F84">
            <v>-0.21462868000000299</v>
          </cell>
          <cell r="G84">
            <v>-7.2221999999999995E-2</v>
          </cell>
        </row>
        <row r="101">
          <cell r="G101">
            <v>51.035825500000001</v>
          </cell>
        </row>
        <row r="121">
          <cell r="F121">
            <v>262.52598114086601</v>
          </cell>
          <cell r="G121">
            <v>273.02430730949203</v>
          </cell>
        </row>
        <row r="122">
          <cell r="F122">
            <v>177.987338303211</v>
          </cell>
          <cell r="G122">
            <v>168.91643426788198</v>
          </cell>
        </row>
        <row r="123">
          <cell r="F123">
            <v>47.354662346819104</v>
          </cell>
          <cell r="G123">
            <v>60.060861548662501</v>
          </cell>
        </row>
        <row r="124">
          <cell r="F124">
            <v>41.695034774625796</v>
          </cell>
          <cell r="G124">
            <v>49.057539887605202</v>
          </cell>
        </row>
        <row r="125">
          <cell r="F125">
            <v>-4.5110542837898961</v>
          </cell>
          <cell r="G125">
            <v>-5.0105283946576549</v>
          </cell>
        </row>
        <row r="133">
          <cell r="F133">
            <v>55.823113102308703</v>
          </cell>
          <cell r="G133">
            <v>68.7648703311351</v>
          </cell>
        </row>
        <row r="134">
          <cell r="F134">
            <v>62.161007025081304</v>
          </cell>
          <cell r="G134">
            <v>66.246471194497801</v>
          </cell>
        </row>
        <row r="135">
          <cell r="F135">
            <v>0.67236373096305901</v>
          </cell>
          <cell r="G135">
            <v>8.0448780192073901</v>
          </cell>
        </row>
        <row r="136">
          <cell r="F136">
            <v>-5.9670337537353202</v>
          </cell>
          <cell r="G136">
            <v>-3.0717104354629701</v>
          </cell>
        </row>
        <row r="137">
          <cell r="F137">
            <v>-1.0432239000003394</v>
          </cell>
          <cell r="G137">
            <v>-2.4547684471071207</v>
          </cell>
        </row>
      </sheetData>
      <sheetData sheetId="1">
        <row r="10">
          <cell r="F10">
            <v>177.987338303211</v>
          </cell>
          <cell r="G10">
            <v>168.91643426788198</v>
          </cell>
        </row>
        <row r="11">
          <cell r="F11">
            <v>1.4044494699999999</v>
          </cell>
          <cell r="G11">
            <v>2.2319317600000006</v>
          </cell>
        </row>
        <row r="12">
          <cell r="F12">
            <v>176.30054903321101</v>
          </cell>
          <cell r="G12">
            <v>166.455621617882</v>
          </cell>
        </row>
        <row r="13">
          <cell r="F13">
            <v>176.28978403321102</v>
          </cell>
          <cell r="G13">
            <v>166.25578261788201</v>
          </cell>
        </row>
        <row r="14">
          <cell r="F14">
            <v>1.0765E-2</v>
          </cell>
          <cell r="G14">
            <v>0.19983899999999999</v>
          </cell>
        </row>
        <row r="15">
          <cell r="F15">
            <v>0.28233980000000009</v>
          </cell>
          <cell r="G15">
            <v>0.22888088999999998</v>
          </cell>
        </row>
        <row r="16">
          <cell r="F16">
            <v>115.8263312781297</v>
          </cell>
          <cell r="G16">
            <v>102.66996307338418</v>
          </cell>
        </row>
        <row r="17">
          <cell r="F17">
            <v>10.770286755999999</v>
          </cell>
          <cell r="G17">
            <v>10.968430139999997</v>
          </cell>
        </row>
        <row r="18">
          <cell r="F18">
            <v>98.85837721212971</v>
          </cell>
          <cell r="G18">
            <v>85.268830953384196</v>
          </cell>
        </row>
        <row r="19">
          <cell r="F19">
            <v>98.648011212129717</v>
          </cell>
          <cell r="G19">
            <v>85.0012849533842</v>
          </cell>
        </row>
        <row r="20">
          <cell r="F20">
            <v>0.210366</v>
          </cell>
          <cell r="G20">
            <v>0.26754599999999995</v>
          </cell>
        </row>
        <row r="21">
          <cell r="F21">
            <v>6.1976673099999999</v>
          </cell>
          <cell r="G21">
            <v>6.4327019799999992</v>
          </cell>
        </row>
        <row r="22">
          <cell r="F22">
            <v>62.161007025081304</v>
          </cell>
          <cell r="G22">
            <v>66.246471194497801</v>
          </cell>
        </row>
        <row r="23">
          <cell r="F23">
            <v>-9.3658372859999997</v>
          </cell>
          <cell r="G23">
            <v>-8.7364983799999969</v>
          </cell>
        </row>
        <row r="24">
          <cell r="F24">
            <v>77.442171821081303</v>
          </cell>
          <cell r="G24">
            <v>81.186790664497806</v>
          </cell>
        </row>
        <row r="25">
          <cell r="F25">
            <v>77.641772821081304</v>
          </cell>
          <cell r="G25">
            <v>81.254497664497805</v>
          </cell>
        </row>
        <row r="26">
          <cell r="F26">
            <v>-0.199601</v>
          </cell>
          <cell r="G26">
            <v>-6.7706999999999989E-2</v>
          </cell>
        </row>
        <row r="27">
          <cell r="F27">
            <v>-5.91532751</v>
          </cell>
          <cell r="G27">
            <v>-6.203821089999999</v>
          </cell>
        </row>
        <row r="29">
          <cell r="F29">
            <v>46.151003490088698</v>
          </cell>
          <cell r="G29">
            <v>51.493144670333301</v>
          </cell>
        </row>
        <row r="30">
          <cell r="F30">
            <v>-10.448055139158013</v>
          </cell>
          <cell r="G30">
            <v>-9.8572634067003513</v>
          </cell>
        </row>
        <row r="31">
          <cell r="F31">
            <v>63.367988279204255</v>
          </cell>
          <cell r="G31">
            <v>68.579428026098114</v>
          </cell>
        </row>
        <row r="32">
          <cell r="F32">
            <v>63.571734279204257</v>
          </cell>
          <cell r="G32">
            <v>68.65165002609811</v>
          </cell>
        </row>
        <row r="33">
          <cell r="F33">
            <v>-0.20374600000000001</v>
          </cell>
          <cell r="G33">
            <v>-7.2221999999999995E-2</v>
          </cell>
        </row>
        <row r="34">
          <cell r="F34">
            <v>-6.7689296499575455</v>
          </cell>
          <cell r="G34">
            <v>-7.2290199490644724</v>
          </cell>
        </row>
        <row r="39">
          <cell r="F39">
            <v>194.46155018941741</v>
          </cell>
          <cell r="G39">
            <v>168.91643426788198</v>
          </cell>
        </row>
        <row r="40">
          <cell r="F40">
            <v>1.4044494699999999</v>
          </cell>
          <cell r="G40">
            <v>2.2319317600000006</v>
          </cell>
        </row>
        <row r="41">
          <cell r="F41">
            <v>192.77476091941742</v>
          </cell>
          <cell r="G41">
            <v>166.455621617882</v>
          </cell>
        </row>
        <row r="42">
          <cell r="F42">
            <v>192.76399591941743</v>
          </cell>
          <cell r="G42">
            <v>166.25578261788201</v>
          </cell>
        </row>
        <row r="43">
          <cell r="F43">
            <v>1.0765E-2</v>
          </cell>
          <cell r="G43">
            <v>0.19983899999999999</v>
          </cell>
        </row>
        <row r="44">
          <cell r="F44">
            <v>0.28233980000000009</v>
          </cell>
          <cell r="G44">
            <v>0.22888088999999998</v>
          </cell>
        </row>
        <row r="45">
          <cell r="F45">
            <v>70.661602042642045</v>
          </cell>
          <cell r="G45">
            <v>66.246471194497801</v>
          </cell>
        </row>
        <row r="46">
          <cell r="F46">
            <v>-9.3658372859999997</v>
          </cell>
          <cell r="G46">
            <v>-8.7364983799999969</v>
          </cell>
        </row>
        <row r="47">
          <cell r="F47">
            <v>85.942766838642044</v>
          </cell>
          <cell r="G47">
            <v>81.186790664497806</v>
          </cell>
        </row>
        <row r="48">
          <cell r="F48">
            <v>86.142367838642045</v>
          </cell>
          <cell r="G48">
            <v>81.254497664497805</v>
          </cell>
        </row>
        <row r="49">
          <cell r="F49">
            <v>-0.199601</v>
          </cell>
          <cell r="G49">
            <v>-6.7706999999999989E-2</v>
          </cell>
        </row>
        <row r="50">
          <cell r="F50">
            <v>-5.91532751</v>
          </cell>
          <cell r="G50">
            <v>-6.203821089999999</v>
          </cell>
        </row>
        <row r="52">
          <cell r="F52">
            <v>53.518515685753833</v>
          </cell>
          <cell r="G52">
            <v>51.493144670333301</v>
          </cell>
        </row>
        <row r="53">
          <cell r="F53">
            <v>-10.448055139158013</v>
          </cell>
          <cell r="G53">
            <v>-9.8572634067003513</v>
          </cell>
        </row>
        <row r="54">
          <cell r="F54">
            <v>70.735500474869383</v>
          </cell>
          <cell r="G54">
            <v>68.579428026098114</v>
          </cell>
        </row>
        <row r="55">
          <cell r="F55">
            <v>70.939246474869378</v>
          </cell>
          <cell r="G55">
            <v>68.65165002609811</v>
          </cell>
        </row>
        <row r="56">
          <cell r="F56">
            <v>-0.20374600000000001</v>
          </cell>
          <cell r="G56">
            <v>-7.2221999999999995E-2</v>
          </cell>
        </row>
        <row r="57">
          <cell r="F57">
            <v>-6.7689296499575455</v>
          </cell>
          <cell r="G57">
            <v>-7.2290199490644724</v>
          </cell>
        </row>
        <row r="69">
          <cell r="F69">
            <v>177.987338303211</v>
          </cell>
          <cell r="G69">
            <v>168.91643426788198</v>
          </cell>
        </row>
        <row r="70">
          <cell r="F70">
            <v>162.07970087021423</v>
          </cell>
          <cell r="G70">
            <v>149.61441498457523</v>
          </cell>
        </row>
        <row r="71">
          <cell r="F71">
            <v>68.396007831113096</v>
          </cell>
          <cell r="G71">
            <v>48.759735660890122</v>
          </cell>
        </row>
        <row r="72">
          <cell r="F72">
            <v>93.683693039101129</v>
          </cell>
          <cell r="G72">
            <v>100.8546793236851</v>
          </cell>
        </row>
        <row r="73">
          <cell r="F73">
            <v>15.629124015967113</v>
          </cell>
          <cell r="G73">
            <v>19.072067703105972</v>
          </cell>
        </row>
        <row r="74">
          <cell r="F74">
            <v>1.4044494699999999</v>
          </cell>
          <cell r="G74">
            <v>2.2319317600000006</v>
          </cell>
        </row>
        <row r="75">
          <cell r="F75">
            <v>7.4462398532175138</v>
          </cell>
          <cell r="G75">
            <v>7.0247158785440078</v>
          </cell>
        </row>
        <row r="76">
          <cell r="F76">
            <v>6.7784346927495998</v>
          </cell>
          <cell r="G76">
            <v>9.8154200645619625</v>
          </cell>
        </row>
        <row r="77">
          <cell r="F77">
            <v>0.28233980000000009</v>
          </cell>
          <cell r="G77">
            <v>0.22888088999999998</v>
          </cell>
        </row>
        <row r="83">
          <cell r="F83">
            <v>194.46155018941741</v>
          </cell>
          <cell r="G83">
            <v>168.91643426788198</v>
          </cell>
        </row>
        <row r="84">
          <cell r="F84">
            <v>178.67577988963353</v>
          </cell>
          <cell r="G84">
            <v>149.61441498457523</v>
          </cell>
        </row>
        <row r="85">
          <cell r="F85">
            <v>75.154760515934299</v>
          </cell>
          <cell r="G85">
            <v>48.759735660890122</v>
          </cell>
        </row>
        <row r="86">
          <cell r="F86">
            <v>103.52101937369923</v>
          </cell>
          <cell r="G86">
            <v>100.8546793236851</v>
          </cell>
        </row>
        <row r="87">
          <cell r="F87">
            <v>15.507256882754179</v>
          </cell>
          <cell r="G87">
            <v>19.072067703105972</v>
          </cell>
        </row>
        <row r="88">
          <cell r="F88">
            <v>1.4044494699999999</v>
          </cell>
          <cell r="G88">
            <v>2.2319317600000006</v>
          </cell>
        </row>
        <row r="89">
          <cell r="F89">
            <v>7.4901348939200112</v>
          </cell>
          <cell r="G89">
            <v>7.0247158785440078</v>
          </cell>
        </row>
        <row r="90">
          <cell r="F90">
            <v>6.6126725188341684</v>
          </cell>
          <cell r="G90">
            <v>9.8154200645619625</v>
          </cell>
        </row>
        <row r="91">
          <cell r="F91">
            <v>0.28233980000000009</v>
          </cell>
          <cell r="G91">
            <v>0.22888088999999998</v>
          </cell>
        </row>
        <row r="100">
          <cell r="F100">
            <v>62.161007025081304</v>
          </cell>
          <cell r="G100">
            <v>66.246471194497801</v>
          </cell>
        </row>
        <row r="101">
          <cell r="F101">
            <v>86.264278459855291</v>
          </cell>
          <cell r="G101">
            <v>83.467567025469506</v>
          </cell>
        </row>
        <row r="102">
          <cell r="F102">
            <v>31.952867292163184</v>
          </cell>
          <cell r="G102">
            <v>21.720716573829023</v>
          </cell>
        </row>
        <row r="103">
          <cell r="F103">
            <v>54.311411167692107</v>
          </cell>
          <cell r="G103">
            <v>61.746850451640483</v>
          </cell>
        </row>
        <row r="104">
          <cell r="F104">
            <v>-13.505369329906186</v>
          </cell>
          <cell r="G104">
            <v>-10.632998907554713</v>
          </cell>
        </row>
        <row r="105">
          <cell r="F105">
            <v>-9.3658372859999997</v>
          </cell>
          <cell r="G105">
            <v>-8.7364983799999969</v>
          </cell>
        </row>
        <row r="106">
          <cell r="F106">
            <v>-3.6579748690459235</v>
          </cell>
          <cell r="G106">
            <v>-4.0147077478780009</v>
          </cell>
        </row>
        <row r="107">
          <cell r="F107">
            <v>-0.48155717486026273</v>
          </cell>
          <cell r="G107">
            <v>2.1182072203232849</v>
          </cell>
        </row>
        <row r="108">
          <cell r="F108">
            <v>-10.59756318145655</v>
          </cell>
          <cell r="G108">
            <v>-6.5853210899999999</v>
          </cell>
        </row>
        <row r="114">
          <cell r="F114">
            <v>70.661602042642045</v>
          </cell>
          <cell r="G114">
            <v>66.246471194497801</v>
          </cell>
        </row>
        <row r="115">
          <cell r="F115">
            <v>94.823744483046525</v>
          </cell>
          <cell r="G115">
            <v>83.467567025469506</v>
          </cell>
        </row>
        <row r="116">
          <cell r="F116">
            <v>34.985959337669605</v>
          </cell>
          <cell r="G116">
            <v>21.720716573829023</v>
          </cell>
        </row>
        <row r="117">
          <cell r="F117">
            <v>59.83778514537692</v>
          </cell>
          <cell r="G117">
            <v>61.746850451640483</v>
          </cell>
        </row>
        <row r="118">
          <cell r="F118">
            <v>-13.564240335536692</v>
          </cell>
          <cell r="G118">
            <v>-10.632998907554713</v>
          </cell>
        </row>
        <row r="119">
          <cell r="F119">
            <v>-9.3658372859999997</v>
          </cell>
          <cell r="G119">
            <v>-8.7364983799999969</v>
          </cell>
        </row>
        <row r="120">
          <cell r="F120">
            <v>-3.7103627611371452</v>
          </cell>
          <cell r="G120">
            <v>-4.0147077478780009</v>
          </cell>
        </row>
        <row r="121">
          <cell r="F121">
            <v>-0.48804028839954672</v>
          </cell>
          <cell r="G121">
            <v>2.1182072203232849</v>
          </cell>
        </row>
        <row r="122">
          <cell r="F122">
            <v>-10.59756318145655</v>
          </cell>
          <cell r="G122">
            <v>-6.5853210899999999</v>
          </cell>
        </row>
      </sheetData>
      <sheetData sheetId="2">
        <row r="10">
          <cell r="F10">
            <v>47.354662346819104</v>
          </cell>
          <cell r="G10">
            <v>60.060861548662501</v>
          </cell>
        </row>
        <row r="11">
          <cell r="F11">
            <v>34.513993509999999</v>
          </cell>
          <cell r="G11">
            <v>43.114360330000004</v>
          </cell>
        </row>
        <row r="12">
          <cell r="F12">
            <v>13.846692374959501</v>
          </cell>
          <cell r="G12">
            <v>17.892667870062301</v>
          </cell>
        </row>
        <row r="20">
          <cell r="F20">
            <v>0.67236373096305901</v>
          </cell>
          <cell r="G20">
            <v>8.0448780192073901</v>
          </cell>
        </row>
        <row r="21">
          <cell r="F21">
            <v>1.3762368200000201</v>
          </cell>
          <cell r="G21">
            <v>6.2536923999999701</v>
          </cell>
        </row>
        <row r="22">
          <cell r="F22">
            <v>-1.0492065590369699</v>
          </cell>
          <cell r="G22">
            <v>1.8312196592074499</v>
          </cell>
        </row>
        <row r="26">
          <cell r="F26">
            <v>-4.0749751270621797</v>
          </cell>
          <cell r="G26">
            <v>3.6023070889331898</v>
          </cell>
        </row>
        <row r="27">
          <cell r="F27">
            <v>-1.6456389699999672</v>
          </cell>
          <cell r="G27">
            <v>3.3364080799999898</v>
          </cell>
        </row>
        <row r="28">
          <cell r="F28">
            <v>-2.7746696270621403</v>
          </cell>
          <cell r="G28">
            <v>0.30593304893328599</v>
          </cell>
        </row>
        <row r="35">
          <cell r="F35">
            <v>49.109082881486295</v>
          </cell>
          <cell r="G35">
            <v>60.060861548662501</v>
          </cell>
        </row>
        <row r="36">
          <cell r="F36">
            <v>34.513993509999999</v>
          </cell>
          <cell r="G36">
            <v>43.114360330000004</v>
          </cell>
        </row>
        <row r="37">
          <cell r="F37">
            <v>15.596333883598</v>
          </cell>
          <cell r="G37">
            <v>17.892667870062301</v>
          </cell>
        </row>
        <row r="41">
          <cell r="F41">
            <v>0.53574626521450097</v>
          </cell>
          <cell r="G41">
            <v>8.0448780192073901</v>
          </cell>
        </row>
        <row r="42">
          <cell r="F42">
            <v>1.3762368200000201</v>
          </cell>
          <cell r="G42">
            <v>6.2536923999999701</v>
          </cell>
        </row>
        <row r="43">
          <cell r="F43">
            <v>-1.1858240247855398</v>
          </cell>
          <cell r="G43">
            <v>1.8312196592074499</v>
          </cell>
        </row>
        <row r="48">
          <cell r="F48">
            <v>-4.4194419518200201</v>
          </cell>
          <cell r="G48">
            <v>3.6023070889331898</v>
          </cell>
        </row>
        <row r="49">
          <cell r="F49">
            <v>-1.6456389699999672</v>
          </cell>
          <cell r="G49">
            <v>3.3364080799999898</v>
          </cell>
        </row>
        <row r="50">
          <cell r="F50">
            <v>-3.11913645182003</v>
          </cell>
          <cell r="G50">
            <v>0.30593304893328599</v>
          </cell>
        </row>
      </sheetData>
      <sheetData sheetId="3">
        <row r="10">
          <cell r="F10">
            <v>41.695034774625796</v>
          </cell>
          <cell r="G10">
            <v>49.057539887605202</v>
          </cell>
        </row>
        <row r="11">
          <cell r="F11">
            <v>37.170955345763495</v>
          </cell>
          <cell r="G11">
            <v>43.842965088913296</v>
          </cell>
        </row>
        <row r="12">
          <cell r="F12">
            <v>19.268559162735098</v>
          </cell>
          <cell r="G12">
            <v>23.582915021489601</v>
          </cell>
        </row>
        <row r="13">
          <cell r="F13">
            <v>12.7617810908104</v>
          </cell>
          <cell r="G13">
            <v>13.702333068292001</v>
          </cell>
        </row>
        <row r="14">
          <cell r="F14">
            <v>8.0442033064630767</v>
          </cell>
          <cell r="G14">
            <v>8.4392658987536642</v>
          </cell>
        </row>
        <row r="15">
          <cell r="F15">
            <v>4.3342186545673407</v>
          </cell>
          <cell r="G15">
            <v>4.6661976778383192</v>
          </cell>
        </row>
        <row r="16">
          <cell r="F16">
            <v>0.38335912977998277</v>
          </cell>
          <cell r="G16">
            <v>0.59686949170001746</v>
          </cell>
        </row>
        <row r="17">
          <cell r="F17">
            <v>6.5067780719246979</v>
          </cell>
          <cell r="G17">
            <v>9.8805819531976002</v>
          </cell>
        </row>
        <row r="18">
          <cell r="F18">
            <v>5.0837620689817236</v>
          </cell>
          <cell r="G18">
            <v>7.9300528171270344</v>
          </cell>
        </row>
        <row r="19">
          <cell r="F19">
            <v>0.83537635272296917</v>
          </cell>
          <cell r="G19">
            <v>1.4255042877705906</v>
          </cell>
        </row>
        <row r="20">
          <cell r="F20">
            <v>0.58763965022000519</v>
          </cell>
          <cell r="G20">
            <v>0.52502484829997531</v>
          </cell>
        </row>
        <row r="21">
          <cell r="F21">
            <v>13.2217543434154</v>
          </cell>
          <cell r="G21">
            <v>15.219825806268899</v>
          </cell>
        </row>
        <row r="22">
          <cell r="F22">
            <v>4.6806418396129974</v>
          </cell>
          <cell r="G22">
            <v>5.0402242611547958</v>
          </cell>
        </row>
        <row r="23">
          <cell r="F23">
            <v>4.5240794288623007</v>
          </cell>
          <cell r="G23">
            <v>5.2145747986919062</v>
          </cell>
        </row>
        <row r="24">
          <cell r="F24">
            <v>47.662068528361118</v>
          </cell>
          <cell r="G24">
            <v>52.12925032306817</v>
          </cell>
        </row>
        <row r="25">
          <cell r="F25">
            <v>42.714467854391188</v>
          </cell>
          <cell r="G25">
            <v>45.926823634692383</v>
          </cell>
        </row>
        <row r="26">
          <cell r="F26">
            <v>4.9476006739699301</v>
          </cell>
          <cell r="G26">
            <v>6.2024266883757875</v>
          </cell>
        </row>
        <row r="27">
          <cell r="F27">
            <v>-5.9670337537353202</v>
          </cell>
          <cell r="G27">
            <v>-3.0717104354629701</v>
          </cell>
        </row>
        <row r="28">
          <cell r="F28">
            <v>-5.54351250862769</v>
          </cell>
          <cell r="G28">
            <v>-2.0838585457790901</v>
          </cell>
        </row>
        <row r="30">
          <cell r="F30">
            <v>-0.42352124510763023</v>
          </cell>
          <cell r="G30">
            <v>-0.98785188968387994</v>
          </cell>
        </row>
        <row r="31">
          <cell r="F31">
            <v>-8.4270235594650291</v>
          </cell>
          <cell r="G31">
            <v>-5.4188254213650096</v>
          </cell>
        </row>
        <row r="32">
          <cell r="F32">
            <v>-7.5163011050523103</v>
          </cell>
          <cell r="G32">
            <v>-3.9996465608834599</v>
          </cell>
        </row>
        <row r="34">
          <cell r="F34">
            <v>-0.91072245441271882</v>
          </cell>
          <cell r="G34">
            <v>-1.4191788604815496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CB606-54F8-4A1F-894C-A7BCA0B93B57}">
  <dimension ref="A2:AE166"/>
  <sheetViews>
    <sheetView tabSelected="1" workbookViewId="0">
      <selection sqref="A1:XFD1048576"/>
    </sheetView>
  </sheetViews>
  <sheetFormatPr baseColWidth="10" defaultColWidth="11.44140625" defaultRowHeight="13.2"/>
  <cols>
    <col min="1" max="1" width="6.5546875" style="1" bestFit="1" customWidth="1"/>
    <col min="2" max="3" width="11.44140625" style="1"/>
    <col min="4" max="4" width="48.6640625" style="1" customWidth="1"/>
    <col min="5" max="5" width="1" style="1" customWidth="1"/>
    <col min="6" max="8" width="11.44140625" style="1"/>
    <col min="9" max="9" width="6.88671875" style="1" customWidth="1"/>
    <col min="10" max="10" width="11.44140625" style="1"/>
    <col min="11" max="11" width="48.6640625" style="1" customWidth="1"/>
    <col min="12" max="12" width="0.88671875" style="1" customWidth="1"/>
    <col min="13" max="15" width="11.44140625" style="1"/>
    <col min="16" max="16" width="6.88671875" style="1" customWidth="1"/>
    <col min="17" max="17" width="11.44140625" style="1"/>
    <col min="18" max="18" width="48.6640625" style="1" customWidth="1"/>
    <col min="19" max="19" width="0.88671875" style="1" customWidth="1"/>
    <col min="20" max="22" width="11.44140625" style="1"/>
    <col min="23" max="23" width="6.88671875" style="1" customWidth="1"/>
    <col min="24" max="24" width="11.44140625" style="1"/>
    <col min="25" max="25" width="48.6640625" style="1" customWidth="1"/>
    <col min="26" max="26" width="0.88671875" style="1" customWidth="1"/>
    <col min="27" max="29" width="11.44140625" style="1"/>
    <col min="30" max="30" width="6.88671875" style="1" customWidth="1"/>
    <col min="31" max="16384" width="11.44140625" style="1"/>
  </cols>
  <sheetData>
    <row r="2" spans="1:30" ht="13.8" thickBot="1"/>
    <row r="3" spans="1:30" ht="16.2" thickBot="1">
      <c r="A3" s="1" t="s">
        <v>0</v>
      </c>
      <c r="B3" s="2" t="s">
        <v>1</v>
      </c>
      <c r="D3" s="3" t="str">
        <f>+IF($B$3="esp","GRUPO","GROUP")</f>
        <v>GROUP</v>
      </c>
      <c r="E3" s="4"/>
      <c r="F3" s="4"/>
      <c r="G3" s="5"/>
      <c r="H3" s="4"/>
      <c r="I3" s="4"/>
      <c r="K3" s="3" t="str">
        <f>+IF($B$3="esp","EDUCACIÓN","EDUCATION")</f>
        <v>EDUCATION</v>
      </c>
      <c r="L3" s="4"/>
      <c r="M3" s="4"/>
      <c r="N3" s="5"/>
      <c r="O3" s="4"/>
      <c r="P3" s="4"/>
      <c r="R3" s="3" t="str">
        <f>+IF($B$3="esp","RADIO","RADIO")</f>
        <v>RADIO</v>
      </c>
      <c r="S3" s="4"/>
      <c r="T3" s="4"/>
      <c r="U3" s="5"/>
      <c r="V3" s="4"/>
      <c r="W3" s="4"/>
      <c r="Y3" s="3" t="str">
        <f>+IF($B$3="esp","PRENSA - incluye PBS y Tecnología","PRESS - includes PBS &amp; IT")</f>
        <v>PRESS - includes PBS &amp; IT</v>
      </c>
      <c r="Z3" s="4"/>
      <c r="AA3" s="4"/>
      <c r="AB3" s="5"/>
      <c r="AC3" s="4"/>
      <c r="AD3" s="4"/>
    </row>
    <row r="4" spans="1:30">
      <c r="A4" s="1" t="s">
        <v>2</v>
      </c>
      <c r="B4" s="6" t="s">
        <v>3</v>
      </c>
    </row>
    <row r="5" spans="1:30">
      <c r="A5" s="1" t="s">
        <v>1</v>
      </c>
      <c r="B5" s="1" t="s">
        <v>4</v>
      </c>
    </row>
    <row r="6" spans="1:30">
      <c r="F6" s="7" t="str">
        <f>+IF($B$3="esp","ENERO - MARZO","JANUARY - MARCH")</f>
        <v>JANUARY - MARCH</v>
      </c>
      <c r="G6" s="8"/>
      <c r="H6" s="8"/>
      <c r="M6" s="7" t="str">
        <f>+IF($B$3="esp","ENERO - MARZO","JANUARY - MARCH")</f>
        <v>JANUARY - MARCH</v>
      </c>
      <c r="N6" s="8"/>
      <c r="O6" s="8"/>
      <c r="T6" s="7" t="str">
        <f>+IF($B$3="esp","ENERO - MARZO","JANUARY - MARCH")</f>
        <v>JANUARY - MARCH</v>
      </c>
      <c r="U6" s="8"/>
      <c r="V6" s="8"/>
      <c r="AA6" s="7" t="str">
        <f>+IF($B$3="esp","ENERO - MARZO","JANUARY - MARCH")</f>
        <v>JANUARY - MARCH</v>
      </c>
      <c r="AB6" s="8"/>
      <c r="AC6" s="8"/>
    </row>
    <row r="8" spans="1:30">
      <c r="D8" s="9" t="str">
        <f>+IF($B$3="esp","Millones de €","€ Millions")</f>
        <v>€ Millions</v>
      </c>
      <c r="F8" s="10">
        <v>2020</v>
      </c>
      <c r="G8" s="10">
        <v>2019</v>
      </c>
      <c r="H8" s="10" t="str">
        <f>+IF($B$3="esp","Var.%","% Chg.")</f>
        <v>% Chg.</v>
      </c>
      <c r="K8" s="9" t="str">
        <f>+IF($B$3="esp","Millones de €","€ Millions")</f>
        <v>€ Millions</v>
      </c>
      <c r="M8" s="10">
        <v>2020</v>
      </c>
      <c r="N8" s="10">
        <v>2019</v>
      </c>
      <c r="O8" s="10" t="str">
        <f>+IF($B$3="esp","Var.%","% Chg.")</f>
        <v>% Chg.</v>
      </c>
      <c r="R8" s="9" t="str">
        <f>+IF($B$3="esp","Millones de €","€ Millions")</f>
        <v>€ Millions</v>
      </c>
      <c r="T8" s="10">
        <v>2020</v>
      </c>
      <c r="U8" s="10">
        <v>2019</v>
      </c>
      <c r="V8" s="10" t="str">
        <f>+IF($B$3="esp","Var.%","% Chg.")</f>
        <v>% Chg.</v>
      </c>
      <c r="Y8" s="9" t="str">
        <f>+IF($B$3="esp","Millones de €","€ Millions")</f>
        <v>€ Millions</v>
      </c>
      <c r="AA8" s="10">
        <v>2020</v>
      </c>
      <c r="AB8" s="10">
        <v>2019</v>
      </c>
      <c r="AC8" s="10" t="str">
        <f>+IF($B$3="esp","Var.%","% Chg.")</f>
        <v>% Chg.</v>
      </c>
    </row>
    <row r="9" spans="1:30" ht="15.75" customHeight="1">
      <c r="D9" s="11" t="str">
        <f>+IF($B$3="esp","Resultados Reportados","Reported Results")</f>
        <v>Reported Results</v>
      </c>
      <c r="F9" s="12"/>
      <c r="G9" s="13"/>
      <c r="H9" s="13"/>
      <c r="K9" s="11" t="str">
        <f>+IF($B$3="esp","Resultados Reportados","Reported Results")</f>
        <v>Reported Results</v>
      </c>
      <c r="M9" s="13"/>
      <c r="N9" s="13"/>
      <c r="O9" s="13"/>
      <c r="R9" s="11" t="str">
        <f>+IF($B$3="esp","Resultados Reportados","Reported Results")</f>
        <v>Reported Results</v>
      </c>
      <c r="T9" s="13"/>
      <c r="U9" s="13"/>
      <c r="V9" s="13"/>
      <c r="Y9" s="11" t="str">
        <f>+IF($B$3="esp","Resultados Reportados","Reported Results")</f>
        <v>Reported Results</v>
      </c>
      <c r="AA9" s="13"/>
      <c r="AB9" s="13"/>
      <c r="AC9" s="13"/>
    </row>
    <row r="10" spans="1:30" s="14" customFormat="1" ht="15" customHeight="1">
      <c r="D10" s="14" t="str">
        <f>+IF($B$3="esp","Ingresos de Explotación","Operating Revenues")</f>
        <v>Operating Revenues</v>
      </c>
      <c r="F10" s="15">
        <f>+[1]GRUPO!F10</f>
        <v>262.52598114086601</v>
      </c>
      <c r="G10" s="16">
        <f>+[1]GRUPO!G10</f>
        <v>273.02430730949203</v>
      </c>
      <c r="H10" s="17">
        <f t="shared" ref="H10:H24" si="0">IF(G10=0,"---",IF(OR(ABS((F10-G10)/ABS(G10))&gt;2,(F10*G10)&lt;0),"---",IF(G10="0","---",((F10-G10)/ABS(G10))*100)))</f>
        <v>-3.8451983532460501</v>
      </c>
      <c r="K10" s="14" t="str">
        <f>+IF($B$3="esp","Ingresos de Explotación","Operating Revenues")</f>
        <v>Operating Revenues</v>
      </c>
      <c r="M10" s="15">
        <f>+[1]SANTILLANA!F10</f>
        <v>177.987338303211</v>
      </c>
      <c r="N10" s="16">
        <f>+[1]SANTILLANA!G10</f>
        <v>168.91643426788198</v>
      </c>
      <c r="O10" s="17">
        <f t="shared" ref="O10:O27" si="1">IF(N10=0,"---",IF(OR(ABS((M10-N10)/ABS(N10))&gt;2,(M10*N10)&lt;0),"---",IF(N10="0","---",((M10-N10)/ABS(N10))*100)))</f>
        <v>5.3700541777620137</v>
      </c>
      <c r="R10" s="14" t="str">
        <f>+IF($B$3="esp","Ingresos de Explotación","Operating Revenues")</f>
        <v>Operating Revenues</v>
      </c>
      <c r="T10" s="15">
        <f>+[1]RADIO!F10</f>
        <v>47.354662346819104</v>
      </c>
      <c r="U10" s="16">
        <f>+[1]RADIO!G10</f>
        <v>60.060861548662501</v>
      </c>
      <c r="V10" s="17">
        <f t="shared" ref="V10:V21" si="2">IF(U10=0,"---",IF(OR(ABS((T10-U10)/ABS(U10))&gt;2,(T10*U10)&lt;0),"---",IF(U10="0","---",((T10-U10)/ABS(U10))*100)))</f>
        <v>-21.155539354940124</v>
      </c>
      <c r="Y10" s="18" t="str">
        <f>+IF($B$3="esp","Ingresos de Explotación Noticias Gestión","Total Press Operating Revenues")</f>
        <v>Total Press Operating Revenues</v>
      </c>
      <c r="AA10" s="19">
        <f>+[1]NOTICIAS!F10</f>
        <v>41.695034774625796</v>
      </c>
      <c r="AB10" s="20">
        <f>+[1]NOTICIAS!G10</f>
        <v>49.057539887605202</v>
      </c>
      <c r="AC10" s="21">
        <f t="shared" ref="AC10:AC22" si="3">IF(AB10=0,"---",IF(OR(ABS((AA10-AB10)/ABS(AB10))&gt;2,(AA10*AB10)&lt;0),"---",IF(AB10="0","---",((AA10-AB10)/ABS(AB10))*100)))</f>
        <v>-15.007897113975755</v>
      </c>
    </row>
    <row r="11" spans="1:30" ht="15" customHeight="1">
      <c r="D11" s="22" t="str">
        <f>+IF($B$3="esp","España","Spain")</f>
        <v>Spain</v>
      </c>
      <c r="F11" s="23">
        <f>+[1]GRUPO!F11</f>
        <v>72.260448163356358</v>
      </c>
      <c r="G11" s="24">
        <f>+[1]GRUPO!G11</f>
        <v>87.651712344780691</v>
      </c>
      <c r="H11" s="25">
        <f t="shared" si="0"/>
        <v>-17.559570451838209</v>
      </c>
      <c r="K11" s="22" t="str">
        <f>+IF($B$3="esp","Negocio España","Spain business")</f>
        <v>Spain business</v>
      </c>
      <c r="M11" s="23">
        <f>+[1]SANTILLANA!F11</f>
        <v>1.4044494699999999</v>
      </c>
      <c r="N11" s="24">
        <f>+[1]SANTILLANA!G11</f>
        <v>2.2319317600000006</v>
      </c>
      <c r="O11" s="25">
        <f t="shared" si="1"/>
        <v>-37.074712803943456</v>
      </c>
      <c r="R11" s="22" t="str">
        <f>+IF($B$3="esp","España","Spain")</f>
        <v>Spain</v>
      </c>
      <c r="T11" s="23">
        <f>+[1]RADIO!F11</f>
        <v>34.513993509999999</v>
      </c>
      <c r="U11" s="24">
        <f>+[1]RADIO!G11</f>
        <v>43.114360330000004</v>
      </c>
      <c r="V11" s="25">
        <f t="shared" si="2"/>
        <v>-19.947801043949767</v>
      </c>
      <c r="Y11" s="26" t="str">
        <f>+IF($B$3="esp","Ingresos de Explotación PRENSA","PRESS Operating Revenues")</f>
        <v>PRESS Operating Revenues</v>
      </c>
      <c r="Z11" s="14"/>
      <c r="AA11" s="15">
        <f>+[1]NOTICIAS!F11</f>
        <v>37.170955345763495</v>
      </c>
      <c r="AB11" s="16">
        <f>+[1]NOTICIAS!G11</f>
        <v>43.842965088913296</v>
      </c>
      <c r="AC11" s="17">
        <f t="shared" si="3"/>
        <v>-15.217971069290137</v>
      </c>
    </row>
    <row r="12" spans="1:30" ht="15" customHeight="1">
      <c r="D12" s="22" t="str">
        <f>+IF($B$3="esp","Internacional","International")</f>
        <v>International</v>
      </c>
      <c r="F12" s="23">
        <f>+[1]GRUPO!F12</f>
        <v>190.26553297750965</v>
      </c>
      <c r="G12" s="24">
        <f>+[1]GRUPO!G12</f>
        <v>185.37259496471134</v>
      </c>
      <c r="H12" s="25">
        <f t="shared" si="0"/>
        <v>2.6395153036131149</v>
      </c>
      <c r="K12" s="22" t="str">
        <f>+IF($B$3="esp","Negocio Internacional","International business")</f>
        <v>International business</v>
      </c>
      <c r="M12" s="23">
        <f>+[1]SANTILLANA!F12</f>
        <v>176.30054903321101</v>
      </c>
      <c r="N12" s="24">
        <f>+[1]SANTILLANA!G12</f>
        <v>166.455621617882</v>
      </c>
      <c r="O12" s="25">
        <f t="shared" si="1"/>
        <v>5.9144457361309026</v>
      </c>
      <c r="R12" s="22" t="str">
        <f>+IF($B$3="esp","Latam","Latam")</f>
        <v>Latam</v>
      </c>
      <c r="T12" s="23">
        <f>+[1]RADIO!F12</f>
        <v>13.846692374959501</v>
      </c>
      <c r="U12" s="24">
        <f>+[1]RADIO!G12</f>
        <v>17.892667870062301</v>
      </c>
      <c r="V12" s="25">
        <f t="shared" si="2"/>
        <v>-22.612477493490253</v>
      </c>
      <c r="Y12" s="27" t="str">
        <f>+IF($B$3="esp","Publicidad","Advertising")</f>
        <v>Advertising</v>
      </c>
      <c r="Z12" s="28"/>
      <c r="AA12" s="29">
        <f>+[1]NOTICIAS!F12</f>
        <v>19.268559162735098</v>
      </c>
      <c r="AB12" s="30">
        <f>+[1]NOTICIAS!G12</f>
        <v>23.582915021489601</v>
      </c>
      <c r="AC12" s="31">
        <f t="shared" si="3"/>
        <v>-18.294412946080275</v>
      </c>
    </row>
    <row r="13" spans="1:30" ht="15" customHeight="1" thickBot="1">
      <c r="D13" s="32" t="str">
        <f>+IF($B$3="esp","Latam","Latam")</f>
        <v>Latam</v>
      </c>
      <c r="F13" s="23">
        <f>+[1]GRUPO!F13</f>
        <v>190.25476797750966</v>
      </c>
      <c r="G13" s="24">
        <f>+[1]GRUPO!G13</f>
        <v>185.17275596471134</v>
      </c>
      <c r="H13" s="25">
        <f t="shared" si="0"/>
        <v>2.7444706897200377</v>
      </c>
      <c r="K13" s="32" t="str">
        <f>+IF($B$3="esp","Latam","Latam")</f>
        <v>Latam</v>
      </c>
      <c r="M13" s="23">
        <f>+[1]SANTILLANA!F13</f>
        <v>176.28978403321102</v>
      </c>
      <c r="N13" s="24">
        <f>+[1]SANTILLANA!G13</f>
        <v>166.25578261788201</v>
      </c>
      <c r="O13" s="25">
        <f>IF(N13=0,"---",IF(OR(ABS((M13-N13)/ABS(N13))&gt;2,(M13*N13)&lt;0),"---",IF(N13="0","---",((M13-N13)/ABS(N13))*100)))</f>
        <v>6.0352796500263119</v>
      </c>
      <c r="R13" s="22" t="str">
        <f>+IF($B$3="esp","Ajustes y Otros","Adjustments &amp; others")</f>
        <v>Adjustments &amp; others</v>
      </c>
      <c r="T13" s="23">
        <f>+T10-T11-T12</f>
        <v>-1.0060235381403952</v>
      </c>
      <c r="U13" s="24">
        <f>+U10-U11-U12</f>
        <v>-0.94616665139980327</v>
      </c>
      <c r="V13" s="25">
        <f t="shared" si="2"/>
        <v>-6.3262520034960952</v>
      </c>
      <c r="Y13" s="33" t="str">
        <f>+IF($B$3="esp","Digital","Digital")</f>
        <v>Digital</v>
      </c>
      <c r="Z13" s="28"/>
      <c r="AA13" s="29">
        <f>+[1]NOTICIAS!F13</f>
        <v>12.7617810908104</v>
      </c>
      <c r="AB13" s="30">
        <f>+[1]NOTICIAS!G13</f>
        <v>13.702333068292001</v>
      </c>
      <c r="AC13" s="31">
        <f t="shared" si="3"/>
        <v>-6.8641739533984394</v>
      </c>
    </row>
    <row r="14" spans="1:30" ht="15" customHeight="1" thickTop="1">
      <c r="D14" s="32" t="str">
        <f>+IF($B$3="esp","Portugal","Portugal")</f>
        <v>Portugal</v>
      </c>
      <c r="F14" s="23">
        <f>+[1]GRUPO!F14</f>
        <v>1.07650000000003E-2</v>
      </c>
      <c r="G14" s="24">
        <f>+[1]GRUPO!G14</f>
        <v>0.19983899999999999</v>
      </c>
      <c r="H14" s="25">
        <f t="shared" si="0"/>
        <v>-94.613163596695188</v>
      </c>
      <c r="K14" s="32" t="str">
        <f>+IF($B$3="esp","Portugal","Portugal")</f>
        <v>Portugal</v>
      </c>
      <c r="M14" s="23">
        <f>+[1]SANTILLANA!F14</f>
        <v>1.0765E-2</v>
      </c>
      <c r="N14" s="24">
        <f>+[1]SANTILLANA!G14</f>
        <v>0.19983899999999999</v>
      </c>
      <c r="O14" s="25">
        <f t="shared" si="1"/>
        <v>-94.613163596695344</v>
      </c>
      <c r="R14" s="14" t="str">
        <f>+IF($B$3="esp","Gastos de Explotación Contables","Reported Expenses")</f>
        <v>Reported Expenses</v>
      </c>
      <c r="S14" s="14"/>
      <c r="T14" s="15">
        <f t="shared" ref="T14:U16" si="4">+T10-T18</f>
        <v>46.682298615856048</v>
      </c>
      <c r="U14" s="16">
        <f t="shared" si="4"/>
        <v>52.015983529455113</v>
      </c>
      <c r="V14" s="34">
        <f t="shared" si="2"/>
        <v>-10.253934563361195</v>
      </c>
      <c r="Y14" s="35" t="s">
        <v>5</v>
      </c>
      <c r="Z14" s="28"/>
      <c r="AA14" s="29">
        <f>+[1]NOTICIAS!F14</f>
        <v>8.0442033064630767</v>
      </c>
      <c r="AB14" s="30">
        <f>+[1]NOTICIAS!G14</f>
        <v>8.4392658987536642</v>
      </c>
      <c r="AC14" s="31">
        <f t="shared" si="3"/>
        <v>-4.6812435705922182</v>
      </c>
    </row>
    <row r="15" spans="1:30" s="14" customFormat="1" ht="15" customHeight="1">
      <c r="D15" s="14" t="str">
        <f>+IF($B$3="esp","Gastos de Explotación Contables","Reported Expenses")</f>
        <v>Reported Expenses</v>
      </c>
      <c r="F15" s="15">
        <f>+[1]GRUPO!F15</f>
        <v>206.70286803855731</v>
      </c>
      <c r="G15" s="16">
        <f>+[1]GRUPO!G15</f>
        <v>255.29526247835693</v>
      </c>
      <c r="H15" s="17">
        <f t="shared" si="0"/>
        <v>-19.033801868500838</v>
      </c>
      <c r="K15" s="22" t="str">
        <f>+IF($B$3="esp","Tecnología Educativa global y Centro Corpor.","Global Educational IT &amp; HQ")</f>
        <v>Global Educational IT &amp; HQ</v>
      </c>
      <c r="L15" s="1"/>
      <c r="M15" s="23">
        <f>+[1]SANTILLANA!F15</f>
        <v>0.28233980000000009</v>
      </c>
      <c r="N15" s="24">
        <f>+[1]SANTILLANA!G15</f>
        <v>0.22888088999999998</v>
      </c>
      <c r="O15" s="25">
        <f t="shared" si="1"/>
        <v>23.356650701594226</v>
      </c>
      <c r="R15" s="22" t="str">
        <f>+IF($B$3="esp","España","Spain")</f>
        <v>Spain</v>
      </c>
      <c r="S15" s="1"/>
      <c r="T15" s="23">
        <f t="shared" si="4"/>
        <v>33.137756689999982</v>
      </c>
      <c r="U15" s="24">
        <f t="shared" si="4"/>
        <v>36.860667930000034</v>
      </c>
      <c r="V15" s="25">
        <f t="shared" si="2"/>
        <v>-10.099955993933744</v>
      </c>
      <c r="Y15" s="35" t="s">
        <v>6</v>
      </c>
      <c r="Z15" s="28"/>
      <c r="AA15" s="29">
        <f>+[1]NOTICIAS!F15</f>
        <v>4.3342186545673407</v>
      </c>
      <c r="AB15" s="30">
        <f>+[1]NOTICIAS!G15</f>
        <v>4.6661976778383192</v>
      </c>
      <c r="AC15" s="31">
        <f t="shared" si="3"/>
        <v>-7.1145512083142695</v>
      </c>
    </row>
    <row r="16" spans="1:30" ht="15" customHeight="1">
      <c r="D16" s="22" t="str">
        <f>+IF($B$3="esp","España","Spain")</f>
        <v>Spain</v>
      </c>
      <c r="F16" s="23">
        <f>+[1]GRUPO!F16</f>
        <v>91.235053699356627</v>
      </c>
      <c r="G16" s="24">
        <f>+[1]GRUPO!G16</f>
        <v>151.22335039478111</v>
      </c>
      <c r="H16" s="25">
        <f t="shared" si="0"/>
        <v>-39.668673216682507</v>
      </c>
      <c r="K16" s="14" t="str">
        <f>+IF($B$3="esp","Gastos de Explotación","Expenses")</f>
        <v>Expenses</v>
      </c>
      <c r="L16" s="14"/>
      <c r="M16" s="15">
        <f>+[1]SANTILLANA!F16</f>
        <v>115.8263312781297</v>
      </c>
      <c r="N16" s="16">
        <f>+[1]SANTILLANA!G16</f>
        <v>102.66996307338418</v>
      </c>
      <c r="O16" s="17">
        <f t="shared" si="1"/>
        <v>12.814232917705345</v>
      </c>
      <c r="R16" s="22" t="str">
        <f>+IF($B$3="esp","Latam","Latam")</f>
        <v>Latam</v>
      </c>
      <c r="T16" s="23">
        <f t="shared" si="4"/>
        <v>14.89589893399647</v>
      </c>
      <c r="U16" s="24">
        <f t="shared" si="4"/>
        <v>16.061448210854852</v>
      </c>
      <c r="V16" s="25">
        <f t="shared" si="2"/>
        <v>-7.2568130940438209</v>
      </c>
      <c r="W16" s="14"/>
      <c r="Y16" s="35" t="str">
        <f>+IF($B$3="esp","Otros","Others")</f>
        <v>Others</v>
      </c>
      <c r="Z16" s="28"/>
      <c r="AA16" s="29">
        <f>+[1]NOTICIAS!F16</f>
        <v>0.38335912977998277</v>
      </c>
      <c r="AB16" s="30">
        <f>+[1]NOTICIAS!G16</f>
        <v>0.59686949170001746</v>
      </c>
      <c r="AC16" s="31">
        <f t="shared" si="3"/>
        <v>-35.771699657811219</v>
      </c>
    </row>
    <row r="17" spans="4:29" ht="15" customHeight="1" thickBot="1">
      <c r="D17" s="22" t="str">
        <f>+IF($B$3="esp","Internacional","International")</f>
        <v>International</v>
      </c>
      <c r="F17" s="23">
        <f>+[1]GRUPO!F17</f>
        <v>115.46781433920069</v>
      </c>
      <c r="G17" s="24">
        <f>+[1]GRUPO!G17</f>
        <v>104.07191208357582</v>
      </c>
      <c r="H17" s="25">
        <f t="shared" si="0"/>
        <v>10.950026791545145</v>
      </c>
      <c r="K17" s="22" t="str">
        <f>+IF($B$3="esp","Negocio España","Spain business")</f>
        <v>Spain business</v>
      </c>
      <c r="M17" s="23">
        <f>+[1]SANTILLANA!F17</f>
        <v>10.770286755999999</v>
      </c>
      <c r="N17" s="24">
        <f>+[1]SANTILLANA!G17</f>
        <v>10.968430139999997</v>
      </c>
      <c r="O17" s="25">
        <f t="shared" si="1"/>
        <v>-1.8064880887320673</v>
      </c>
      <c r="R17" s="22" t="str">
        <f>+IF($B$3="esp","Ajustes y Otros","Adjustments &amp; others")</f>
        <v>Adjustments &amp; others</v>
      </c>
      <c r="T17" s="23">
        <f>+T14-T15-T16</f>
        <v>-1.351357008140404</v>
      </c>
      <c r="U17" s="24">
        <f>+U14-U15-U16</f>
        <v>-0.90613261139977297</v>
      </c>
      <c r="V17" s="25">
        <f t="shared" si="2"/>
        <v>-49.134573807343564</v>
      </c>
      <c r="Y17" s="33" t="str">
        <f>+IF($B$3="esp","Papel","Print")</f>
        <v>Print</v>
      </c>
      <c r="Z17" s="28"/>
      <c r="AA17" s="29">
        <f>+[1]NOTICIAS!F17</f>
        <v>6.5067780719246979</v>
      </c>
      <c r="AB17" s="30">
        <f>+[1]NOTICIAS!G17</f>
        <v>9.8805819531976002</v>
      </c>
      <c r="AC17" s="31">
        <f t="shared" si="3"/>
        <v>-34.145801302534167</v>
      </c>
    </row>
    <row r="18" spans="4:29" ht="15" customHeight="1" thickTop="1">
      <c r="D18" s="32" t="str">
        <f>+IF($B$3="esp","Latam","Latam")</f>
        <v>Latam</v>
      </c>
      <c r="F18" s="23">
        <f>+[1]GRUPO!F18</f>
        <v>115.2465656592007</v>
      </c>
      <c r="G18" s="24">
        <f>+[1]GRUPO!G18</f>
        <v>103.80436608357584</v>
      </c>
      <c r="H18" s="25">
        <f t="shared" si="0"/>
        <v>11.022850008459582</v>
      </c>
      <c r="K18" s="22" t="str">
        <f>+IF($B$3="esp","Negocio Internacional","International business")</f>
        <v>International business</v>
      </c>
      <c r="M18" s="23">
        <f>+[1]SANTILLANA!F18</f>
        <v>98.85837721212971</v>
      </c>
      <c r="N18" s="24">
        <f>+[1]SANTILLANA!G18</f>
        <v>85.268830953384196</v>
      </c>
      <c r="O18" s="25">
        <f t="shared" si="1"/>
        <v>15.93729632129566</v>
      </c>
      <c r="R18" s="14" t="str">
        <f>+IF($B$3="esp","EBITDA","EBITDA")</f>
        <v>EBITDA</v>
      </c>
      <c r="S18" s="14"/>
      <c r="T18" s="15">
        <f>+[1]RADIO!F20</f>
        <v>0.67236373096305901</v>
      </c>
      <c r="U18" s="16">
        <f>+[1]RADIO!G20</f>
        <v>8.0448780192073901</v>
      </c>
      <c r="V18" s="34">
        <f t="shared" si="2"/>
        <v>-91.642337778673948</v>
      </c>
      <c r="Y18" s="35" t="s">
        <v>5</v>
      </c>
      <c r="Z18" s="28"/>
      <c r="AA18" s="29">
        <f>+[1]NOTICIAS!F18</f>
        <v>5.0837620689817236</v>
      </c>
      <c r="AB18" s="30">
        <f>+[1]NOTICIAS!G18</f>
        <v>7.9300528171270344</v>
      </c>
      <c r="AC18" s="31">
        <f t="shared" si="3"/>
        <v>-35.892456378070989</v>
      </c>
    </row>
    <row r="19" spans="4:29" ht="15" customHeight="1">
      <c r="D19" s="32" t="str">
        <f>+IF($B$3="esp","Portugal","Portugal")</f>
        <v>Portugal</v>
      </c>
      <c r="F19" s="23">
        <f>+[1]GRUPO!F19</f>
        <v>0.22124868000000128</v>
      </c>
      <c r="G19" s="24">
        <f>+[1]GRUPO!G19</f>
        <v>0.26754599999999995</v>
      </c>
      <c r="H19" s="25">
        <f t="shared" si="0"/>
        <v>-17.304433630104235</v>
      </c>
      <c r="K19" s="32" t="str">
        <f>+IF($B$3="esp","Latam","Latam")</f>
        <v>Latam</v>
      </c>
      <c r="M19" s="23">
        <f>+[1]SANTILLANA!F19</f>
        <v>98.648011212129717</v>
      </c>
      <c r="N19" s="24">
        <f>+[1]SANTILLANA!G19</f>
        <v>85.0012849533842</v>
      </c>
      <c r="O19" s="25">
        <f>IF(N19=0,"---",IF(OR(ABS((M19-N19)/ABS(N19))&gt;2,(M19*N19)&lt;0),"---",IF(N19="0","---",((M19-N19)/ABS(N19))*100)))</f>
        <v>16.054729368184915</v>
      </c>
      <c r="R19" s="22" t="str">
        <f>+IF($B$3="esp","España","Spain")</f>
        <v>Spain</v>
      </c>
      <c r="T19" s="23">
        <f>+[1]RADIO!F21</f>
        <v>1.3762368200000201</v>
      </c>
      <c r="U19" s="24">
        <f>+[1]RADIO!G21</f>
        <v>6.2536923999999701</v>
      </c>
      <c r="V19" s="25">
        <f t="shared" si="2"/>
        <v>-77.993212138159734</v>
      </c>
      <c r="Y19" s="35" t="s">
        <v>6</v>
      </c>
      <c r="Z19" s="28"/>
      <c r="AA19" s="29">
        <f>+[1]NOTICIAS!F19</f>
        <v>0.83537635272296917</v>
      </c>
      <c r="AB19" s="30">
        <f>+[1]NOTICIAS!G19</f>
        <v>1.4255042877705906</v>
      </c>
      <c r="AC19" s="31">
        <f t="shared" si="3"/>
        <v>-41.397836548815206</v>
      </c>
    </row>
    <row r="20" spans="4:29" s="28" customFormat="1" ht="15" customHeight="1">
      <c r="D20" s="14" t="str">
        <f>+IF($B$3="esp","EBITDA Contable","Reported EBITDA")</f>
        <v>Reported EBITDA</v>
      </c>
      <c r="E20" s="14"/>
      <c r="F20" s="15">
        <f>+[1]GRUPO!F20</f>
        <v>55.823113102308703</v>
      </c>
      <c r="G20" s="16">
        <f>+[1]GRUPO!G20</f>
        <v>17.729044831135099</v>
      </c>
      <c r="H20" s="17" t="str">
        <f t="shared" si="0"/>
        <v>---</v>
      </c>
      <c r="K20" s="32" t="str">
        <f>+IF($B$3="esp","Portugal","Portugal")</f>
        <v>Portugal</v>
      </c>
      <c r="L20" s="1"/>
      <c r="M20" s="23">
        <f>+[1]SANTILLANA!F20</f>
        <v>0.210366</v>
      </c>
      <c r="N20" s="24">
        <f>+[1]SANTILLANA!G20</f>
        <v>0.26754599999999995</v>
      </c>
      <c r="O20" s="25">
        <f t="shared" ref="O20" si="5">IF(N20=0,"---",IF(OR(ABS((M20-N20)/ABS(N20))&gt;2,(M20*N20)&lt;0),"---",IF(N20="0","---",((M20-N20)/ABS(N20))*100)))</f>
        <v>-21.372025745105503</v>
      </c>
      <c r="R20" s="22" t="str">
        <f>+IF($B$3="esp","Latam","Latam")</f>
        <v>Latam</v>
      </c>
      <c r="S20" s="1"/>
      <c r="T20" s="23">
        <f>+[1]RADIO!F22</f>
        <v>-1.0492065590369699</v>
      </c>
      <c r="U20" s="24">
        <f>+[1]RADIO!G22</f>
        <v>1.8312196592074499</v>
      </c>
      <c r="V20" s="25" t="str">
        <f t="shared" si="2"/>
        <v>---</v>
      </c>
      <c r="W20" s="1"/>
      <c r="Y20" s="35" t="str">
        <f>+IF($B$3="esp","Otros","Others")</f>
        <v>Others</v>
      </c>
      <c r="AA20" s="29">
        <f>+[1]NOTICIAS!F20</f>
        <v>0.58763965022000519</v>
      </c>
      <c r="AB20" s="30">
        <f>+[1]NOTICIAS!G20</f>
        <v>0.52502484829997531</v>
      </c>
      <c r="AC20" s="31">
        <f t="shared" si="3"/>
        <v>11.926064475381674</v>
      </c>
    </row>
    <row r="21" spans="4:29" s="14" customFormat="1" ht="15" customHeight="1">
      <c r="D21" s="22" t="str">
        <f>+IF($B$3="esp","España","Spain")</f>
        <v>Spain</v>
      </c>
      <c r="E21" s="1"/>
      <c r="F21" s="23">
        <f>+[1]GRUPO!F21</f>
        <v>-18.974605536000261</v>
      </c>
      <c r="G21" s="24">
        <f>+[1]GRUPO!G21</f>
        <v>-63.571638050000416</v>
      </c>
      <c r="H21" s="25">
        <f t="shared" si="0"/>
        <v>70.152404251285233</v>
      </c>
      <c r="K21" s="22" t="str">
        <f>+IF($B$3="esp","Tecnología Educativa global y Centro Corpor.","Global Educational IT &amp; HQ")</f>
        <v>Global Educational IT &amp; HQ</v>
      </c>
      <c r="L21" s="1"/>
      <c r="M21" s="23">
        <f>+[1]SANTILLANA!F21</f>
        <v>6.1976673099999999</v>
      </c>
      <c r="N21" s="24">
        <f>+[1]SANTILLANA!G21</f>
        <v>6.4327019799999992</v>
      </c>
      <c r="O21" s="25">
        <f t="shared" si="1"/>
        <v>-3.6537472236510986</v>
      </c>
      <c r="R21" s="22" t="str">
        <f>+IF($B$3="esp","Ajustes y Otros","Adjustments &amp; others")</f>
        <v>Adjustments &amp; others</v>
      </c>
      <c r="S21" s="1"/>
      <c r="T21" s="23">
        <f>+T18-T19-T20</f>
        <v>0.3453334700000088</v>
      </c>
      <c r="U21" s="24">
        <f>+U18-U19-U20</f>
        <v>-4.0034040000029858E-2</v>
      </c>
      <c r="V21" s="25" t="str">
        <f t="shared" si="2"/>
        <v>---</v>
      </c>
      <c r="W21" s="28"/>
      <c r="Y21" s="27" t="str">
        <f>+IF($B$3="esp","Circulación","Circulation")</f>
        <v>Circulation</v>
      </c>
      <c r="Z21" s="28"/>
      <c r="AA21" s="29">
        <f>+[1]NOTICIAS!F21</f>
        <v>13.2217543434154</v>
      </c>
      <c r="AB21" s="30">
        <f>+[1]NOTICIAS!G21</f>
        <v>15.219825806268899</v>
      </c>
      <c r="AC21" s="31">
        <f t="shared" si="3"/>
        <v>-13.128083647517915</v>
      </c>
    </row>
    <row r="22" spans="4:29" ht="15" customHeight="1" thickBot="1">
      <c r="D22" s="22" t="str">
        <f>+IF($B$3="esp","Internacional","International")</f>
        <v>International</v>
      </c>
      <c r="F22" s="23">
        <f>+[1]GRUPO!F22</f>
        <v>74.797718638308965</v>
      </c>
      <c r="G22" s="24">
        <f>+[1]GRUPO!G22</f>
        <v>81.300682881135515</v>
      </c>
      <c r="H22" s="25">
        <f t="shared" si="0"/>
        <v>-7.9986588210262815</v>
      </c>
      <c r="K22" s="14" t="str">
        <f>+IF($B$3="esp","EBITDA","EBITDA")</f>
        <v>EBITDA</v>
      </c>
      <c r="L22" s="14"/>
      <c r="M22" s="15">
        <f>+[1]SANTILLANA!F22</f>
        <v>62.161007025081304</v>
      </c>
      <c r="N22" s="16">
        <f>+[1]SANTILLANA!G22</f>
        <v>66.246471194497801</v>
      </c>
      <c r="O22" s="17">
        <f t="shared" si="1"/>
        <v>-6.1670668576771241</v>
      </c>
      <c r="R22" s="27" t="str">
        <f>+IF($B$3="esp","Margen EBITDA","EBITDA Margin")</f>
        <v>EBITDA Margin</v>
      </c>
      <c r="S22" s="28"/>
      <c r="T22" s="36">
        <f>+T18/T10</f>
        <v>1.4198469541156444E-2</v>
      </c>
      <c r="U22" s="37">
        <f>+U18/U10</f>
        <v>0.13394543154678643</v>
      </c>
      <c r="V22" s="38"/>
      <c r="W22" s="14"/>
      <c r="Y22" s="27" t="str">
        <f>+IF($B$3="esp","Promociones y Otros","Add-ons and Others")</f>
        <v>Add-ons and Others</v>
      </c>
      <c r="Z22" s="28"/>
      <c r="AA22" s="29">
        <f>+[1]NOTICIAS!F22</f>
        <v>4.6806418396129974</v>
      </c>
      <c r="AB22" s="30">
        <f>+[1]NOTICIAS!G22</f>
        <v>5.0402242611547958</v>
      </c>
      <c r="AC22" s="31">
        <f t="shared" si="3"/>
        <v>-7.1342544083427812</v>
      </c>
    </row>
    <row r="23" spans="4:29" ht="15" customHeight="1" thickTop="1" thickBot="1">
      <c r="D23" s="32" t="str">
        <f>+IF($B$3="esp","Latam","Latam")</f>
        <v>Latam</v>
      </c>
      <c r="F23" s="23">
        <f>+[1]GRUPO!F23</f>
        <v>75.00820231830896</v>
      </c>
      <c r="G23" s="24">
        <f>+[1]GRUPO!G23</f>
        <v>81.368389881135499</v>
      </c>
      <c r="H23" s="25">
        <f t="shared" si="0"/>
        <v>-7.8165336343973655</v>
      </c>
      <c r="K23" s="22" t="str">
        <f>+IF($B$3="esp","Negocio España","Spain business")</f>
        <v>Spain business</v>
      </c>
      <c r="M23" s="23">
        <f>+[1]SANTILLANA!F23</f>
        <v>-9.3658372859999997</v>
      </c>
      <c r="N23" s="24">
        <f>+[1]SANTILLANA!G23</f>
        <v>-8.7364983799999969</v>
      </c>
      <c r="O23" s="25">
        <f t="shared" si="1"/>
        <v>-7.2035600377459579</v>
      </c>
      <c r="R23" s="14" t="str">
        <f>+IF($B$3="esp","EBIT","EBIT")</f>
        <v>EBIT</v>
      </c>
      <c r="S23" s="14"/>
      <c r="T23" s="15">
        <f>+[1]RADIO!F26</f>
        <v>-4.0749751270621797</v>
      </c>
      <c r="U23" s="16">
        <f>+[1]RADIO!G26</f>
        <v>3.6023070889331898</v>
      </c>
      <c r="V23" s="34" t="str">
        <f>IF(U23=0,"---",IF(OR(ABS((T23-U23)/ABS(U23))&gt;2,(T23*U23)&lt;0),"---",IF(U23="0","---",((T23-U23)/ABS(U23))*100)))</f>
        <v>---</v>
      </c>
      <c r="W23" s="14"/>
      <c r="Y23" s="26" t="str">
        <f>+IF($B$3="esp","PBS y Prisa Tecnología","PBS &amp; IT")</f>
        <v>PBS &amp; IT</v>
      </c>
      <c r="Z23" s="14"/>
      <c r="AA23" s="15">
        <f>+[1]NOTICIAS!F23</f>
        <v>4.5240794288623007</v>
      </c>
      <c r="AB23" s="16">
        <f>+[1]NOTICIAS!G23</f>
        <v>5.2145747986919062</v>
      </c>
      <c r="AC23" s="17">
        <f>IF(AB23=0,"---",IF(OR(ABS((AA23-AB23)/ABS(AB23))&gt;2,(AA23*AB23)&lt;0),"---",IF(AB23="0","---",((AA23-AB23)/ABS(AB23))*100)))</f>
        <v>-13.241642827768404</v>
      </c>
    </row>
    <row r="24" spans="4:29" ht="15" customHeight="1" thickTop="1">
      <c r="D24" s="32" t="str">
        <f>+IF($B$3="esp","Portugal","Portugal")</f>
        <v>Portugal</v>
      </c>
      <c r="F24" s="23">
        <f>+[1]GRUPO!F24</f>
        <v>-0.21048368000000098</v>
      </c>
      <c r="G24" s="24">
        <f>+[1]GRUPO!G24</f>
        <v>-6.7706999999999989E-2</v>
      </c>
      <c r="H24" s="25" t="str">
        <f t="shared" si="0"/>
        <v>---</v>
      </c>
      <c r="K24" s="22" t="str">
        <f>+IF($B$3="esp","Negocio Internacional","International business")</f>
        <v>International business</v>
      </c>
      <c r="M24" s="23">
        <f>+[1]SANTILLANA!F24</f>
        <v>77.442171821081303</v>
      </c>
      <c r="N24" s="24">
        <f>+[1]SANTILLANA!G24</f>
        <v>81.186790664497806</v>
      </c>
      <c r="O24" s="25">
        <f t="shared" si="1"/>
        <v>-4.6123498820036364</v>
      </c>
      <c r="R24" s="22" t="str">
        <f>+IF($B$3="esp","España","Spain")</f>
        <v>Spain</v>
      </c>
      <c r="T24" s="23">
        <f>+[1]RADIO!F27</f>
        <v>-1.6456389699999672</v>
      </c>
      <c r="U24" s="24">
        <f>+[1]RADIO!G27</f>
        <v>3.3364080799999898</v>
      </c>
      <c r="V24" s="25" t="str">
        <f>IF(U24=0,"---",IF(OR(ABS((T24-U24)/ABS(U24))&gt;2,(T24*U24)&lt;0),"---",IF(U24="0","---",((T24-U24)/ABS(U24))*100)))</f>
        <v>---</v>
      </c>
      <c r="Y24" s="39" t="str">
        <f>+IF($B$3="esp","Gastos de Explotación Contables Noticias Gestión","Total Press Reported Expenses")</f>
        <v>Total Press Reported Expenses</v>
      </c>
      <c r="Z24" s="40"/>
      <c r="AA24" s="41">
        <f>+[1]NOTICIAS!F24</f>
        <v>47.662068528361118</v>
      </c>
      <c r="AB24" s="42">
        <f>+[1]NOTICIAS!G24</f>
        <v>52.12925032306817</v>
      </c>
      <c r="AC24" s="43">
        <f t="shared" ref="AC24:AC28" si="6">IF(AB24=0,"---",IF(OR(ABS((AA24-AB24)/ABS(AB24))&gt;2,(AA24*AB24)&lt;0),"---",IF(AB24="0","---",((AA24-AB24)/ABS(AB24))*100)))</f>
        <v>-8.5694341795094644</v>
      </c>
    </row>
    <row r="25" spans="4:29" ht="15" customHeight="1">
      <c r="D25" s="27" t="str">
        <f>+IF($B$3="esp","Margen EBITDA ","EBITDA Margin")</f>
        <v>EBITDA Margin</v>
      </c>
      <c r="E25" s="28"/>
      <c r="F25" s="36">
        <f>+F20/F10</f>
        <v>0.21263843243139877</v>
      </c>
      <c r="G25" s="37">
        <f>+G20/G10</f>
        <v>6.493577442186492E-2</v>
      </c>
      <c r="H25" s="38"/>
      <c r="K25" s="32" t="str">
        <f>+IF($B$3="esp","Latam","Latam")</f>
        <v>Latam</v>
      </c>
      <c r="M25" s="23">
        <f>+[1]SANTILLANA!F25</f>
        <v>77.641772821081304</v>
      </c>
      <c r="N25" s="24">
        <f>+[1]SANTILLANA!G25</f>
        <v>81.254497664497805</v>
      </c>
      <c r="O25" s="25">
        <f>IF(N25=0,"---",IF(OR(ABS((M25-N25)/ABS(N25))&gt;2,(M25*N25)&lt;0),"---",IF(N25="0","---",((M25-N25)/ABS(N25))*100)))</f>
        <v>-4.4461844541006794</v>
      </c>
      <c r="R25" s="22" t="str">
        <f>+IF($B$3="esp","Latam","Latam")</f>
        <v>Latam</v>
      </c>
      <c r="T25" s="23">
        <f>+[1]RADIO!F28</f>
        <v>-2.7746696270621403</v>
      </c>
      <c r="U25" s="24">
        <f>+[1]RADIO!G28</f>
        <v>0.30593304893328599</v>
      </c>
      <c r="V25" s="25" t="str">
        <f>IF(U25=0,"---",IF(OR(ABS((T25-U25)/ABS(U25))&gt;2,(T25*U25)&lt;0),"---",IF(U25="0","---",((T25-U25)/ABS(U25))*100)))</f>
        <v>---</v>
      </c>
      <c r="Y25" s="26" t="str">
        <f>+IF($B$3="esp","Gastos de Explotación Contables PRENSA","PRESS Reported Expenses")</f>
        <v>PRESS Reported Expenses</v>
      </c>
      <c r="Z25" s="14"/>
      <c r="AA25" s="15">
        <f>+[1]NOTICIAS!F25</f>
        <v>42.714467854391188</v>
      </c>
      <c r="AB25" s="16">
        <f>+[1]NOTICIAS!G25</f>
        <v>45.926823634692383</v>
      </c>
      <c r="AC25" s="17">
        <f t="shared" si="6"/>
        <v>-6.9945089297981253</v>
      </c>
    </row>
    <row r="26" spans="4:29" s="28" customFormat="1" ht="15" customHeight="1" thickBot="1">
      <c r="D26" s="14" t="str">
        <f>+IF($B$3="esp","EBIT Contable","Reported EBIT")</f>
        <v>Reported EBIT</v>
      </c>
      <c r="E26" s="14"/>
      <c r="F26" s="15">
        <f>+[1]GRUPO!F26</f>
        <v>32.172132363561197</v>
      </c>
      <c r="G26" s="16">
        <f>+[1]GRUPO!G26</f>
        <v>-4.1486755392055059</v>
      </c>
      <c r="H26" s="17" t="str">
        <f>IF(G26=0,"---",IF(OR(ABS((F26-G26)/ABS(G26))&gt;2,(F26*G26)&lt;0),"---",IF(G26="0","---",((F26-G26)/ABS(G26))*100)))</f>
        <v>---</v>
      </c>
      <c r="K26" s="32" t="str">
        <f>+IF($B$3="esp","Portugal","Portugal")</f>
        <v>Portugal</v>
      </c>
      <c r="L26" s="1"/>
      <c r="M26" s="23">
        <f>+[1]SANTILLANA!F26</f>
        <v>-0.199601</v>
      </c>
      <c r="N26" s="24">
        <f>+[1]SANTILLANA!G26</f>
        <v>-6.7706999999999989E-2</v>
      </c>
      <c r="O26" s="25">
        <f t="shared" si="1"/>
        <v>-194.80112839145144</v>
      </c>
      <c r="R26" s="22" t="str">
        <f>+IF($B$3="esp","Ajustes y Otros","Adjustments &amp; others")</f>
        <v>Adjustments &amp; others</v>
      </c>
      <c r="T26" s="23">
        <f>+T23-T24-T25</f>
        <v>0.34533346999992798</v>
      </c>
      <c r="U26" s="24">
        <f>+U23-U24-U25</f>
        <v>-4.0034040000085924E-2</v>
      </c>
      <c r="V26" s="25" t="str">
        <f>IF(U26=0,"---",IF(OR(ABS((T26-U26)/ABS(U26))&gt;2,(T26*U26)&lt;0),"---",IF(U26="0","---",((T26-U26)/ABS(U26))*100)))</f>
        <v>---</v>
      </c>
      <c r="W26" s="1"/>
      <c r="Y26" s="44" t="str">
        <f>+IF($B$3="esp","Gastos de Explotación Contables PBS y Tecnología","PBS &amp; IT Reported Expenses")</f>
        <v>PBS &amp; IT Reported Expenses</v>
      </c>
      <c r="Z26" s="14"/>
      <c r="AA26" s="15">
        <f>+[1]NOTICIAS!F26</f>
        <v>4.9476006739699301</v>
      </c>
      <c r="AB26" s="16">
        <f>+[1]NOTICIAS!G26</f>
        <v>6.2024266883757875</v>
      </c>
      <c r="AC26" s="17">
        <f t="shared" si="6"/>
        <v>-20.231210741395401</v>
      </c>
    </row>
    <row r="27" spans="4:29" ht="13.8" thickTop="1">
      <c r="D27" s="22" t="str">
        <f>+IF($B$3="esp","España","Spain")</f>
        <v>Spain</v>
      </c>
      <c r="F27" s="23">
        <f>+[1]GRUPO!F27</f>
        <v>-26.754435449115874</v>
      </c>
      <c r="G27" s="24">
        <f>+[1]GRUPO!G27</f>
        <v>-71.283472015765227</v>
      </c>
      <c r="H27" s="25">
        <f>IF(G27=0,"---",IF(OR(ABS((F27-G27)/ABS(G27))&gt;2,(F27*G27)&lt;0),"---",IF(G27="0","---",((F27-G27)/ABS(G27))*100)))</f>
        <v>62.467547255275669</v>
      </c>
      <c r="K27" s="22" t="str">
        <f>+IF($B$3="esp","Tecnología Educativa global y Centro Corpor.","Global Educational IT &amp; HQ")</f>
        <v>Global Educational IT &amp; HQ</v>
      </c>
      <c r="M27" s="23">
        <f>+[1]SANTILLANA!F27</f>
        <v>-5.91532751</v>
      </c>
      <c r="N27" s="24">
        <f>+[1]SANTILLANA!G27</f>
        <v>-6.203821089999999</v>
      </c>
      <c r="O27" s="25">
        <f t="shared" si="1"/>
        <v>4.6502562826162848</v>
      </c>
      <c r="R27" s="27" t="str">
        <f>+IF($B$3="esp","Margen EBIT","EBIT Margin")</f>
        <v>EBIT Margin</v>
      </c>
      <c r="T27" s="36">
        <f>+T23/T10</f>
        <v>-8.6052247553105046E-2</v>
      </c>
      <c r="U27" s="37">
        <f>+U23/U10</f>
        <v>5.9977612642378254E-2</v>
      </c>
      <c r="V27" s="38"/>
      <c r="Y27" s="18" t="str">
        <f>+IF($B$3="esp","EBITDA Contable Noticias Gestión","Total Press Reported EBITDA")</f>
        <v>Total Press Reported EBITDA</v>
      </c>
      <c r="Z27" s="40"/>
      <c r="AA27" s="41">
        <f>+[1]NOTICIAS!F27</f>
        <v>-5.9670337537353202</v>
      </c>
      <c r="AB27" s="42">
        <f>+[1]NOTICIAS!G27</f>
        <v>-3.0717104354629701</v>
      </c>
      <c r="AC27" s="43">
        <f t="shared" si="6"/>
        <v>-94.257690596280611</v>
      </c>
    </row>
    <row r="28" spans="4:29">
      <c r="D28" s="22" t="str">
        <f>+IF($B$3="esp","Internacional","International")</f>
        <v>International</v>
      </c>
      <c r="F28" s="23">
        <f>+[1]GRUPO!F28</f>
        <v>58.926567812677071</v>
      </c>
      <c r="G28" s="24">
        <f>+[1]GRUPO!G28</f>
        <v>67.134796476559714</v>
      </c>
      <c r="H28" s="25">
        <f>IF(G28=0,"---",IF(OR(ABS((F28-G28)/ABS(G28))&gt;2,(F28*G28)&lt;0),"---",IF(G28="0","---",((F28-G28)/ABS(G28))*100)))</f>
        <v>-12.226489234608117</v>
      </c>
      <c r="K28" s="27" t="str">
        <f>+IF($B$3="esp","Margen EBITDA","EBITDA Margin")</f>
        <v>EBITDA Margin</v>
      </c>
      <c r="L28" s="28"/>
      <c r="M28" s="36">
        <f>+M22/M10</f>
        <v>0.34924398340732915</v>
      </c>
      <c r="N28" s="37">
        <f>+N22/N10</f>
        <v>0.39218487817140718</v>
      </c>
      <c r="O28" s="38"/>
      <c r="W28" s="28"/>
      <c r="Y28" s="26" t="str">
        <f>+IF($B$3="esp","EBITDA Contable PRENSA","PRESS Reported EBITDA")</f>
        <v>PRESS Reported EBITDA</v>
      </c>
      <c r="Z28" s="14"/>
      <c r="AA28" s="15">
        <f>+[1]NOTICIAS!F28</f>
        <v>-5.54351250862769</v>
      </c>
      <c r="AB28" s="16">
        <f>+[1]NOTICIAS!G28</f>
        <v>-2.0838585457790901</v>
      </c>
      <c r="AC28" s="17">
        <f t="shared" si="6"/>
        <v>-166.02153585982211</v>
      </c>
    </row>
    <row r="29" spans="4:29" ht="15.75" customHeight="1">
      <c r="D29" s="32" t="str">
        <f>+IF($B$3="esp","Latam","Latam")</f>
        <v>Latam</v>
      </c>
      <c r="F29" s="23">
        <f>+[1]GRUPO!F29</f>
        <v>59.141196492677075</v>
      </c>
      <c r="G29" s="24">
        <f>+[1]GRUPO!G29</f>
        <v>67.207018476559711</v>
      </c>
      <c r="H29" s="25">
        <f>IF(G29=0,"---",IF(OR(ABS((F29-G29)/ABS(G29))&gt;2,(F29*G29)&lt;0),"---",IF(G29="0","---",((F29-G29)/ABS(G29))*100)))</f>
        <v>-12.001457833895445</v>
      </c>
      <c r="K29" s="14" t="str">
        <f>+IF($B$3="esp","EBIT","EBIT")</f>
        <v>EBIT</v>
      </c>
      <c r="L29" s="14"/>
      <c r="M29" s="15">
        <f>+[1]SANTILLANA!F29</f>
        <v>46.151003490088698</v>
      </c>
      <c r="N29" s="16">
        <f>+[1]SANTILLANA!G29</f>
        <v>51.493144670333301</v>
      </c>
      <c r="O29" s="17">
        <f>IF(N29=0,"---",IF(OR(ABS((M29-N29)/ABS(N29))&gt;2,(M29*N29)&lt;0),"---",IF(N29="0","---",((M29-N29)/ABS(N29))*100)))</f>
        <v>-10.374470649337457</v>
      </c>
      <c r="W29" s="14"/>
      <c r="Y29" s="27" t="str">
        <f>+IF($B$3="esp","Margen EBITDA ","EBITDA Margin")</f>
        <v>EBITDA Margin</v>
      </c>
      <c r="Z29" s="28"/>
      <c r="AA29" s="36">
        <f>+AA28/AA11</f>
        <v>-0.14913559409657476</v>
      </c>
      <c r="AB29" s="37">
        <f>+AB28/AB11</f>
        <v>-4.7530055085303564E-2</v>
      </c>
      <c r="AC29" s="38"/>
    </row>
    <row r="30" spans="4:29" s="14" customFormat="1" ht="15" customHeight="1" thickBot="1">
      <c r="D30" s="32" t="str">
        <f>+IF($B$3="esp","Portugal","Portugal")</f>
        <v>Portugal</v>
      </c>
      <c r="E30" s="1"/>
      <c r="F30" s="23">
        <f>+[1]GRUPO!F30</f>
        <v>-0.21462868000000299</v>
      </c>
      <c r="G30" s="24">
        <f>+[1]GRUPO!G30</f>
        <v>-7.2221999999999995E-2</v>
      </c>
      <c r="H30" s="25">
        <f>IF(G30=0,"---",IF(OR(ABS((F30-G30)/ABS(G30))&gt;2,(F30*G30)&lt;0),"---",IF(G30="0","---",((F30-G30)/ABS(G30))*100)))</f>
        <v>-197.17908670488634</v>
      </c>
      <c r="K30" s="22" t="str">
        <f>+IF($B$3="esp","Negocio España","Spain business")</f>
        <v>Spain business</v>
      </c>
      <c r="L30" s="1"/>
      <c r="M30" s="23">
        <f>+[1]SANTILLANA!F30</f>
        <v>-10.448055139158013</v>
      </c>
      <c r="N30" s="24">
        <f>+[1]SANTILLANA!G30</f>
        <v>-9.8572634067003513</v>
      </c>
      <c r="O30" s="25">
        <f>IF(N30=0,"---",IF(OR(ABS((M30-N30)/ABS(N30))&gt;2,(M30*N30)&lt;0),"---",IF(N30="0","---",((M30-N30)/ABS(N30))*100)))</f>
        <v>-5.9934660167047848</v>
      </c>
      <c r="W30" s="1"/>
      <c r="Y30" s="44" t="str">
        <f>+IF($B$3="esp","PBS y Prisa Tecnología","PBS &amp; IT")</f>
        <v>PBS &amp; IT</v>
      </c>
      <c r="AA30" s="15">
        <f>+[1]NOTICIAS!F30</f>
        <v>-0.42352124510763023</v>
      </c>
      <c r="AB30" s="16">
        <f>+[1]NOTICIAS!G30</f>
        <v>-0.98785188968387994</v>
      </c>
      <c r="AC30" s="17">
        <f>IF(AB30=0,"---",IF(OR(ABS((AA30-AB30)/ABS(AB30))&gt;2,(AA30*AB30)&lt;0),"---",IF(AB30="0","---",((AA30-AB30)/ABS(AB30))*100)))</f>
        <v>57.127050165064695</v>
      </c>
    </row>
    <row r="31" spans="4:29" ht="15" customHeight="1" thickTop="1">
      <c r="D31" s="27" t="str">
        <f>+IF($B$3="esp","Margen EBIT ","EBIT Margin")</f>
        <v>EBIT Margin</v>
      </c>
      <c r="E31" s="28"/>
      <c r="F31" s="36">
        <f t="shared" ref="F31:G31" si="7">+F26/F10</f>
        <v>0.1225483749217884</v>
      </c>
      <c r="G31" s="37">
        <f t="shared" si="7"/>
        <v>-1.5195260744687812E-2</v>
      </c>
      <c r="H31" s="38"/>
      <c r="K31" s="22" t="str">
        <f>+IF($B$3="esp","Negocio Internacional","International business")</f>
        <v>International business</v>
      </c>
      <c r="M31" s="23">
        <f>+[1]SANTILLANA!F31</f>
        <v>63.367988279204255</v>
      </c>
      <c r="N31" s="24">
        <f>+[1]SANTILLANA!G31</f>
        <v>68.579428026098114</v>
      </c>
      <c r="O31" s="25">
        <f>IF(N31=0,"---",IF(OR(ABS((M31-N31)/ABS(N31))&gt;2,(M31*N31)&lt;0),"---",IF(N31="0","---",((M31-N31)/ABS(N31))*100)))</f>
        <v>-7.5991297928449182</v>
      </c>
      <c r="Y31" s="18" t="str">
        <f>+IF($B$3="esp","EBIT Contable Noticias Gestión","Total Press Reported EBIT")</f>
        <v>Total Press Reported EBIT</v>
      </c>
      <c r="Z31" s="40"/>
      <c r="AA31" s="41">
        <f>+[1]NOTICIAS!F31</f>
        <v>-8.4270235594650291</v>
      </c>
      <c r="AB31" s="42">
        <f>+[1]NOTICIAS!G31</f>
        <v>-5.4188254213650096</v>
      </c>
      <c r="AC31" s="43">
        <f>IF(AB31=0,"---",IF(OR(ABS((AA31-AB31)/ABS(AB31))&gt;2,(AA31*AB31)&lt;0),"---",IF(AB31="0","---",((AA31-AB31)/ABS(AB31))*100)))</f>
        <v>-55.513841177452996</v>
      </c>
    </row>
    <row r="32" spans="4:29" ht="15" customHeight="1">
      <c r="D32" s="14" t="str">
        <f>+IF($B$3="esp","Resultado Financiero","Financial Result")</f>
        <v>Financial Result</v>
      </c>
      <c r="E32" s="14"/>
      <c r="F32" s="15">
        <f>+[1]GRUPO!F32</f>
        <v>-15.689301210659799</v>
      </c>
      <c r="G32" s="16">
        <f>+[1]GRUPO!G32</f>
        <v>-19.7159229119057</v>
      </c>
      <c r="H32" s="17">
        <f t="shared" ref="H32:H45" si="8">IF(G32=0,"---",IF(OR(ABS((F32-G32)/ABS(G32))&gt;2,(F32*G32)&lt;0),"---",IF(G32="0","---",((F32-G32)/ABS(G32))*100)))</f>
        <v>20.423196617462814</v>
      </c>
      <c r="K32" s="32" t="str">
        <f>+IF($B$3="esp","Latam","Latam")</f>
        <v>Latam</v>
      </c>
      <c r="M32" s="23">
        <f>+[1]SANTILLANA!F32</f>
        <v>63.571734279204257</v>
      </c>
      <c r="N32" s="24">
        <f>+[1]SANTILLANA!G32</f>
        <v>68.65165002609811</v>
      </c>
      <c r="O32" s="25">
        <f>IF(N32=0,"---",IF(OR(ABS((M32-N32)/ABS(N32))&gt;2,(M32*N32)&lt;0),"---",IF(N32="0","---",((M32-N32)/ABS(N32))*100)))</f>
        <v>-7.399553754298271</v>
      </c>
      <c r="Y32" s="26" t="str">
        <f>+IF($B$3="esp","EBIT Contable PRENSA","PRESS Reported EBIT")</f>
        <v>PRESS Reported EBIT</v>
      </c>
      <c r="Z32" s="14"/>
      <c r="AA32" s="15">
        <f>+[1]NOTICIAS!F32</f>
        <v>-7.5163011050523103</v>
      </c>
      <c r="AB32" s="16">
        <f>+[1]NOTICIAS!G32</f>
        <v>-3.9996465608834599</v>
      </c>
      <c r="AC32" s="17">
        <f>IF(AB32=0,"---",IF(OR(ABS((AA32-AB32)/ABS(AB32))&gt;2,(AA32*AB32)&lt;0),"---",IF(AB32="0","---",((AA32-AB32)/ABS(AB32))*100)))</f>
        <v>-87.924132561155005</v>
      </c>
    </row>
    <row r="33" spans="4:29" ht="15" customHeight="1">
      <c r="D33" s="22" t="str">
        <f>+IF($B$3="esp","Gastos por intereses de financiación","Interests on debt")</f>
        <v>Interests on debt</v>
      </c>
      <c r="F33" s="23">
        <f>+[1]GRUPO!F33</f>
        <v>-14.801160724024099</v>
      </c>
      <c r="G33" s="24">
        <f>+[1]GRUPO!G33</f>
        <v>-14.1508772627976</v>
      </c>
      <c r="H33" s="25">
        <f t="shared" si="8"/>
        <v>-4.5953579354128253</v>
      </c>
      <c r="K33" s="32" t="str">
        <f>+IF($B$3="esp","Portugal","Portugal")</f>
        <v>Portugal</v>
      </c>
      <c r="M33" s="23">
        <f>+[1]SANTILLANA!F33</f>
        <v>-0.20374600000000001</v>
      </c>
      <c r="N33" s="24">
        <f>+[1]SANTILLANA!G33</f>
        <v>-7.2221999999999995E-2</v>
      </c>
      <c r="O33" s="25">
        <f>IF(N33=0,"---",IF(OR(ABS((M33-N33)/ABS(N33))&gt;2,(M33*N33)&lt;0),"---",IF(N33="0","---",((M33-N33)/ABS(N33))*100)))</f>
        <v>-182.11071418681291</v>
      </c>
      <c r="R33" s="9"/>
      <c r="T33" s="45"/>
      <c r="U33" s="45"/>
      <c r="V33" s="45"/>
      <c r="W33" s="14"/>
      <c r="Y33" s="27" t="str">
        <f>+IF($B$3="esp","Margen EBIT ","EBIT Margin")</f>
        <v>EBIT Margin</v>
      </c>
      <c r="Z33" s="28"/>
      <c r="AA33" s="36">
        <f>+AA32/AA11</f>
        <v>-0.20220898373840074</v>
      </c>
      <c r="AB33" s="37">
        <f>+AB32/AB11</f>
        <v>-9.1226643836068072E-2</v>
      </c>
      <c r="AC33" s="38"/>
    </row>
    <row r="34" spans="4:29" ht="15" customHeight="1">
      <c r="D34" s="22" t="str">
        <f>+IF($B$3="esp","Otros resultados financieros","Other financial results")</f>
        <v>Other financial results</v>
      </c>
      <c r="F34" s="23">
        <f>+[1]GRUPO!F34</f>
        <v>-0.88814048663570055</v>
      </c>
      <c r="G34" s="24">
        <f>+[1]GRUPO!G34</f>
        <v>-5.5650456491081002</v>
      </c>
      <c r="H34" s="25">
        <f t="shared" si="8"/>
        <v>84.040733128971894</v>
      </c>
      <c r="K34" s="22" t="str">
        <f>+IF($B$3="esp","Tecnología Educativa global y Centro Corpor.","Global Educational IT &amp; HQ")</f>
        <v>Global Educational IT &amp; HQ</v>
      </c>
      <c r="M34" s="23">
        <f>+[1]SANTILLANA!F34</f>
        <v>-6.7689296499575455</v>
      </c>
      <c r="N34" s="24">
        <f>+[1]SANTILLANA!G34</f>
        <v>-7.2290199490644724</v>
      </c>
      <c r="O34" s="25">
        <f t="shared" ref="O34" si="9">IF(N34=0,"---",IF(OR(ABS((M34-N34)/ABS(N34))&gt;2,(M34*N34)&lt;0),"---",IF(N34="0","---",((M34-N34)/ABS(N34))*100)))</f>
        <v>6.364490655008753</v>
      </c>
      <c r="R34" s="46"/>
      <c r="Y34" s="26" t="str">
        <f>+IF($B$3="esp","PBS y Prisa Tecnología","PBS &amp; IT")</f>
        <v>PBS &amp; IT</v>
      </c>
      <c r="Z34" s="14"/>
      <c r="AA34" s="15">
        <f>+[1]NOTICIAS!F34</f>
        <v>-0.91072245441271882</v>
      </c>
      <c r="AB34" s="16">
        <f>+[1]NOTICIAS!G34</f>
        <v>-1.4191788604815496</v>
      </c>
      <c r="AC34" s="17">
        <f>IF(AB34=0,"---",IF(OR(ABS((AA34-AB34)/ABS(AB34))&gt;2,(AA34*AB34)&lt;0),"---",IF(AB34="0","---",((AA34-AB34)/ABS(AB34))*100)))</f>
        <v>35.827507034335589</v>
      </c>
    </row>
    <row r="35" spans="4:29" s="14" customFormat="1" ht="15" customHeight="1">
      <c r="D35" s="14" t="str">
        <f>+IF($B$3="esp","Resultado puesta en equivalencia","Result from associates")</f>
        <v>Result from associates</v>
      </c>
      <c r="F35" s="15">
        <f>+[1]GRUPO!F35</f>
        <v>1.50092253490239</v>
      </c>
      <c r="G35" s="16">
        <f>+[1]GRUPO!G35</f>
        <v>0.348563539142141</v>
      </c>
      <c r="H35" s="17" t="str">
        <f t="shared" si="8"/>
        <v>---</v>
      </c>
      <c r="K35" s="47" t="str">
        <f>+IF($B$3="esp","Margen EBIT","EBIT Margin")</f>
        <v>EBIT Margin</v>
      </c>
      <c r="L35" s="28"/>
      <c r="M35" s="48">
        <f>+M29/M10</f>
        <v>0.25929374488126777</v>
      </c>
      <c r="N35" s="49">
        <f>+N29/N10</f>
        <v>0.30484390043819604</v>
      </c>
      <c r="O35" s="50"/>
      <c r="T35" s="16"/>
      <c r="U35" s="16"/>
      <c r="V35" s="17"/>
      <c r="W35" s="1"/>
    </row>
    <row r="36" spans="4:29" ht="15" customHeight="1">
      <c r="D36" s="14" t="str">
        <f>+IF($B$3="esp","Resultado antes de impuestos","Profit before tax")</f>
        <v>Profit before tax</v>
      </c>
      <c r="E36" s="14"/>
      <c r="F36" s="15">
        <f>+[1]GRUPO!F36</f>
        <v>17.983753687803787</v>
      </c>
      <c r="G36" s="16">
        <f>+[1]GRUPO!G36</f>
        <v>-23.516034911969065</v>
      </c>
      <c r="H36" s="17" t="str">
        <f t="shared" si="8"/>
        <v>---</v>
      </c>
      <c r="R36" s="22"/>
      <c r="T36" s="24"/>
      <c r="U36" s="24"/>
      <c r="V36" s="25"/>
    </row>
    <row r="37" spans="4:29" ht="15" customHeight="1">
      <c r="D37" s="22" t="str">
        <f>+IF($B$3="esp","Impuesto sobre sociedades","Income tax expense")</f>
        <v>Income tax expense</v>
      </c>
      <c r="F37" s="23">
        <f>+[1]GRUPO!F37</f>
        <v>20.365690952806521</v>
      </c>
      <c r="G37" s="24">
        <f>+[1]GRUPO!G37</f>
        <v>21.134615524793567</v>
      </c>
      <c r="H37" s="25">
        <f t="shared" si="8"/>
        <v>-3.6382236103845891</v>
      </c>
      <c r="R37" s="22"/>
      <c r="T37" s="24"/>
      <c r="U37" s="24"/>
      <c r="V37" s="25"/>
    </row>
    <row r="38" spans="4:29" ht="15" customHeight="1">
      <c r="D38" s="14" t="str">
        <f>+IF($B$3="esp","Resultado operaciones en discontinuación","Results from discontinued activities")</f>
        <v>Results from discontinued activities</v>
      </c>
      <c r="E38" s="14"/>
      <c r="F38" s="15">
        <f>+[1]GRUPO!F38</f>
        <v>-25.0022665112465</v>
      </c>
      <c r="G38" s="16">
        <f>+[1]GRUPO!G38</f>
        <v>-0.73551593662175008</v>
      </c>
      <c r="H38" s="17" t="str">
        <f t="shared" si="8"/>
        <v>---</v>
      </c>
      <c r="R38" s="22"/>
      <c r="T38" s="24"/>
      <c r="U38" s="24"/>
      <c r="V38" s="25"/>
      <c r="W38" s="14"/>
    </row>
    <row r="39" spans="4:29" ht="15" customHeight="1">
      <c r="D39" s="14" t="str">
        <f>+IF($B$3="esp","Resultado atribuido a socios externos","Minority interest")</f>
        <v>Minority interest</v>
      </c>
      <c r="E39" s="14"/>
      <c r="F39" s="15">
        <f>+[1]GRUPO!F39</f>
        <v>-1.2481050697074199</v>
      </c>
      <c r="G39" s="16">
        <f>+[1]GRUPO!G39</f>
        <v>-4.7967037359836908</v>
      </c>
      <c r="H39" s="17">
        <f t="shared" si="8"/>
        <v>73.979942510427662</v>
      </c>
      <c r="R39" s="22"/>
      <c r="T39" s="24"/>
      <c r="U39" s="24"/>
      <c r="V39" s="25"/>
      <c r="W39" s="14"/>
    </row>
    <row r="40" spans="4:29" s="28" customFormat="1" ht="15" customHeight="1">
      <c r="D40" s="14" t="str">
        <f>+IF($B$3="esp","Resultado Neto","Net Profit")</f>
        <v>Net Profit</v>
      </c>
      <c r="E40" s="14"/>
      <c r="F40" s="15">
        <f>+[1]GRUPO!F40</f>
        <v>-26.136098706541812</v>
      </c>
      <c r="G40" s="16">
        <f>+[1]GRUPO!G40</f>
        <v>-40.589462637400693</v>
      </c>
      <c r="H40" s="17">
        <f t="shared" si="8"/>
        <v>35.608660454501795</v>
      </c>
      <c r="R40" s="14"/>
      <c r="S40" s="14"/>
      <c r="T40" s="16"/>
      <c r="U40" s="16"/>
      <c r="V40" s="17"/>
      <c r="W40" s="1"/>
    </row>
    <row r="41" spans="4:29" s="14" customFormat="1" ht="15" customHeight="1">
      <c r="D41" s="22" t="str">
        <f>+IF($A$1="esp","Deterioro por venta MC","MC impairment")</f>
        <v>MC impairment</v>
      </c>
      <c r="E41" s="1"/>
      <c r="F41" s="23">
        <f>+[1]GRUPO!F41</f>
        <v>28.768000000000001</v>
      </c>
      <c r="G41" s="24">
        <f>+[1]GRUPO!G41</f>
        <v>0</v>
      </c>
      <c r="H41" s="25"/>
      <c r="T41" s="16"/>
      <c r="U41" s="16"/>
      <c r="V41" s="17"/>
      <c r="W41" s="1"/>
    </row>
    <row r="42" spans="4:29" ht="15" customHeight="1">
      <c r="D42" s="22" t="str">
        <f>+IF($A$1="esp","Sentencia Mediapro","Mediapro ruling")</f>
        <v>Mediapro ruling</v>
      </c>
      <c r="F42" s="23"/>
      <c r="G42" s="24">
        <f>+[1]GRUPO!G42</f>
        <v>40.828660400000011</v>
      </c>
      <c r="H42" s="25"/>
      <c r="R42" s="22"/>
      <c r="T42" s="24"/>
      <c r="U42" s="24"/>
      <c r="V42" s="25"/>
    </row>
    <row r="43" spans="4:29" ht="15" customHeight="1">
      <c r="D43" s="22" t="str">
        <f>+IF($B$3="esp","Deterioros fiscales","Tax impairments")</f>
        <v>Tax impairments</v>
      </c>
      <c r="F43" s="23"/>
      <c r="G43" s="24"/>
      <c r="H43" s="25"/>
      <c r="R43" s="22"/>
      <c r="T43" s="24"/>
      <c r="U43" s="24"/>
      <c r="V43" s="25"/>
    </row>
    <row r="44" spans="4:29" ht="15" customHeight="1">
      <c r="D44" s="22"/>
      <c r="F44" s="23"/>
      <c r="G44" s="24"/>
      <c r="H44" s="25"/>
      <c r="R44" s="22"/>
      <c r="T44" s="24"/>
      <c r="U44" s="24"/>
      <c r="V44" s="25"/>
      <c r="W44" s="28"/>
    </row>
    <row r="45" spans="4:29" ht="15" customHeight="1">
      <c r="D45" s="14" t="str">
        <f>+IF($B$3="esp","Resultado Neto Comparable","Comparable Net Profit")</f>
        <v>Comparable Net Profit</v>
      </c>
      <c r="F45" s="15">
        <f>+F40+F42+F41</f>
        <v>2.6319012934581885</v>
      </c>
      <c r="G45" s="16">
        <f>+G40+G42+G41</f>
        <v>0.2391977625993178</v>
      </c>
      <c r="H45" s="17" t="str">
        <f t="shared" si="8"/>
        <v>---</v>
      </c>
      <c r="R45" s="22"/>
      <c r="T45" s="24"/>
      <c r="U45" s="24"/>
      <c r="V45" s="25"/>
      <c r="W45" s="14"/>
    </row>
    <row r="46" spans="4:29" s="28" customFormat="1" ht="15" customHeight="1">
      <c r="D46" s="1"/>
      <c r="E46" s="1"/>
      <c r="F46" s="51"/>
      <c r="G46" s="51"/>
      <c r="H46" s="1"/>
      <c r="R46" s="27"/>
      <c r="T46" s="37"/>
      <c r="U46" s="37"/>
      <c r="V46" s="38"/>
      <c r="W46" s="14"/>
    </row>
    <row r="47" spans="4:29">
      <c r="D47" s="9" t="str">
        <f>+IF($B$3="esp","Millones de €","€ Millions")</f>
        <v>€ Millions</v>
      </c>
      <c r="F47" s="10">
        <v>2020</v>
      </c>
      <c r="G47" s="10">
        <v>2019</v>
      </c>
      <c r="H47" s="10" t="str">
        <f>+IF($B$3="esp","Var.%","% Chg.")</f>
        <v>% Chg.</v>
      </c>
      <c r="R47" s="14"/>
      <c r="S47" s="14"/>
      <c r="T47" s="16"/>
      <c r="U47" s="16"/>
      <c r="V47" s="17"/>
    </row>
    <row r="48" spans="4:29">
      <c r="D48" s="11" t="str">
        <f>+IF($B$3="esp","Resultados Comparables","Comparable Results")</f>
        <v>Comparable Results</v>
      </c>
      <c r="F48" s="13"/>
      <c r="G48" s="13"/>
      <c r="H48" s="13"/>
      <c r="R48" s="14"/>
      <c r="S48" s="14"/>
      <c r="T48" s="16"/>
      <c r="U48" s="16"/>
      <c r="V48" s="17"/>
    </row>
    <row r="49" spans="4:29" ht="15.75" customHeight="1">
      <c r="D49" s="14" t="str">
        <f>+IF($B$3="esp","Ingresos de Explotación","Operating Revenues")</f>
        <v>Operating Revenues</v>
      </c>
      <c r="E49" s="14"/>
      <c r="F49" s="15">
        <f>+[1]GRUPO!F49</f>
        <v>262.52598114086601</v>
      </c>
      <c r="G49" s="16">
        <f>+[1]GRUPO!G49</f>
        <v>273.02430730949203</v>
      </c>
      <c r="H49" s="17">
        <f t="shared" ref="H49:H58" si="10">IF(G49=0,"---",IF(OR(ABS((F49-G49)/ABS(G49))&gt;2,(F49*G49)&lt;0),"---",IF(G49="0","---",((F49-G49)/ABS(G49))*100)))</f>
        <v>-3.8451983532460501</v>
      </c>
      <c r="R49" s="22"/>
      <c r="T49" s="24"/>
      <c r="U49" s="24"/>
      <c r="V49" s="25"/>
    </row>
    <row r="50" spans="4:29" s="14" customFormat="1" ht="15" customHeight="1">
      <c r="D50" s="22" t="str">
        <f>+IF($B$3="esp","España","Spain")</f>
        <v>Spain</v>
      </c>
      <c r="E50" s="1"/>
      <c r="F50" s="23">
        <f>+[1]GRUPO!F50</f>
        <v>72.260448163356358</v>
      </c>
      <c r="G50" s="24">
        <f>+[1]GRUPO!G50</f>
        <v>87.651712344780691</v>
      </c>
      <c r="H50" s="25">
        <f t="shared" si="10"/>
        <v>-17.559570451838209</v>
      </c>
      <c r="R50" s="22"/>
      <c r="S50" s="1"/>
      <c r="T50" s="24"/>
      <c r="U50" s="24"/>
      <c r="V50" s="25"/>
      <c r="W50" s="1"/>
    </row>
    <row r="51" spans="4:29" ht="15" customHeight="1">
      <c r="D51" s="22" t="str">
        <f>+IF($B$3="esp","Internacional","International")</f>
        <v>International</v>
      </c>
      <c r="F51" s="23">
        <f>+[1]GRUPO!F51</f>
        <v>190.26553297750965</v>
      </c>
      <c r="G51" s="24">
        <f>+[1]GRUPO!G51</f>
        <v>185.37259496471134</v>
      </c>
      <c r="H51" s="25">
        <f t="shared" si="10"/>
        <v>2.6395153036131149</v>
      </c>
      <c r="R51" s="22"/>
      <c r="T51" s="24"/>
      <c r="U51" s="24"/>
      <c r="V51" s="25"/>
      <c r="W51" s="28"/>
    </row>
    <row r="52" spans="4:29" ht="15" customHeight="1">
      <c r="D52" s="32" t="str">
        <f>+IF($B$3="esp","Latam","Latam")</f>
        <v>Latam</v>
      </c>
      <c r="F52" s="23">
        <f>+[1]GRUPO!F52</f>
        <v>190.25476797750966</v>
      </c>
      <c r="G52" s="24">
        <f>+[1]GRUPO!G52</f>
        <v>185.17275596471134</v>
      </c>
      <c r="H52" s="25">
        <f t="shared" si="10"/>
        <v>2.7444706897200377</v>
      </c>
      <c r="R52" s="22"/>
      <c r="T52" s="24"/>
      <c r="U52" s="24"/>
      <c r="V52" s="25"/>
      <c r="W52" s="14"/>
    </row>
    <row r="53" spans="4:29" ht="15" customHeight="1">
      <c r="D53" s="32" t="str">
        <f>+IF($B$3="esp","Portugal","Portugal")</f>
        <v>Portugal</v>
      </c>
      <c r="F53" s="23">
        <f>+[1]GRUPO!F53</f>
        <v>1.07650000000003E-2</v>
      </c>
      <c r="G53" s="24">
        <f>+[1]GRUPO!G53</f>
        <v>0.19983899999999999</v>
      </c>
      <c r="H53" s="25">
        <f t="shared" si="10"/>
        <v>-94.613163596695188</v>
      </c>
      <c r="R53" s="27"/>
      <c r="S53" s="28"/>
      <c r="T53" s="37"/>
      <c r="U53" s="37"/>
      <c r="V53" s="38"/>
    </row>
    <row r="54" spans="4:29" ht="15" customHeight="1">
      <c r="D54" s="14" t="str">
        <f>+IF($B$3="esp","EBITDA","EBITDA")</f>
        <v>EBITDA</v>
      </c>
      <c r="E54" s="14"/>
      <c r="F54" s="15">
        <f>+[1]GRUPO!F54</f>
        <v>55.823113102308703</v>
      </c>
      <c r="G54" s="16">
        <f>+[1]GRUPO!G54</f>
        <v>68.7648703311351</v>
      </c>
      <c r="H54" s="17">
        <f t="shared" si="10"/>
        <v>-18.820303399840306</v>
      </c>
      <c r="R54" s="14"/>
      <c r="S54" s="14"/>
      <c r="T54" s="16"/>
      <c r="U54" s="16"/>
      <c r="V54" s="17"/>
      <c r="Y54" s="9"/>
      <c r="AA54" s="45"/>
      <c r="AB54" s="45"/>
      <c r="AC54" s="45"/>
    </row>
    <row r="55" spans="4:29" s="14" customFormat="1" ht="15" customHeight="1">
      <c r="D55" s="22" t="str">
        <f>+IF($B$3="esp","España","Spain")</f>
        <v>Spain</v>
      </c>
      <c r="E55" s="1"/>
      <c r="F55" s="23">
        <f>+[1]GRUPO!F55</f>
        <v>-18.974605536000261</v>
      </c>
      <c r="G55" s="24">
        <f>+[1]GRUPO!G55</f>
        <v>-12.535812550000415</v>
      </c>
      <c r="H55" s="25">
        <f t="shared" si="10"/>
        <v>-51.363188148498864</v>
      </c>
      <c r="R55" s="1"/>
      <c r="S55" s="1"/>
      <c r="T55" s="1"/>
      <c r="U55" s="1"/>
      <c r="V55" s="1"/>
      <c r="W55" s="1"/>
      <c r="Y55" s="46"/>
      <c r="Z55" s="1"/>
      <c r="AA55" s="1"/>
      <c r="AB55" s="1"/>
      <c r="AC55" s="1"/>
    </row>
    <row r="56" spans="4:29" ht="15" customHeight="1">
      <c r="D56" s="22" t="str">
        <f>+IF($B$3="esp","Internacional","International")</f>
        <v>International</v>
      </c>
      <c r="F56" s="23">
        <f>+[1]GRUPO!F56</f>
        <v>74.797718638308965</v>
      </c>
      <c r="G56" s="24">
        <f>+[1]GRUPO!G56</f>
        <v>81.300682881135515</v>
      </c>
      <c r="H56" s="25">
        <f t="shared" si="10"/>
        <v>-7.9986588210262815</v>
      </c>
      <c r="W56" s="14"/>
      <c r="Y56" s="14"/>
      <c r="Z56" s="14"/>
      <c r="AA56" s="16"/>
      <c r="AB56" s="16"/>
      <c r="AC56" s="17"/>
    </row>
    <row r="57" spans="4:29" ht="15" customHeight="1">
      <c r="D57" s="32" t="str">
        <f>+IF($B$3="esp","Latam","Latam")</f>
        <v>Latam</v>
      </c>
      <c r="F57" s="23">
        <f>+[1]GRUPO!F57</f>
        <v>75.00820231830896</v>
      </c>
      <c r="G57" s="24">
        <f>+[1]GRUPO!G57</f>
        <v>81.368389881135499</v>
      </c>
      <c r="H57" s="25">
        <f t="shared" si="10"/>
        <v>-7.8165336343973655</v>
      </c>
      <c r="R57" s="22"/>
      <c r="T57" s="24"/>
      <c r="U57" s="24"/>
      <c r="V57" s="25"/>
      <c r="Y57" s="26"/>
      <c r="Z57" s="14"/>
      <c r="AA57" s="16"/>
      <c r="AB57" s="16"/>
      <c r="AC57" s="17"/>
    </row>
    <row r="58" spans="4:29" ht="15" customHeight="1">
      <c r="D58" s="32" t="str">
        <f>+IF($B$3="esp","Portugal","Portugal")</f>
        <v>Portugal</v>
      </c>
      <c r="F58" s="23">
        <f>+[1]GRUPO!F58</f>
        <v>-0.21048368000000098</v>
      </c>
      <c r="G58" s="24">
        <f>+[1]GRUPO!G58</f>
        <v>-6.7706999999999989E-2</v>
      </c>
      <c r="H58" s="25" t="str">
        <f t="shared" si="10"/>
        <v>---</v>
      </c>
      <c r="R58" s="33"/>
      <c r="S58" s="28"/>
      <c r="T58" s="30"/>
      <c r="U58" s="30"/>
      <c r="V58" s="31"/>
      <c r="Y58" s="27"/>
      <c r="Z58" s="28"/>
      <c r="AA58" s="30"/>
      <c r="AB58" s="30"/>
      <c r="AC58" s="31"/>
    </row>
    <row r="59" spans="4:29" ht="15" customHeight="1">
      <c r="D59" s="27" t="str">
        <f>+IF($B$3="esp","Margen EBITDA","EBITDA Margin")</f>
        <v>EBITDA Margin</v>
      </c>
      <c r="E59" s="28"/>
      <c r="F59" s="36">
        <f>+F54/F49</f>
        <v>0.21263843243139877</v>
      </c>
      <c r="G59" s="37">
        <f>+G54/G49</f>
        <v>0.25186354654197635</v>
      </c>
      <c r="H59" s="38"/>
      <c r="K59" s="32"/>
      <c r="M59" s="24"/>
      <c r="N59" s="24"/>
      <c r="O59" s="25"/>
      <c r="R59" s="33"/>
      <c r="S59" s="28"/>
      <c r="T59" s="30"/>
      <c r="U59" s="30"/>
      <c r="V59" s="31"/>
      <c r="Y59" s="27"/>
      <c r="Z59" s="28"/>
      <c r="AA59" s="30"/>
      <c r="AB59" s="30"/>
      <c r="AC59" s="31"/>
    </row>
    <row r="60" spans="4:29" s="14" customFormat="1" ht="15" customHeight="1">
      <c r="D60" s="14" t="str">
        <f>+IF($B$3="esp","EBIT","EBIT")</f>
        <v>EBIT</v>
      </c>
      <c r="F60" s="15">
        <f>+[1]GRUPO!F60</f>
        <v>32.172132363561197</v>
      </c>
      <c r="G60" s="16">
        <f>+[1]GRUPO!G60</f>
        <v>46.887149960794495</v>
      </c>
      <c r="H60" s="17">
        <f>IF(G60=0,"---",IF(OR(ABS((F60-G60)/ABS(G60))&gt;2,(F60*G60)&lt;0),"---",IF(G60="0","---",((F60-G60)/ABS(G60))*100)))</f>
        <v>-31.383902859392215</v>
      </c>
      <c r="M60" s="16"/>
      <c r="N60" s="16"/>
      <c r="O60" s="17"/>
      <c r="R60" s="33"/>
      <c r="S60" s="28"/>
      <c r="T60" s="30"/>
      <c r="U60" s="30"/>
      <c r="V60" s="31"/>
      <c r="W60" s="1"/>
      <c r="Y60" s="27"/>
      <c r="Z60" s="28"/>
      <c r="AA60" s="30"/>
      <c r="AB60" s="30"/>
      <c r="AC60" s="31"/>
    </row>
    <row r="61" spans="4:29" ht="15" customHeight="1">
      <c r="D61" s="22" t="str">
        <f>+IF($B$3="esp","España","Spain")</f>
        <v>Spain</v>
      </c>
      <c r="F61" s="23">
        <f>+[1]GRUPO!F61</f>
        <v>-26.754435449115874</v>
      </c>
      <c r="G61" s="24">
        <f>+[1]GRUPO!G61</f>
        <v>-20.247646515765219</v>
      </c>
      <c r="H61" s="25">
        <f>IF(G61=0,"---",IF(OR(ABS((F61-G61)/ABS(G61))&gt;2,(F61*G61)&lt;0),"---",IF(G61="0","---",((F61-G61)/ABS(G61))*100)))</f>
        <v>-32.136025924219588</v>
      </c>
      <c r="K61" s="22"/>
      <c r="M61" s="24"/>
      <c r="N61" s="24"/>
      <c r="O61" s="25"/>
      <c r="R61" s="22"/>
      <c r="T61" s="24"/>
      <c r="U61" s="24"/>
      <c r="V61" s="25"/>
      <c r="W61" s="14"/>
      <c r="Y61" s="26"/>
      <c r="Z61" s="14"/>
      <c r="AA61" s="16"/>
      <c r="AB61" s="16"/>
      <c r="AC61" s="17"/>
    </row>
    <row r="62" spans="4:29" ht="15" customHeight="1">
      <c r="D62" s="22" t="str">
        <f>+IF($B$3="esp","Internacional","International")</f>
        <v>International</v>
      </c>
      <c r="F62" s="23">
        <f>+[1]GRUPO!F62</f>
        <v>58.926567812677071</v>
      </c>
      <c r="G62" s="24">
        <f>+[1]GRUPO!G62</f>
        <v>67.134796476559714</v>
      </c>
      <c r="H62" s="25">
        <f>IF(G62=0,"---",IF(OR(ABS((F62-G62)/ABS(G62))&gt;2,(F62*G62)&lt;0),"---",IF(G62="0","---",((F62-G62)/ABS(G62))*100)))</f>
        <v>-12.226489234608117</v>
      </c>
      <c r="K62" s="22"/>
      <c r="M62" s="24"/>
      <c r="N62" s="24"/>
      <c r="O62" s="25"/>
      <c r="R62" s="14"/>
      <c r="S62" s="14"/>
      <c r="T62" s="16"/>
      <c r="U62" s="16"/>
      <c r="V62" s="17"/>
      <c r="Y62" s="14"/>
      <c r="Z62" s="14"/>
      <c r="AA62" s="16"/>
      <c r="AB62" s="16"/>
      <c r="AC62" s="17"/>
    </row>
    <row r="63" spans="4:29" ht="15" customHeight="1">
      <c r="D63" s="32" t="str">
        <f>+IF($B$3="esp","Latam","Latam")</f>
        <v>Latam</v>
      </c>
      <c r="F63" s="23">
        <f>+[1]GRUPO!F63</f>
        <v>59.141196492677075</v>
      </c>
      <c r="G63" s="24">
        <f>+[1]GRUPO!G63</f>
        <v>67.207018476559711</v>
      </c>
      <c r="H63" s="25">
        <f>IF(G63=0,"---",IF(OR(ABS((F63-G63)/ABS(G63))&gt;2,(F63*G63)&lt;0),"---",IF(G63="0","---",((F63-G63)/ABS(G63))*100)))</f>
        <v>-12.001457833895445</v>
      </c>
      <c r="K63" s="32"/>
      <c r="M63" s="24"/>
      <c r="N63" s="24"/>
      <c r="O63" s="25"/>
      <c r="R63" s="22"/>
      <c r="T63" s="24"/>
      <c r="U63" s="24"/>
      <c r="V63" s="25"/>
      <c r="Y63" s="26"/>
      <c r="Z63" s="14"/>
      <c r="AA63" s="16"/>
      <c r="AB63" s="16"/>
      <c r="AC63" s="17"/>
    </row>
    <row r="64" spans="4:29" ht="15" customHeight="1">
      <c r="D64" s="32" t="str">
        <f>+IF($B$3="esp","Portugal","Portugal")</f>
        <v>Portugal</v>
      </c>
      <c r="F64" s="23">
        <f>+[1]GRUPO!F64</f>
        <v>-0.21462868000000299</v>
      </c>
      <c r="G64" s="24">
        <f>+[1]GRUPO!G64</f>
        <v>-7.2221999999999995E-2</v>
      </c>
      <c r="H64" s="25">
        <f>IF(G64=0,"---",IF(OR(ABS((F64-G64)/ABS(G64))&gt;2,(F64*G64)&lt;0),"---",IF(G64="0","---",((F64-G64)/ABS(G64))*100)))</f>
        <v>-197.17908670488634</v>
      </c>
      <c r="R64" s="22"/>
      <c r="T64" s="24"/>
      <c r="U64" s="24"/>
      <c r="V64" s="25"/>
      <c r="Y64" s="26"/>
      <c r="Z64" s="14"/>
      <c r="AA64" s="16"/>
      <c r="AB64" s="16"/>
      <c r="AC64" s="17"/>
    </row>
    <row r="65" spans="4:29" s="28" customFormat="1" ht="15" customHeight="1">
      <c r="D65" s="47" t="str">
        <f>+IF($B$3="esp","Margen EBIT","EBIT Margin")</f>
        <v>EBIT Margin</v>
      </c>
      <c r="F65" s="48">
        <f>+F60/F49</f>
        <v>0.1225483749217884</v>
      </c>
      <c r="G65" s="49">
        <f>+G60/G49</f>
        <v>0.17173251137542361</v>
      </c>
      <c r="H65" s="50"/>
      <c r="R65" s="22"/>
      <c r="S65" s="1"/>
      <c r="T65" s="24"/>
      <c r="U65" s="24"/>
      <c r="V65" s="25"/>
      <c r="W65" s="1"/>
      <c r="Y65" s="14"/>
      <c r="Z65" s="14"/>
      <c r="AA65" s="16"/>
      <c r="AB65" s="16"/>
      <c r="AC65" s="17"/>
    </row>
    <row r="66" spans="4:29" s="14" customFormat="1" ht="15" customHeight="1">
      <c r="D66" s="1"/>
      <c r="E66" s="1"/>
      <c r="F66" s="1"/>
      <c r="G66" s="1"/>
      <c r="H66" s="1"/>
      <c r="R66" s="22"/>
      <c r="S66" s="1"/>
      <c r="T66" s="24"/>
      <c r="U66" s="24"/>
      <c r="V66" s="25"/>
      <c r="Y66" s="26"/>
      <c r="AA66" s="16"/>
      <c r="AB66" s="16"/>
      <c r="AC66" s="17"/>
    </row>
    <row r="67" spans="4:29" ht="15" customHeight="1">
      <c r="D67" s="9"/>
      <c r="F67" s="10">
        <v>2020</v>
      </c>
      <c r="G67" s="10">
        <v>2019</v>
      </c>
      <c r="H67" s="10" t="str">
        <f>+IF($B$3="esp","Var.%","% Chg.")</f>
        <v>% Chg.</v>
      </c>
      <c r="K67" s="9"/>
      <c r="M67" s="10">
        <v>2020</v>
      </c>
      <c r="N67" s="10">
        <v>2019</v>
      </c>
      <c r="O67" s="10" t="str">
        <f>+IF($B$3="esp","Var.%","% Chg.")</f>
        <v>% Chg.</v>
      </c>
      <c r="R67" s="9"/>
      <c r="T67" s="10">
        <v>2020</v>
      </c>
      <c r="U67" s="10">
        <v>2019</v>
      </c>
      <c r="V67" s="10" t="str">
        <f>+IF($B$3="esp","Var.%","% Chg.")</f>
        <v>% Chg.</v>
      </c>
      <c r="Y67" s="27"/>
      <c r="Z67" s="28"/>
      <c r="AA67" s="37"/>
      <c r="AB67" s="37"/>
      <c r="AC67" s="38"/>
    </row>
    <row r="68" spans="4:29" ht="15" customHeight="1">
      <c r="D68" s="11" t="str">
        <f>+IF($B$3="esp","Resultados Comparables a tipo constante","Comparable Results at constant currency")</f>
        <v>Comparable Results at constant currency</v>
      </c>
      <c r="F68" s="13"/>
      <c r="G68" s="13"/>
      <c r="H68" s="13"/>
      <c r="K68" s="11" t="str">
        <f>+IF($B$3="esp","Resultados a tipo constante","Results at constant currency")</f>
        <v>Results at constant currency</v>
      </c>
      <c r="M68" s="13"/>
      <c r="N68" s="13"/>
      <c r="O68" s="13"/>
      <c r="R68" s="11" t="str">
        <f>+IF($B$3="esp","Resultados a tipo constante","Results at constant currency")</f>
        <v>Results at constant currency</v>
      </c>
      <c r="T68" s="13"/>
      <c r="U68" s="13"/>
      <c r="V68" s="13"/>
      <c r="Y68" s="26"/>
      <c r="Z68" s="14"/>
      <c r="AA68" s="16"/>
      <c r="AB68" s="16"/>
      <c r="AC68" s="17"/>
    </row>
    <row r="69" spans="4:29" ht="15" customHeight="1">
      <c r="D69" s="14" t="str">
        <f>+IF($B$3="esp","Ingresos de Explotación a tipo constante","Operating Revenues on constant currency")</f>
        <v>Operating Revenues on constant currency</v>
      </c>
      <c r="E69" s="14"/>
      <c r="F69" s="15">
        <f>+[1]GRUPO!F69</f>
        <v>280.77029784128848</v>
      </c>
      <c r="G69" s="16">
        <f>+[1]GRUPO!G69</f>
        <v>273.02430730949203</v>
      </c>
      <c r="H69" s="17">
        <f t="shared" ref="H69:H78" si="11">IF(G69=0,"---",IF(OR(ABS((F69-G69)/ABS(G69))&gt;2,(F69*G69)&lt;0),"---",IF(G69="0","---",((F69-G69)/ABS(G69))*100)))</f>
        <v>2.8371065595327498</v>
      </c>
      <c r="K69" s="14" t="str">
        <f>+IF($B$3="esp","Ingresos de Explotación a tipo constante","Operating Revenues on constant currency")</f>
        <v>Operating Revenues on constant currency</v>
      </c>
      <c r="L69" s="14"/>
      <c r="M69" s="15">
        <f>+[1]SANTILLANA!F39</f>
        <v>194.46155018941741</v>
      </c>
      <c r="N69" s="16">
        <f>+[1]SANTILLANA!G39</f>
        <v>168.91643426788198</v>
      </c>
      <c r="O69" s="17">
        <f t="shared" ref="O69:O80" si="12">IF(N69=0,"---",IF(OR(ABS((M69-N69)/ABS(N69))&gt;2,(M69*N69)&lt;0),"---",IF(N69="0","---",((M69-N69)/ABS(N69))*100)))</f>
        <v>15.122931070770662</v>
      </c>
      <c r="R69" s="14" t="str">
        <f>+IF($B$3="esp","Ingresos de Explotación a tipo constante","Operating Revenues on constant currency")</f>
        <v>Operating Revenues on constant currency</v>
      </c>
      <c r="S69" s="14"/>
      <c r="T69" s="15">
        <f>+[1]RADIO!F35</f>
        <v>49.109082881486295</v>
      </c>
      <c r="U69" s="16">
        <f>+[1]RADIO!G35</f>
        <v>60.060861548662501</v>
      </c>
      <c r="V69" s="17">
        <f t="shared" ref="V69:V71" si="13">IF(U69=0,"---",IF(OR(ABS((T69-U69)/ABS(U69))&gt;2,(T69*U69)&lt;0),"---",IF(U69="0","---",((T69-U69)/ABS(U69))*100)))</f>
        <v>-18.234468145787183</v>
      </c>
      <c r="Y69" s="14"/>
      <c r="Z69" s="14"/>
      <c r="AA69" s="16"/>
      <c r="AB69" s="16"/>
      <c r="AC69" s="17"/>
    </row>
    <row r="70" spans="4:29" ht="15" customHeight="1">
      <c r="D70" s="22" t="str">
        <f>+IF($B$3="esp","España","Spain")</f>
        <v>Spain</v>
      </c>
      <c r="F70" s="23">
        <f>+[1]GRUPO!F70</f>
        <v>72.26044816335633</v>
      </c>
      <c r="G70" s="24">
        <f>+[1]GRUPO!G70</f>
        <v>87.651712344780691</v>
      </c>
      <c r="H70" s="25">
        <f t="shared" si="11"/>
        <v>-17.559570451838241</v>
      </c>
      <c r="K70" s="22" t="str">
        <f>+IF($B$3="esp","Negocio España","Spain business")</f>
        <v>Spain business</v>
      </c>
      <c r="M70" s="23">
        <f>+[1]SANTILLANA!F40</f>
        <v>1.4044494699999999</v>
      </c>
      <c r="N70" s="24">
        <f>+[1]SANTILLANA!G40</f>
        <v>2.2319317600000006</v>
      </c>
      <c r="O70" s="25">
        <f t="shared" si="12"/>
        <v>-37.074712803943456</v>
      </c>
      <c r="R70" s="22" t="str">
        <f>+IF($B$3="esp","España","Spain")</f>
        <v>Spain</v>
      </c>
      <c r="T70" s="23">
        <f>+[1]RADIO!F36</f>
        <v>34.513993509999999</v>
      </c>
      <c r="U70" s="24">
        <f>+[1]RADIO!G36</f>
        <v>43.114360330000004</v>
      </c>
      <c r="V70" s="25">
        <f t="shared" si="13"/>
        <v>-19.947801043949767</v>
      </c>
      <c r="Y70" s="26"/>
      <c r="Z70" s="14"/>
      <c r="AA70" s="16"/>
      <c r="AB70" s="16"/>
      <c r="AC70" s="17"/>
    </row>
    <row r="71" spans="4:29" s="28" customFormat="1" ht="15" customHeight="1">
      <c r="D71" s="22" t="str">
        <f>+IF($B$3="esp","Internacional","International")</f>
        <v>International</v>
      </c>
      <c r="E71" s="1"/>
      <c r="F71" s="23">
        <f>+[1]GRUPO!F71</f>
        <v>208.50984967793215</v>
      </c>
      <c r="G71" s="24">
        <f>+[1]GRUPO!G71</f>
        <v>185.37259496471134</v>
      </c>
      <c r="H71" s="25">
        <f t="shared" si="11"/>
        <v>12.481486121303616</v>
      </c>
      <c r="K71" s="22" t="str">
        <f>+IF($B$3="esp","Negocio Internacional","International business")</f>
        <v>International business</v>
      </c>
      <c r="L71" s="1"/>
      <c r="M71" s="23">
        <f>+[1]SANTILLANA!F41</f>
        <v>192.77476091941742</v>
      </c>
      <c r="N71" s="24">
        <f>+[1]SANTILLANA!G41</f>
        <v>166.455621617882</v>
      </c>
      <c r="O71" s="25">
        <f t="shared" si="12"/>
        <v>15.811505220264669</v>
      </c>
      <c r="R71" s="22" t="str">
        <f>+IF($B$3="esp","Latam","Latam")</f>
        <v>Latam</v>
      </c>
      <c r="S71" s="1"/>
      <c r="T71" s="23">
        <f>+[1]RADIO!F37</f>
        <v>15.596333883598</v>
      </c>
      <c r="U71" s="24">
        <f>+[1]RADIO!G37</f>
        <v>17.892667870062301</v>
      </c>
      <c r="V71" s="25">
        <f t="shared" si="13"/>
        <v>-12.833938477707324</v>
      </c>
      <c r="Y71" s="27"/>
      <c r="AA71" s="37"/>
      <c r="AB71" s="37"/>
      <c r="AC71" s="38"/>
    </row>
    <row r="72" spans="4:29" s="14" customFormat="1" ht="15" customHeight="1">
      <c r="D72" s="32" t="str">
        <f>+IF($B$3="esp","Latam","Latam")</f>
        <v>Latam</v>
      </c>
      <c r="E72" s="1"/>
      <c r="F72" s="23">
        <f>+[1]GRUPO!F72</f>
        <v>208.49908467793213</v>
      </c>
      <c r="G72" s="24">
        <f>+[1]GRUPO!G72</f>
        <v>185.17275596471134</v>
      </c>
      <c r="H72" s="25">
        <f t="shared" si="11"/>
        <v>12.59706299217479</v>
      </c>
      <c r="K72" s="32" t="str">
        <f>+IF($B$3="esp","Latam","Latam")</f>
        <v>Latam</v>
      </c>
      <c r="L72" s="1"/>
      <c r="M72" s="23">
        <f>+[1]SANTILLANA!F42</f>
        <v>192.76399591941743</v>
      </c>
      <c r="N72" s="24">
        <f>+[1]SANTILLANA!G42</f>
        <v>166.25578261788201</v>
      </c>
      <c r="O72" s="25">
        <f>IF(N72=0,"---",IF(OR(ABS((M72-N72)/ABS(N72))&gt;2,(M72*N72)&lt;0),"---",IF(N72="0","---",((M72-N72)/ABS(N72))*100)))</f>
        <v>15.944235372829835</v>
      </c>
      <c r="R72" s="22" t="str">
        <f>+IF($B$3="esp","Ajustes y Otros","Adjustments &amp; others")</f>
        <v>Adjustments &amp; others</v>
      </c>
      <c r="S72" s="1"/>
      <c r="T72" s="23">
        <f>+T69-T70-T71</f>
        <v>-1.001244512111704</v>
      </c>
      <c r="U72" s="24">
        <f>+U69-U70-U71</f>
        <v>-0.94616665139980327</v>
      </c>
      <c r="V72" s="25">
        <f>IF(U72=0,"---",IF(OR(ABS((T72-U72)/ABS(U72))&gt;2,(T72*U72)&lt;0),"---",IF(U72="0","---",((T72-U72)/ABS(U72))*100)))</f>
        <v>-5.8211585274555926</v>
      </c>
      <c r="Y72" s="26"/>
      <c r="AA72" s="16"/>
      <c r="AB72" s="16"/>
      <c r="AC72" s="17"/>
    </row>
    <row r="73" spans="4:29" ht="15" customHeight="1" thickBot="1">
      <c r="D73" s="32" t="str">
        <f>+IF($B$3="esp","Portugal","Portugal")</f>
        <v>Portugal</v>
      </c>
      <c r="F73" s="23">
        <f>+[1]GRUPO!F73</f>
        <v>1.07650000000003E-2</v>
      </c>
      <c r="G73" s="24">
        <f>+[1]GRUPO!G73</f>
        <v>0.19983899999999999</v>
      </c>
      <c r="H73" s="25">
        <f t="shared" si="11"/>
        <v>-94.613163596695188</v>
      </c>
      <c r="K73" s="32" t="str">
        <f>+IF($B$3="esp","Portugal","Portugal")</f>
        <v>Portugal</v>
      </c>
      <c r="M73" s="23">
        <f>+[1]SANTILLANA!F43</f>
        <v>1.0765E-2</v>
      </c>
      <c r="N73" s="24">
        <f>+[1]SANTILLANA!G43</f>
        <v>0.19983899999999999</v>
      </c>
      <c r="O73" s="25">
        <f t="shared" si="12"/>
        <v>-94.613163596695344</v>
      </c>
      <c r="R73" s="14"/>
      <c r="S73" s="14"/>
      <c r="T73" s="15"/>
      <c r="U73" s="16"/>
      <c r="V73" s="17"/>
    </row>
    <row r="74" spans="4:29" ht="15" customHeight="1" thickTop="1">
      <c r="D74" s="14" t="str">
        <f>+IF($B$3="esp","EBITDA a tipo constante","EBITDA on constant currency")</f>
        <v>EBITDA on constant currency</v>
      </c>
      <c r="E74" s="14"/>
      <c r="F74" s="15">
        <f>+[1]GRUPO!F74</f>
        <v>64.202774933669787</v>
      </c>
      <c r="G74" s="16">
        <f>+[1]GRUPO!G74</f>
        <v>68.7648703311351</v>
      </c>
      <c r="H74" s="17">
        <f t="shared" si="11"/>
        <v>-6.6343401441705403</v>
      </c>
      <c r="K74" s="22" t="str">
        <f>+IF($B$3="esp","Tecnología Educativa global y Centro Corpor.","Global Educational IT &amp; HQ")</f>
        <v>Global Educational IT &amp; HQ</v>
      </c>
      <c r="M74" s="23">
        <f>+[1]SANTILLANA!F44</f>
        <v>0.28233980000000009</v>
      </c>
      <c r="N74" s="24">
        <f>+[1]SANTILLANA!G44</f>
        <v>0.22888088999999998</v>
      </c>
      <c r="O74" s="25">
        <f t="shared" si="12"/>
        <v>23.356650701594226</v>
      </c>
      <c r="R74" s="14" t="str">
        <f>+IF($B$3="esp","EBITDA a tipo constante","EBITDA on constant currency")</f>
        <v>EBITDA on constant currency</v>
      </c>
      <c r="S74" s="14"/>
      <c r="T74" s="15">
        <f>+[1]RADIO!F41</f>
        <v>0.53574626521450097</v>
      </c>
      <c r="U74" s="52">
        <f>+[1]RADIO!G41</f>
        <v>8.0448780192073901</v>
      </c>
      <c r="V74" s="34">
        <f>IF(U74=0,"---",IF(OR(ABS((T74-U74)/ABS(U74))&gt;2,(T74*U74)&lt;0),"---",IF(U74="0","---",((T74-U74)/ABS(U74))*100)))</f>
        <v>-93.340529664522066</v>
      </c>
    </row>
    <row r="75" spans="4:29" s="14" customFormat="1" ht="15" customHeight="1">
      <c r="D75" s="22" t="str">
        <f>+IF($B$3="esp","España","Spain")</f>
        <v>Spain</v>
      </c>
      <c r="E75" s="1"/>
      <c r="F75" s="23">
        <f>+[1]GRUPO!F75</f>
        <v>-18.974605536000254</v>
      </c>
      <c r="G75" s="24">
        <f>+[1]GRUPO!G75</f>
        <v>-12.535812550000415</v>
      </c>
      <c r="H75" s="25">
        <f t="shared" si="11"/>
        <v>-51.363188148498807</v>
      </c>
      <c r="K75" s="14" t="str">
        <f>+IF($B$3="esp","EBITDA a tipo constante","EBITDA on constant currency")</f>
        <v>EBITDA on constant currency</v>
      </c>
      <c r="M75" s="15">
        <f>+[1]SANTILLANA!F45</f>
        <v>70.661602042642045</v>
      </c>
      <c r="N75" s="16">
        <f>+[1]SANTILLANA!G45</f>
        <v>66.246471194497801</v>
      </c>
      <c r="O75" s="17">
        <f t="shared" si="12"/>
        <v>6.6647034453828384</v>
      </c>
      <c r="R75" s="22" t="str">
        <f>+IF($B$3="esp","España","Spain")</f>
        <v>Spain</v>
      </c>
      <c r="S75" s="1"/>
      <c r="T75" s="23">
        <f>+[1]RADIO!F42</f>
        <v>1.3762368200000201</v>
      </c>
      <c r="U75" s="24">
        <f>+[1]RADIO!G42</f>
        <v>6.2536923999999701</v>
      </c>
      <c r="V75" s="25">
        <f>IF(U75=0,"---",IF(OR(ABS((T75-U75)/ABS(U75))&gt;2,(T75*U75)&lt;0),"---",IF(U75="0","---",((T75-U75)/ABS(U75))*100)))</f>
        <v>-77.993212138159734</v>
      </c>
      <c r="W75" s="1"/>
    </row>
    <row r="76" spans="4:29" s="14" customFormat="1" ht="15" customHeight="1">
      <c r="D76" s="22" t="str">
        <f>+IF($B$3="esp","Internacional","International")</f>
        <v>International</v>
      </c>
      <c r="E76" s="1"/>
      <c r="F76" s="23">
        <f>+[1]GRUPO!F76</f>
        <v>83.177380469670041</v>
      </c>
      <c r="G76" s="24">
        <f>+[1]GRUPO!G76</f>
        <v>81.300682881135515</v>
      </c>
      <c r="H76" s="25">
        <f t="shared" si="11"/>
        <v>2.3083417285415972</v>
      </c>
      <c r="K76" s="22" t="str">
        <f>+IF($B$3="esp","Negocio España","Spain business")</f>
        <v>Spain business</v>
      </c>
      <c r="L76" s="1"/>
      <c r="M76" s="23">
        <f>+[1]SANTILLANA!F46</f>
        <v>-9.3658372859999997</v>
      </c>
      <c r="N76" s="24">
        <f>+[1]SANTILLANA!G46</f>
        <v>-8.7364983799999969</v>
      </c>
      <c r="O76" s="25">
        <f t="shared" si="12"/>
        <v>-7.2035600377459579</v>
      </c>
      <c r="R76" s="22" t="str">
        <f>+IF($B$3="esp","Latam","Latam")</f>
        <v>Latam</v>
      </c>
      <c r="S76" s="1"/>
      <c r="T76" s="23">
        <f>+[1]RADIO!F43</f>
        <v>-1.1858240247855398</v>
      </c>
      <c r="U76" s="24">
        <f>+[1]RADIO!G43</f>
        <v>1.8312196592074499</v>
      </c>
      <c r="V76" s="25" t="str">
        <f>IF(U76=0,"---",IF(OR(ABS((T76-U76)/ABS(U76))&gt;2,(T76*U76)&lt;0),"---",IF(U76="0","---",((T76-U76)/ABS(U76))*100)))</f>
        <v>---</v>
      </c>
      <c r="W76" s="1"/>
    </row>
    <row r="77" spans="4:29" ht="15" customHeight="1">
      <c r="D77" s="32" t="str">
        <f>+IF($B$3="esp","Latam","Latam")</f>
        <v>Latam</v>
      </c>
      <c r="F77" s="23">
        <f>+[1]GRUPO!F77</f>
        <v>83.387864149670037</v>
      </c>
      <c r="G77" s="24">
        <f>+[1]GRUPO!G77</f>
        <v>81.368389881135499</v>
      </c>
      <c r="H77" s="25">
        <f t="shared" si="11"/>
        <v>2.4818904140595928</v>
      </c>
      <c r="K77" s="22" t="str">
        <f>+IF($B$3="esp","Negocio Internacional","International business")</f>
        <v>International business</v>
      </c>
      <c r="M77" s="23">
        <f>+[1]SANTILLANA!F47</f>
        <v>85.942766838642044</v>
      </c>
      <c r="N77" s="24">
        <f>+[1]SANTILLANA!G47</f>
        <v>81.186790664497806</v>
      </c>
      <c r="O77" s="25">
        <f t="shared" si="12"/>
        <v>5.8580664849755903</v>
      </c>
      <c r="R77" s="22" t="str">
        <f>+IF($B$3="esp","Ajustes y Otros","Adjustments &amp; others")</f>
        <v>Adjustments &amp; others</v>
      </c>
      <c r="T77" s="23">
        <f>+T74-T75-T76</f>
        <v>0.34533347000002068</v>
      </c>
      <c r="U77" s="24">
        <f>+U74-U75-U76</f>
        <v>-4.0034040000029858E-2</v>
      </c>
      <c r="V77" s="25" t="str">
        <f>IF(U77=0,"---",IF(OR(ABS((T77-U77)/ABS(U77))&gt;2,(T77*U77)&lt;0),"---",IF(U77="0","---",((T77-U77)/ABS(U77))*100)))</f>
        <v>---</v>
      </c>
      <c r="W77" s="28"/>
    </row>
    <row r="78" spans="4:29" s="14" customFormat="1" ht="15" customHeight="1">
      <c r="D78" s="32" t="str">
        <f>+IF($B$3="esp","Portugal","Portugal")</f>
        <v>Portugal</v>
      </c>
      <c r="E78" s="1"/>
      <c r="F78" s="23">
        <f>+[1]GRUPO!F78</f>
        <v>-0.21048368000000098</v>
      </c>
      <c r="G78" s="24">
        <f>+[1]GRUPO!G78</f>
        <v>-6.7706999999999989E-2</v>
      </c>
      <c r="H78" s="25" t="str">
        <f t="shared" si="11"/>
        <v>---</v>
      </c>
      <c r="K78" s="32" t="str">
        <f>+IF($B$3="esp","Latam","Latam")</f>
        <v>Latam</v>
      </c>
      <c r="L78" s="1"/>
      <c r="M78" s="23">
        <f>+[1]SANTILLANA!F48</f>
        <v>86.142367838642045</v>
      </c>
      <c r="N78" s="24">
        <f>+[1]SANTILLANA!G48</f>
        <v>81.254497664497805</v>
      </c>
      <c r="O78" s="25">
        <f>IF(N78=0,"---",IF(OR(ABS((M78-N78)/ABS(N78))&gt;2,(M78*N78)&lt;0),"---",IF(N78="0","---",((M78-N78)/ABS(N78))*100)))</f>
        <v>6.0155072206912141</v>
      </c>
      <c r="R78" s="27" t="str">
        <f>+IF($B$3="esp","Margen EBITDA","EBITDA Margin")</f>
        <v>EBITDA Margin</v>
      </c>
      <c r="S78" s="28"/>
      <c r="T78" s="36">
        <f>+T74/T69</f>
        <v>1.0909311145300837E-2</v>
      </c>
      <c r="U78" s="37">
        <f>+U74/U69</f>
        <v>0.13394543154678643</v>
      </c>
      <c r="V78" s="38"/>
    </row>
    <row r="79" spans="4:29" s="14" customFormat="1" ht="15" customHeight="1" thickBot="1">
      <c r="D79" s="27" t="str">
        <f>+IF($B$3="esp","Margen EBITDA","EBITDA Margin")</f>
        <v>EBITDA Margin</v>
      </c>
      <c r="E79" s="28"/>
      <c r="F79" s="36">
        <f>+F74/F69</f>
        <v>0.22866654851775597</v>
      </c>
      <c r="G79" s="37">
        <f t="shared" ref="G79:G85" si="14">+G59</f>
        <v>0.25186354654197635</v>
      </c>
      <c r="H79" s="38"/>
      <c r="K79" s="32" t="str">
        <f>+IF($B$3="esp","Portugal","Portugal")</f>
        <v>Portugal</v>
      </c>
      <c r="L79" s="1"/>
      <c r="M79" s="23">
        <f>+[1]SANTILLANA!F49</f>
        <v>-0.199601</v>
      </c>
      <c r="N79" s="24">
        <f>+[1]SANTILLANA!G49</f>
        <v>-6.7706999999999989E-2</v>
      </c>
      <c r="O79" s="25">
        <f t="shared" si="12"/>
        <v>-194.80112839145144</v>
      </c>
      <c r="T79" s="15"/>
      <c r="U79" s="16"/>
      <c r="V79" s="17"/>
      <c r="W79" s="1"/>
    </row>
    <row r="80" spans="4:29" s="14" customFormat="1" ht="15" customHeight="1" thickTop="1">
      <c r="D80" s="14" t="str">
        <f>+IF($B$3="esp","EBIT a tipo constante","EBIT on constant currency")</f>
        <v>EBIT on constant currency</v>
      </c>
      <c r="F80" s="15">
        <f>+[1]GRUPO!F80</f>
        <v>39.210862014017394</v>
      </c>
      <c r="G80" s="16">
        <f>+[1]GRUPO!G80</f>
        <v>46.887149960794495</v>
      </c>
      <c r="H80" s="17">
        <f>IF(G80=0,"---",IF(OR(ABS((F80-G80)/ABS(G80))&gt;2,(F80*G80)&lt;0),"---",IF(G80="0","---",((F80-G80)/ABS(G80))*100)))</f>
        <v>-16.37183738656703</v>
      </c>
      <c r="K80" s="22" t="str">
        <f>+IF($B$3="esp","Tecnología Educativa global y Centro Corpor.","Global Educational IT &amp; HQ")</f>
        <v>Global Educational IT &amp; HQ</v>
      </c>
      <c r="L80" s="1"/>
      <c r="M80" s="23">
        <f>+[1]SANTILLANA!F50</f>
        <v>-5.91532751</v>
      </c>
      <c r="N80" s="24">
        <f>+[1]SANTILLANA!G50</f>
        <v>-6.203821089999999</v>
      </c>
      <c r="O80" s="25">
        <f t="shared" si="12"/>
        <v>4.6502562826162848</v>
      </c>
      <c r="R80" s="14" t="str">
        <f>+IF($B$3="esp","EBIT a tipo constante","EBIT on constant currency")</f>
        <v>EBIT on constant currency</v>
      </c>
      <c r="T80" s="15">
        <f>+[1]RADIO!F48</f>
        <v>-4.4194419518200201</v>
      </c>
      <c r="U80" s="52">
        <f>+[1]RADIO!G48</f>
        <v>3.6023070889331898</v>
      </c>
      <c r="V80" s="34" t="str">
        <f>IF(U80=0,"---",IF(OR(ABS((T80-U80)/ABS(U80))&gt;2,(T80*U80)&lt;0),"---",IF(U80="0","---",((T80-U80)/ABS(U80))*100)))</f>
        <v>---</v>
      </c>
    </row>
    <row r="81" spans="4:31">
      <c r="D81" s="22" t="str">
        <f>+IF($B$3="esp","España","Spain")</f>
        <v>Spain</v>
      </c>
      <c r="F81" s="23">
        <f>+[1]GRUPO!F81</f>
        <v>-26.754435449115874</v>
      </c>
      <c r="G81" s="24">
        <f>+[1]GRUPO!G81</f>
        <v>-20.247646515765219</v>
      </c>
      <c r="H81" s="25">
        <f>IF(G81=0,"---",IF(OR(ABS((F81-G81)/ABS(G81))&gt;2,(F81*G81)&lt;0),"---",IF(G81="0","---",((F81-G81)/ABS(G81))*100)))</f>
        <v>-32.136025924219588</v>
      </c>
      <c r="K81" s="27" t="str">
        <f>+IF($B$3="esp","Margen EBITDA","EBITDA Margin")</f>
        <v>EBITDA Margin</v>
      </c>
      <c r="L81" s="28"/>
      <c r="M81" s="36">
        <f>+M75/M69</f>
        <v>0.36337055820964781</v>
      </c>
      <c r="N81" s="37">
        <f>+N75/N69</f>
        <v>0.39218487817140718</v>
      </c>
      <c r="O81" s="38"/>
      <c r="R81" s="22" t="str">
        <f>+IF($B$3="esp","España","Spain")</f>
        <v>Spain</v>
      </c>
      <c r="T81" s="23">
        <f>+[1]RADIO!F49</f>
        <v>-1.6456389699999672</v>
      </c>
      <c r="U81" s="24">
        <f>+[1]RADIO!G49</f>
        <v>3.3364080799999898</v>
      </c>
      <c r="V81" s="25" t="str">
        <f>IF(U81=0,"---",IF(OR(ABS((T81-U81)/ABS(U81))&gt;2,(T81*U81)&lt;0),"---",IF(U81="0","---",((T81-U81)/ABS(U81))*100)))</f>
        <v>---</v>
      </c>
      <c r="W81" s="14"/>
    </row>
    <row r="82" spans="4:31">
      <c r="D82" s="22" t="str">
        <f>+IF($B$3="esp","Internacional","International")</f>
        <v>International</v>
      </c>
      <c r="F82" s="23">
        <f>+[1]GRUPO!F82</f>
        <v>65.965297463133268</v>
      </c>
      <c r="G82" s="24">
        <f>+[1]GRUPO!G82</f>
        <v>67.134796476559714</v>
      </c>
      <c r="H82" s="25">
        <f>IF(G82=0,"---",IF(OR(ABS((F82-G82)/ABS(G82))&gt;2,(F82*G82)&lt;0),"---",IF(G82="0","---",((F82-G82)/ABS(G82))*100)))</f>
        <v>-1.742016174629768</v>
      </c>
      <c r="K82" s="14" t="str">
        <f>+IF($B$3="esp","EBIT a tipo constante","EBIT on constant currency")</f>
        <v>EBIT on constant currency</v>
      </c>
      <c r="L82" s="14"/>
      <c r="M82" s="15">
        <f>+[1]SANTILLANA!F52</f>
        <v>53.518515685753833</v>
      </c>
      <c r="N82" s="16">
        <f>+[1]SANTILLANA!G52</f>
        <v>51.493144670333301</v>
      </c>
      <c r="O82" s="17">
        <f>IF(N82=0,"---",IF(OR(ABS((M82-N82)/ABS(N82))&gt;2,(M82*N82)&lt;0),"---",IF(N82="0","---",((M82-N82)/ABS(N82))*100)))</f>
        <v>3.9332828250969247</v>
      </c>
      <c r="R82" s="22" t="str">
        <f>+IF($B$3="esp","Latam","Latam")</f>
        <v>Latam</v>
      </c>
      <c r="T82" s="23">
        <f>+[1]RADIO!F50</f>
        <v>-3.11913645182003</v>
      </c>
      <c r="U82" s="24">
        <f>+[1]RADIO!G50</f>
        <v>0.30593304893328599</v>
      </c>
      <c r="V82" s="25" t="str">
        <f>IF(U82=0,"---",IF(OR(ABS((T82-U82)/ABS(U82))&gt;2,(T82*U82)&lt;0),"---",IF(U82="0","---",((T82-U82)/ABS(U82))*100)))</f>
        <v>---</v>
      </c>
      <c r="W82" s="14"/>
    </row>
    <row r="83" spans="4:31">
      <c r="D83" s="32" t="str">
        <f>+IF($B$3="esp","Latam","Latam")</f>
        <v>Latam</v>
      </c>
      <c r="F83" s="23">
        <f>+[1]GRUPO!F83</f>
        <v>66.179926143133272</v>
      </c>
      <c r="G83" s="24">
        <f>+[1]GRUPO!G83</f>
        <v>67.207018476559711</v>
      </c>
      <c r="H83" s="25">
        <f>IF(G83=0,"---",IF(OR(ABS((F83-G83)/ABS(G83))&gt;2,(F83*G83)&lt;0),"---",IF(G83="0","---",((F83-G83)/ABS(G83))*100)))</f>
        <v>-1.5282515973903301</v>
      </c>
      <c r="K83" s="22" t="str">
        <f>+IF($B$3="esp","Negocio España","Spain business")</f>
        <v>Spain business</v>
      </c>
      <c r="M83" s="23">
        <f>+[1]SANTILLANA!F53</f>
        <v>-10.448055139158013</v>
      </c>
      <c r="N83" s="24">
        <f>+[1]SANTILLANA!G53</f>
        <v>-9.8572634067003513</v>
      </c>
      <c r="O83" s="25">
        <f>IF(N83=0,"---",IF(OR(ABS((M83-N83)/ABS(N83))&gt;2,(M83*N83)&lt;0),"---",IF(N83="0","---",((M83-N83)/ABS(N83))*100)))</f>
        <v>-5.9934660167047848</v>
      </c>
      <c r="R83" s="22" t="str">
        <f>+IF($B$3="esp","Ajustes y Otros","Adjustments &amp; others")</f>
        <v>Adjustments &amp; others</v>
      </c>
      <c r="T83" s="23">
        <f>+T80-T81-T82</f>
        <v>0.34533346999997727</v>
      </c>
      <c r="U83" s="24">
        <f>+U80-U81-U82</f>
        <v>-4.0034040000085924E-2</v>
      </c>
      <c r="V83" s="25" t="str">
        <f>IF(U83=0,"---",IF(OR(ABS((T83-U83)/ABS(U83))&gt;2,(T83*U83)&lt;0),"---",IF(U83="0","---",((T83-U83)/ABS(U83))*100)))</f>
        <v>---</v>
      </c>
      <c r="W83" s="14"/>
    </row>
    <row r="84" spans="4:31">
      <c r="D84" s="32" t="str">
        <f>+IF($B$3="esp","Portugal","Portugal")</f>
        <v>Portugal</v>
      </c>
      <c r="F84" s="23">
        <f>+[1]GRUPO!F84</f>
        <v>-0.21462868000000299</v>
      </c>
      <c r="G84" s="24">
        <f>+[1]GRUPO!G84</f>
        <v>-7.2221999999999995E-2</v>
      </c>
      <c r="H84" s="25">
        <f>IF(G84=0,"---",IF(OR(ABS((F84-G84)/ABS(G84))&gt;2,(F84*G84)&lt;0),"---",IF(G84="0","---",((F84-G84)/ABS(G84))*100)))</f>
        <v>-197.17908670488634</v>
      </c>
      <c r="K84" s="22" t="str">
        <f>+IF($B$3="esp","Negocio Internacional","International business")</f>
        <v>International business</v>
      </c>
      <c r="M84" s="23">
        <f>+[1]SANTILLANA!F54</f>
        <v>70.735500474869383</v>
      </c>
      <c r="N84" s="24">
        <f>+[1]SANTILLANA!G54</f>
        <v>68.579428026098114</v>
      </c>
      <c r="O84" s="25">
        <f>IF(N84=0,"---",IF(OR(ABS((M84-N84)/ABS(N84))&gt;2,(M84*N84)&lt;0),"---",IF(N84="0","---",((M84-N84)/ABS(N84))*100)))</f>
        <v>3.1439055571457506</v>
      </c>
      <c r="R84" s="27" t="str">
        <f>+IF($B$3="esp","Margen EBIT","EBIT Margin")</f>
        <v>EBIT Margin</v>
      </c>
      <c r="S84" s="28"/>
      <c r="T84" s="36">
        <f>+T80/T69</f>
        <v>-8.9992353603616404E-2</v>
      </c>
      <c r="U84" s="37">
        <f>+U80/U69</f>
        <v>5.9977612642378254E-2</v>
      </c>
      <c r="V84" s="38"/>
      <c r="W84" s="14"/>
    </row>
    <row r="85" spans="4:31">
      <c r="D85" s="47" t="str">
        <f>+IF($B$3="esp","Margen EBIT","EBIT Margin")</f>
        <v>EBIT Margin</v>
      </c>
      <c r="E85" s="28"/>
      <c r="F85" s="48">
        <f>+F80/F69</f>
        <v>0.13965459421987075</v>
      </c>
      <c r="G85" s="49">
        <f t="shared" si="14"/>
        <v>0.17173251137542361</v>
      </c>
      <c r="H85" s="50"/>
      <c r="K85" s="32" t="str">
        <f>+IF($B$3="esp","Latam","Latam")</f>
        <v>Latam</v>
      </c>
      <c r="M85" s="23">
        <f>+[1]SANTILLANA!F55</f>
        <v>70.939246474869378</v>
      </c>
      <c r="N85" s="24">
        <f>+[1]SANTILLANA!G55</f>
        <v>68.65165002609811</v>
      </c>
      <c r="O85" s="25">
        <f>IF(N85=0,"---",IF(OR(ABS((M85-N85)/ABS(N85))&gt;2,(M85*N85)&lt;0),"---",IF(N85="0","---",((M85-N85)/ABS(N85))*100)))</f>
        <v>3.3321798498676025</v>
      </c>
      <c r="R85" s="53"/>
      <c r="S85" s="14"/>
      <c r="T85" s="54"/>
      <c r="U85" s="55"/>
      <c r="V85" s="56"/>
      <c r="W85" s="14"/>
    </row>
    <row r="86" spans="4:31">
      <c r="K86" s="32" t="str">
        <f>+IF($B$3="esp","Portugal","Portugal")</f>
        <v>Portugal</v>
      </c>
      <c r="M86" s="23">
        <f>+[1]SANTILLANA!F56</f>
        <v>-0.20374600000000001</v>
      </c>
      <c r="N86" s="24">
        <f>+[1]SANTILLANA!G56</f>
        <v>-7.2221999999999995E-2</v>
      </c>
      <c r="O86" s="25">
        <f>IF(N86=0,"---",IF(OR(ABS((M86-N86)/ABS(N86))&gt;2,(M86*N86)&lt;0),"---",IF(N86="0","---",((M86-N86)/ABS(N86))*100)))</f>
        <v>-182.11071418681291</v>
      </c>
      <c r="W86" s="14"/>
    </row>
    <row r="87" spans="4:31">
      <c r="K87" s="22" t="str">
        <f>+IF($B$3="esp","Tecnología Educativa global y Centro Corpor.","Global Educational IT &amp; HQ")</f>
        <v>Global Educational IT &amp; HQ</v>
      </c>
      <c r="M87" s="23">
        <f>+[1]SANTILLANA!F57</f>
        <v>-6.7689296499575455</v>
      </c>
      <c r="N87" s="24">
        <f>+[1]SANTILLANA!G57</f>
        <v>-7.2290199490644724</v>
      </c>
      <c r="O87" s="25">
        <f t="shared" ref="O87" si="15">IF(N87=0,"---",IF(OR(ABS((M87-N87)/ABS(N87))&gt;2,(M87*N87)&lt;0),"---",IF(N87="0","---",((M87-N87)/ABS(N87))*100)))</f>
        <v>6.364490655008753</v>
      </c>
      <c r="W87" s="14"/>
    </row>
    <row r="88" spans="4:31">
      <c r="K88" s="47" t="str">
        <f>+IF($B$3="esp","Margen EBIT","EBIT Margin")</f>
        <v>EBIT Margin</v>
      </c>
      <c r="L88" s="28"/>
      <c r="M88" s="48">
        <f>+M82/M69</f>
        <v>0.27521386944423476</v>
      </c>
      <c r="N88" s="49">
        <f>+N82/N69</f>
        <v>0.30484390043819604</v>
      </c>
      <c r="O88" s="50"/>
      <c r="W88" s="14"/>
    </row>
    <row r="89" spans="4:31">
      <c r="R89" s="14"/>
      <c r="S89" s="14"/>
      <c r="T89" s="14"/>
      <c r="U89" s="14"/>
      <c r="V89" s="14"/>
      <c r="W89" s="14"/>
    </row>
    <row r="90" spans="4:31">
      <c r="R90" s="14"/>
      <c r="S90" s="14"/>
      <c r="T90" s="14"/>
      <c r="U90" s="14"/>
      <c r="V90" s="14"/>
      <c r="W90" s="14"/>
    </row>
    <row r="91" spans="4:31"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</row>
    <row r="92" spans="4:31">
      <c r="R92" s="14"/>
      <c r="S92" s="14"/>
      <c r="T92" s="14"/>
      <c r="U92" s="14"/>
      <c r="V92" s="14"/>
      <c r="W92" s="14"/>
    </row>
    <row r="94" spans="4:31">
      <c r="F94" s="51"/>
      <c r="G94" s="51"/>
    </row>
    <row r="95" spans="4:31">
      <c r="F95" s="7" t="str">
        <f>+F6</f>
        <v>JANUARY - MARCH</v>
      </c>
      <c r="G95" s="8"/>
      <c r="H95" s="8"/>
      <c r="I95" s="14"/>
      <c r="K95" s="9"/>
      <c r="M95" s="45"/>
      <c r="N95" s="45"/>
      <c r="O95" s="45"/>
      <c r="R95" s="9"/>
      <c r="T95" s="45"/>
      <c r="U95" s="45"/>
      <c r="V95" s="45"/>
      <c r="Y95" s="9"/>
      <c r="AA95" s="45"/>
      <c r="AB95" s="45"/>
      <c r="AC95" s="45"/>
    </row>
    <row r="96" spans="4:31" ht="15.75" customHeight="1">
      <c r="K96" s="46"/>
      <c r="R96" s="46"/>
      <c r="Y96" s="46"/>
    </row>
    <row r="97" spans="4:31" s="14" customFormat="1" ht="15" customHeight="1">
      <c r="D97" s="9" t="str">
        <f>+IF($B$3="esp","Millones de €","€ Millions")</f>
        <v>€ Millions</v>
      </c>
      <c r="E97" s="1"/>
      <c r="F97" s="10">
        <v>2020</v>
      </c>
      <c r="G97" s="10">
        <v>2019</v>
      </c>
      <c r="H97" s="10" t="str">
        <f>+IF($B$3="esp","Var.%","% Chg.")</f>
        <v>% Chg.</v>
      </c>
      <c r="I97" s="1"/>
      <c r="M97" s="16"/>
      <c r="N97" s="16"/>
      <c r="O97" s="17"/>
      <c r="T97" s="16"/>
      <c r="U97" s="16"/>
      <c r="V97" s="17"/>
      <c r="AA97" s="16"/>
      <c r="AB97" s="16"/>
      <c r="AC97" s="17"/>
    </row>
    <row r="98" spans="4:31" ht="15" customHeight="1">
      <c r="D98" s="11" t="str">
        <f>+IF($B$3="esp","Efecto Sentencia Mediapro","Mediapro sentence")</f>
        <v>Mediapro sentence</v>
      </c>
      <c r="F98" s="13"/>
      <c r="G98" s="13"/>
      <c r="H98" s="13"/>
      <c r="K98" s="22"/>
      <c r="M98" s="24"/>
      <c r="N98" s="24"/>
      <c r="O98" s="25"/>
      <c r="R98" s="22"/>
      <c r="T98" s="24"/>
      <c r="U98" s="24"/>
      <c r="V98" s="25"/>
      <c r="Y98" s="22"/>
      <c r="AA98" s="24"/>
      <c r="AB98" s="24"/>
      <c r="AC98" s="25"/>
    </row>
    <row r="99" spans="4:31" ht="15" customHeight="1">
      <c r="D99" s="14" t="str">
        <f>+IF($B$3="esp","Efecto en Gastos","Effect in Expenses")</f>
        <v>Effect in Expenses</v>
      </c>
      <c r="E99" s="14"/>
      <c r="F99" s="15">
        <f>SUM(F100:F107)</f>
        <v>0</v>
      </c>
      <c r="G99" s="16">
        <f>SUM(G100:G107)</f>
        <v>51.035825500000001</v>
      </c>
      <c r="H99" s="17">
        <f>IF(G99=0,"---",IF(OR(ABS((F99-G99)/ABS(G99))&gt;2,(F99*G99)&lt;0),"---",IF(G99="0","---",((F99-G99)/ABS(G99))*100)))</f>
        <v>-100</v>
      </c>
      <c r="K99" s="22"/>
      <c r="M99" s="24"/>
      <c r="N99" s="24"/>
      <c r="O99" s="25"/>
      <c r="R99" s="22"/>
      <c r="T99" s="24"/>
      <c r="U99" s="24"/>
      <c r="V99" s="25"/>
      <c r="Y99" s="22"/>
      <c r="AA99" s="24"/>
      <c r="AB99" s="24"/>
      <c r="AC99" s="25"/>
    </row>
    <row r="100" spans="4:31" ht="15" customHeight="1">
      <c r="D100" s="22" t="str">
        <f>+IF($A$1="esp","Sentencia Mediapro","Mediapro Rulling")</f>
        <v>Mediapro Rulling</v>
      </c>
      <c r="F100" s="23"/>
      <c r="G100" s="24">
        <f>+[1]GRUPO!G101</f>
        <v>51.035825500000001</v>
      </c>
      <c r="H100" s="25">
        <f>IF(G100=0,"---",IF(OR(ABS((F100-G100)/ABS(G100))&gt;2,(F100*G100)&lt;0),"---",IF(G100="0","---",((F100-G100)/ABS(G100))*100)))</f>
        <v>-100</v>
      </c>
      <c r="K100" s="22"/>
      <c r="M100" s="24"/>
      <c r="N100" s="24"/>
      <c r="O100" s="25"/>
      <c r="R100" s="22"/>
      <c r="T100" s="24"/>
      <c r="U100" s="24"/>
      <c r="V100" s="25"/>
      <c r="Y100" s="22"/>
      <c r="AA100" s="24"/>
      <c r="AB100" s="24"/>
      <c r="AC100" s="25"/>
    </row>
    <row r="101" spans="4:31" ht="15" customHeight="1">
      <c r="D101" s="22"/>
      <c r="F101" s="24"/>
      <c r="G101" s="24"/>
      <c r="H101" s="25"/>
      <c r="K101" s="14"/>
      <c r="M101" s="16"/>
      <c r="N101" s="16"/>
      <c r="O101" s="17"/>
      <c r="R101" s="14"/>
      <c r="T101" s="16"/>
      <c r="U101" s="16"/>
      <c r="V101" s="17"/>
      <c r="Y101" s="14"/>
      <c r="AA101" s="16"/>
      <c r="AB101" s="16"/>
      <c r="AC101" s="17"/>
    </row>
    <row r="102" spans="4:31" ht="15" customHeight="1">
      <c r="D102" s="22"/>
      <c r="F102" s="24"/>
      <c r="G102" s="24"/>
      <c r="H102" s="25"/>
      <c r="K102" s="22"/>
      <c r="M102" s="24"/>
      <c r="N102" s="24"/>
      <c r="O102" s="25"/>
      <c r="P102" s="14"/>
      <c r="R102" s="22"/>
      <c r="T102" s="24"/>
      <c r="U102" s="24"/>
      <c r="V102" s="25"/>
      <c r="Y102" s="22"/>
      <c r="AA102" s="24"/>
      <c r="AB102" s="24"/>
      <c r="AC102" s="25"/>
    </row>
    <row r="103" spans="4:31" ht="15" customHeight="1">
      <c r="K103" s="22"/>
      <c r="M103" s="24"/>
      <c r="N103" s="24"/>
      <c r="O103" s="25"/>
      <c r="P103" s="14"/>
      <c r="R103" s="22"/>
      <c r="T103" s="24"/>
      <c r="U103" s="24"/>
      <c r="V103" s="25"/>
      <c r="Y103" s="22"/>
      <c r="AA103" s="24"/>
      <c r="AB103" s="24"/>
      <c r="AC103" s="25"/>
    </row>
    <row r="104" spans="4:31" ht="15" customHeight="1">
      <c r="K104" s="14"/>
      <c r="M104" s="16"/>
      <c r="N104" s="16"/>
      <c r="O104" s="17"/>
      <c r="P104" s="14"/>
      <c r="R104" s="14"/>
      <c r="T104" s="16"/>
      <c r="U104" s="16"/>
      <c r="V104" s="17"/>
      <c r="Y104" s="14"/>
      <c r="AA104" s="16"/>
      <c r="AB104" s="16"/>
      <c r="AC104" s="17"/>
    </row>
    <row r="105" spans="4:31" ht="15" customHeight="1">
      <c r="D105" s="22"/>
      <c r="F105" s="24"/>
      <c r="G105" s="24"/>
      <c r="H105" s="25"/>
    </row>
    <row r="106" spans="4:31" ht="15" customHeight="1">
      <c r="D106" s="22"/>
      <c r="F106" s="24"/>
      <c r="G106" s="24"/>
      <c r="H106" s="25"/>
    </row>
    <row r="107" spans="4:31" ht="15" customHeight="1"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</row>
    <row r="108" spans="4:31" ht="15" customHeight="1"/>
    <row r="109" spans="4:31" ht="15" customHeight="1">
      <c r="F109" s="7" t="str">
        <f>+F95</f>
        <v>JANUARY - MARCH</v>
      </c>
      <c r="G109" s="8"/>
      <c r="H109" s="8"/>
      <c r="M109" s="7" t="str">
        <f>+IF($B$3="esp","ENERO - MARZO","JANUARY - MARCH")</f>
        <v>JANUARY - MARCH</v>
      </c>
      <c r="N109" s="8"/>
      <c r="O109" s="8"/>
    </row>
    <row r="110" spans="4:31" ht="4.5" customHeight="1"/>
    <row r="111" spans="4:31" ht="15" customHeight="1">
      <c r="D111" s="9" t="str">
        <f>+IF($B$3="esp","Millones de €","€ Millions")</f>
        <v>€ Millions</v>
      </c>
      <c r="F111" s="10">
        <v>2020</v>
      </c>
      <c r="G111" s="10">
        <v>2019</v>
      </c>
      <c r="H111" s="10" t="str">
        <f>+IF($B$3="esp","Var.%","% Chg.")</f>
        <v>% Chg.</v>
      </c>
      <c r="K111" s="9" t="str">
        <f>+IF($B$3="esp","Millones de €","€ Millions")</f>
        <v>€ Millions</v>
      </c>
      <c r="M111" s="10">
        <v>2020</v>
      </c>
      <c r="N111" s="10">
        <v>2019</v>
      </c>
      <c r="O111" s="10" t="str">
        <f>+IF($B$3="esp","Var.%","% Chg.")</f>
        <v>% Chg.</v>
      </c>
    </row>
    <row r="112" spans="4:31" ht="15" customHeight="1">
      <c r="D112" s="11" t="str">
        <f>+IF($B$3="esp","Ingresos de Explotación","Operating Revenues")</f>
        <v>Operating Revenues</v>
      </c>
      <c r="F112" s="13"/>
      <c r="G112" s="13"/>
      <c r="H112" s="13"/>
      <c r="K112" s="11" t="str">
        <f>+IF($B$3="esp","Ingresos de Explotación","Operating Revenues")</f>
        <v>Operating Revenues</v>
      </c>
      <c r="M112" s="13"/>
      <c r="N112" s="13"/>
      <c r="O112" s="13"/>
    </row>
    <row r="113" spans="4:15" ht="15" customHeight="1">
      <c r="D113" s="14" t="str">
        <f>+IF($B$3="esp","GRUPO","GROUP")</f>
        <v>GROUP</v>
      </c>
      <c r="E113" s="14"/>
      <c r="F113" s="15">
        <f>+[1]GRUPO!F121</f>
        <v>262.52598114086601</v>
      </c>
      <c r="G113" s="16">
        <f>+[1]GRUPO!G121</f>
        <v>273.02430730949203</v>
      </c>
      <c r="H113" s="17">
        <f>IF(G113=0,"---",IF(OR(ABS((F113-G113)/ABS(G113))&gt;2,(F113*G113)&lt;0),"---",IF(G113="0","---",((F113-G113)/ABS(G113))*100)))</f>
        <v>-3.8451983532460501</v>
      </c>
      <c r="K113" s="14" t="str">
        <f>+IF($B$3="esp","Total Santillana","Total Santillana")</f>
        <v>Total Santillana</v>
      </c>
      <c r="L113" s="14"/>
      <c r="M113" s="15">
        <f>+[1]SANTILLANA!F69</f>
        <v>177.987338303211</v>
      </c>
      <c r="N113" s="16">
        <f>+[1]SANTILLANA!G69</f>
        <v>168.91643426788198</v>
      </c>
      <c r="O113" s="17">
        <f>IF(N113=0,"---",IF(OR(ABS((M113-N113)/ABS(N113))&gt;2,(M113*N113)&lt;0),"---",IF(N113="0","---",((M113-N113)/ABS(N113))*100)))</f>
        <v>5.3700541777620137</v>
      </c>
    </row>
    <row r="114" spans="4:15" s="14" customFormat="1" ht="15" customHeight="1">
      <c r="D114" s="22" t="str">
        <f>+IF($B$3="esp","Educación","Education")</f>
        <v>Education</v>
      </c>
      <c r="E114" s="1"/>
      <c r="F114" s="23">
        <f>+[1]GRUPO!F122</f>
        <v>177.987338303211</v>
      </c>
      <c r="G114" s="24">
        <f>+[1]GRUPO!G122</f>
        <v>168.91643426788198</v>
      </c>
      <c r="H114" s="25">
        <f t="shared" ref="H114:H117" si="16">IF(G114=0,"---",IF(OR(ABS((F114-G114)/ABS(G114))&gt;2,(F114*G114)&lt;0),"---",IF(G114="0","---",((F114-G114)/ABS(G114))*100)))</f>
        <v>5.3700541777620137</v>
      </c>
      <c r="K114" s="22" t="str">
        <f>+IF($B$3="esp","Campaña Sur","South Campaign")</f>
        <v>South Campaign</v>
      </c>
      <c r="L114" s="1"/>
      <c r="M114" s="23">
        <f>+[1]SANTILLANA!F70</f>
        <v>162.07970087021423</v>
      </c>
      <c r="N114" s="24">
        <f>+[1]SANTILLANA!G70</f>
        <v>149.61441498457523</v>
      </c>
      <c r="O114" s="25">
        <f>IF(N114=0,"---",IF(OR(ABS((M114-N114)/ABS(N114))&gt;2,(M114*N114)&lt;0),"---",IF(N114="0","---",((M114-N114)/ABS(N114))*100)))</f>
        <v>8.3316075439148847</v>
      </c>
    </row>
    <row r="115" spans="4:15" ht="15" customHeight="1">
      <c r="D115" s="22" t="str">
        <f>+IF($B$3="esp","Radio","Radio")</f>
        <v>Radio</v>
      </c>
      <c r="F115" s="23">
        <f>+[1]GRUPO!F123</f>
        <v>47.354662346819104</v>
      </c>
      <c r="G115" s="24">
        <f>+[1]GRUPO!G123</f>
        <v>60.060861548662501</v>
      </c>
      <c r="H115" s="25">
        <f t="shared" si="16"/>
        <v>-21.155539354940124</v>
      </c>
      <c r="K115" s="32" t="str">
        <f>+IF($B$3="esp","Brasil","Brazil")</f>
        <v>Brazil</v>
      </c>
      <c r="M115" s="23">
        <f>+[1]SANTILLANA!F71</f>
        <v>68.396007831113096</v>
      </c>
      <c r="N115" s="24">
        <f>+[1]SANTILLANA!G71</f>
        <v>48.759735660890122</v>
      </c>
      <c r="O115" s="25">
        <f t="shared" ref="O115:O121" si="17">IF(N115=0,"---",IF(OR(ABS((M115-N115)/ABS(N115))&gt;2,(M115*N115)&lt;0),"---",IF(N115="0","---",((M115-N115)/ABS(N115))*100)))</f>
        <v>40.271490204105234</v>
      </c>
    </row>
    <row r="116" spans="4:15" ht="15" customHeight="1">
      <c r="D116" s="22" t="str">
        <f>+IF($B$3="esp","Prensa Total - incluye PBS y Tecnología","Press Total - includes PBS&amp;IT")</f>
        <v>Press Total - includes PBS&amp;IT</v>
      </c>
      <c r="F116" s="23">
        <f>+[1]GRUPO!F124</f>
        <v>41.695034774625796</v>
      </c>
      <c r="G116" s="24">
        <f>+[1]GRUPO!G124</f>
        <v>49.057539887605202</v>
      </c>
      <c r="H116" s="25">
        <f t="shared" si="16"/>
        <v>-15.007897113975755</v>
      </c>
      <c r="K116" s="32" t="str">
        <f>+IF($B$3="esp","Otros países","Other countries")</f>
        <v>Other countries</v>
      </c>
      <c r="M116" s="23">
        <f>+[1]SANTILLANA!F72</f>
        <v>93.683693039101129</v>
      </c>
      <c r="N116" s="24">
        <f>+[1]SANTILLANA!G72</f>
        <v>100.8546793236851</v>
      </c>
      <c r="O116" s="25">
        <f t="shared" si="17"/>
        <v>-7.1102167323037762</v>
      </c>
    </row>
    <row r="117" spans="4:15" s="14" customFormat="1" ht="15" customHeight="1">
      <c r="D117" s="22" t="str">
        <f>+IF($B$3="esp","Otros","Others")</f>
        <v>Others</v>
      </c>
      <c r="E117" s="1"/>
      <c r="F117" s="23">
        <f>+[1]GRUPO!F125</f>
        <v>-4.5110542837898961</v>
      </c>
      <c r="G117" s="24">
        <f>+[1]GRUPO!G125</f>
        <v>-5.0105283946576549</v>
      </c>
      <c r="H117" s="25">
        <f t="shared" si="16"/>
        <v>9.9684917742470027</v>
      </c>
      <c r="I117" s="1"/>
      <c r="K117" s="22" t="str">
        <f>+IF($B$3="esp","Campaña Norte","North Campaign")</f>
        <v>North Campaign</v>
      </c>
      <c r="L117" s="1"/>
      <c r="M117" s="23">
        <f>+[1]SANTILLANA!F73</f>
        <v>15.629124015967113</v>
      </c>
      <c r="N117" s="24">
        <f>+[1]SANTILLANA!G73</f>
        <v>19.072067703105972</v>
      </c>
      <c r="O117" s="25">
        <f t="shared" si="17"/>
        <v>-18.052283269622414</v>
      </c>
    </row>
    <row r="118" spans="4:15" ht="15" customHeight="1">
      <c r="D118" s="22"/>
      <c r="F118" s="24"/>
      <c r="G118" s="24"/>
      <c r="H118" s="25"/>
      <c r="K118" s="32" t="str">
        <f>+IF($B$3="esp","España","Spain")</f>
        <v>Spain</v>
      </c>
      <c r="M118" s="23">
        <f>+[1]SANTILLANA!F74</f>
        <v>1.4044494699999999</v>
      </c>
      <c r="N118" s="24">
        <f>+[1]SANTILLANA!G74</f>
        <v>2.2319317600000006</v>
      </c>
      <c r="O118" s="25">
        <f t="shared" si="17"/>
        <v>-37.074712803943456</v>
      </c>
    </row>
    <row r="119" spans="4:15" ht="15" customHeight="1">
      <c r="F119" s="7" t="str">
        <f>+F109</f>
        <v>JANUARY - MARCH</v>
      </c>
      <c r="G119" s="8"/>
      <c r="H119" s="8"/>
      <c r="K119" s="32" t="str">
        <f>+IF($B$3="esp","México","Mexico")</f>
        <v>Mexico</v>
      </c>
      <c r="M119" s="23">
        <f>+[1]SANTILLANA!F75</f>
        <v>7.4462398532175138</v>
      </c>
      <c r="N119" s="24">
        <f>+[1]SANTILLANA!G75</f>
        <v>7.0247158785440078</v>
      </c>
      <c r="O119" s="25">
        <f t="shared" si="17"/>
        <v>6.0005839661215452</v>
      </c>
    </row>
    <row r="120" spans="4:15" ht="15" customHeight="1">
      <c r="I120" s="14"/>
      <c r="K120" s="32" t="str">
        <f>+IF($B$3="esp","Otros países","Other countries")</f>
        <v>Other countries</v>
      </c>
      <c r="M120" s="23">
        <f>+[1]SANTILLANA!F76</f>
        <v>6.7784346927495998</v>
      </c>
      <c r="N120" s="24">
        <f>+[1]SANTILLANA!G76</f>
        <v>9.8154200645619625</v>
      </c>
      <c r="O120" s="25">
        <f t="shared" si="17"/>
        <v>-30.940961791102882</v>
      </c>
    </row>
    <row r="121" spans="4:15" s="14" customFormat="1" ht="17.25" customHeight="1">
      <c r="D121" s="9" t="str">
        <f>+IF($B$3="esp","Millones de €","€ Millions")</f>
        <v>€ Millions</v>
      </c>
      <c r="E121" s="1"/>
      <c r="F121" s="10">
        <v>2020</v>
      </c>
      <c r="G121" s="10">
        <v>2019</v>
      </c>
      <c r="H121" s="10" t="str">
        <f>+IF($B$3="esp","Var.%","% Chg.")</f>
        <v>% Chg.</v>
      </c>
      <c r="I121" s="1"/>
      <c r="K121" s="22" t="str">
        <f>+IF($B$3="esp","Tecnología Educativa global y Centro Corpor.","Global Educational IT &amp; HQ")</f>
        <v>Global Educational IT &amp; HQ</v>
      </c>
      <c r="L121" s="1"/>
      <c r="M121" s="23">
        <f>+[1]SANTILLANA!F77</f>
        <v>0.28233980000000009</v>
      </c>
      <c r="N121" s="24">
        <f>+[1]SANTILLANA!G77</f>
        <v>0.22888088999999998</v>
      </c>
      <c r="O121" s="25">
        <f t="shared" si="17"/>
        <v>23.356650701594226</v>
      </c>
    </row>
    <row r="122" spans="4:15" ht="15" customHeight="1">
      <c r="D122" s="11" t="str">
        <f>+IF($B$3="esp","EBITDA Comparable","Comparable EBITDA")</f>
        <v>Comparable EBITDA</v>
      </c>
      <c r="F122" s="13"/>
      <c r="G122" s="13"/>
      <c r="H122" s="13"/>
      <c r="K122" s="22"/>
      <c r="M122" s="24"/>
      <c r="N122" s="24"/>
      <c r="O122" s="25"/>
    </row>
    <row r="123" spans="4:15" ht="15" customHeight="1">
      <c r="D123" s="14" t="str">
        <f>+IF($B$3="esp","GRUPO","GROUP")</f>
        <v>GROUP</v>
      </c>
      <c r="E123" s="14"/>
      <c r="F123" s="15">
        <f>+[1]GRUPO!F133</f>
        <v>55.823113102308703</v>
      </c>
      <c r="G123" s="16">
        <f>+[1]GRUPO!G133</f>
        <v>68.7648703311351</v>
      </c>
      <c r="H123" s="17">
        <f>IF(G123=0,"---",IF(OR(ABS((F123-G123)/ABS(G123))&gt;2,(F123*G123)&lt;0),"---",IF(G123="0","---",((F123-G123)/ABS(G123))*100)))</f>
        <v>-18.820303399840306</v>
      </c>
      <c r="M123" s="7" t="str">
        <f>+IF($B$3="esp","ENERO - MARZO","JANUARY - MARCH")</f>
        <v>JANUARY - MARCH</v>
      </c>
      <c r="N123" s="8"/>
      <c r="O123" s="8"/>
    </row>
    <row r="124" spans="4:15" ht="15" customHeight="1">
      <c r="D124" s="22" t="str">
        <f>+IF($B$3="esp","Educación","Education")</f>
        <v>Education</v>
      </c>
      <c r="F124" s="23">
        <f>+[1]GRUPO!F134</f>
        <v>62.161007025081304</v>
      </c>
      <c r="G124" s="24">
        <f>+[1]GRUPO!G134</f>
        <v>66.246471194497801</v>
      </c>
      <c r="H124" s="25">
        <f t="shared" ref="H124:H127" si="18">IF(G124=0,"---",IF(OR(ABS((F124-G124)/ABS(G124))&gt;2,(F124*G124)&lt;0),"---",IF(G124="0","---",((F124-G124)/ABS(G124))*100)))</f>
        <v>-6.1670668576771241</v>
      </c>
      <c r="I124" s="14"/>
    </row>
    <row r="125" spans="4:15" ht="15" customHeight="1">
      <c r="D125" s="22" t="str">
        <f>+IF($B$3="esp","Radio","Radio")</f>
        <v>Radio</v>
      </c>
      <c r="F125" s="23">
        <f>+[1]GRUPO!F135</f>
        <v>0.67236373096305901</v>
      </c>
      <c r="G125" s="24">
        <f>+[1]GRUPO!G135</f>
        <v>8.0448780192073901</v>
      </c>
      <c r="H125" s="25">
        <f t="shared" si="18"/>
        <v>-91.642337778673948</v>
      </c>
      <c r="K125" s="9"/>
      <c r="M125" s="10">
        <v>2020</v>
      </c>
      <c r="N125" s="10">
        <v>2019</v>
      </c>
      <c r="O125" s="10" t="str">
        <f>+IF($B$3="esp","Var.%","% Chg.")</f>
        <v>% Chg.</v>
      </c>
    </row>
    <row r="126" spans="4:15" ht="15" customHeight="1">
      <c r="D126" s="22" t="str">
        <f>+IF($B$3="esp","Prensa Total - incluye PBS y Tecnología","Press Total - includes PBS&amp;IT")</f>
        <v>Press Total - includes PBS&amp;IT</v>
      </c>
      <c r="F126" s="23">
        <f>+[1]GRUPO!F136</f>
        <v>-5.9670337537353202</v>
      </c>
      <c r="G126" s="24">
        <f>+[1]GRUPO!G136</f>
        <v>-3.0717104354629701</v>
      </c>
      <c r="H126" s="25">
        <f t="shared" si="18"/>
        <v>-94.257690596280611</v>
      </c>
      <c r="K126" s="11" t="str">
        <f>+IF($B$3="esp","Ingresos de Explotación a tipo constante","Operating Revenues at constant currency")</f>
        <v>Operating Revenues at constant currency</v>
      </c>
      <c r="M126" s="13"/>
      <c r="N126" s="13"/>
      <c r="O126" s="13"/>
    </row>
    <row r="127" spans="4:15" ht="15" customHeight="1">
      <c r="D127" s="22" t="str">
        <f>+IF($B$3="esp","Otros","Others")</f>
        <v>Others</v>
      </c>
      <c r="F127" s="23">
        <f>+[1]GRUPO!F137</f>
        <v>-1.0432239000003394</v>
      </c>
      <c r="G127" s="24">
        <f>+[1]GRUPO!G137</f>
        <v>-2.4547684471071207</v>
      </c>
      <c r="H127" s="25">
        <f t="shared" si="18"/>
        <v>57.502146435450932</v>
      </c>
      <c r="K127" s="14" t="str">
        <f>+IF($B$3="esp","Total Santillana","Total Santillana")</f>
        <v>Total Santillana</v>
      </c>
      <c r="L127" s="14"/>
      <c r="M127" s="15">
        <f>+[1]SANTILLANA!F83</f>
        <v>194.46155018941741</v>
      </c>
      <c r="N127" s="16">
        <f>+[1]SANTILLANA!G83</f>
        <v>168.91643426788198</v>
      </c>
      <c r="O127" s="17">
        <f>IF(N127=0,"---",IF(OR(ABS((M127-N127)/ABS(N127))&gt;2,(M127*N127)&lt;0),"---",IF(N127="0","---",((M127-N127)/ABS(N127))*100)))</f>
        <v>15.122931070770662</v>
      </c>
    </row>
    <row r="128" spans="4:15" s="14" customFormat="1" ht="15" customHeight="1">
      <c r="I128" s="1"/>
      <c r="K128" s="22" t="str">
        <f>+IF($B$3="esp","Campaña Sur","South Campaign")</f>
        <v>South Campaign</v>
      </c>
      <c r="L128" s="1"/>
      <c r="M128" s="23">
        <f>+[1]SANTILLANA!F84</f>
        <v>178.67577988963353</v>
      </c>
      <c r="N128" s="24">
        <f>+[1]SANTILLANA!G84</f>
        <v>149.61441498457523</v>
      </c>
      <c r="O128" s="25">
        <f>IF(N128=0,"---",IF(OR(ABS((M128-N128)/ABS(N128))&gt;2,(M128*N128)&lt;0),"---",IF(N128="0","---",((M128-N128)/ABS(N128))*100)))</f>
        <v>19.424174407295201</v>
      </c>
    </row>
    <row r="129" spans="9:15" ht="15" customHeight="1">
      <c r="K129" s="32" t="str">
        <f>+IF($B$3="esp","Brasil","Brazil")</f>
        <v>Brazil</v>
      </c>
      <c r="M129" s="23">
        <f>+[1]SANTILLANA!F85</f>
        <v>75.154760515934299</v>
      </c>
      <c r="N129" s="24">
        <f>+[1]SANTILLANA!G85</f>
        <v>48.759735660890122</v>
      </c>
      <c r="O129" s="25">
        <f t="shared" ref="O129:O135" si="19">IF(N129=0,"---",IF(OR(ABS((M129-N129)/ABS(N129))&gt;2,(M129*N129)&lt;0),"---",IF(N129="0","---",((M129-N129)/ABS(N129))*100)))</f>
        <v>54.13283008467058</v>
      </c>
    </row>
    <row r="130" spans="9:15" s="14" customFormat="1" ht="15" customHeight="1">
      <c r="I130" s="1"/>
      <c r="K130" s="32" t="str">
        <f>+IF($B$3="esp","Otros países","Other countries")</f>
        <v>Other countries</v>
      </c>
      <c r="L130" s="1"/>
      <c r="M130" s="23">
        <f>+[1]SANTILLANA!F86</f>
        <v>103.52101937369923</v>
      </c>
      <c r="N130" s="24">
        <f>+[1]SANTILLANA!G86</f>
        <v>100.8546793236851</v>
      </c>
      <c r="O130" s="25">
        <f t="shared" si="19"/>
        <v>2.6437445122964705</v>
      </c>
    </row>
    <row r="131" spans="9:15" ht="15" customHeight="1">
      <c r="K131" s="22" t="str">
        <f>+IF($B$3="esp","Campaña Norte","North Campaign")</f>
        <v>North Campaign</v>
      </c>
      <c r="M131" s="23">
        <f>+[1]SANTILLANA!F87</f>
        <v>15.507256882754179</v>
      </c>
      <c r="N131" s="24">
        <f>+[1]SANTILLANA!G87</f>
        <v>19.072067703105972</v>
      </c>
      <c r="O131" s="25">
        <f t="shared" si="19"/>
        <v>-18.691265550463871</v>
      </c>
    </row>
    <row r="132" spans="9:15" ht="15" customHeight="1">
      <c r="K132" s="32" t="str">
        <f>+IF($B$3="esp","España","Spain")</f>
        <v>Spain</v>
      </c>
      <c r="M132" s="23">
        <f>+[1]SANTILLANA!F88</f>
        <v>1.4044494699999999</v>
      </c>
      <c r="N132" s="24">
        <f>+[1]SANTILLANA!G88</f>
        <v>2.2319317600000006</v>
      </c>
      <c r="O132" s="25">
        <f t="shared" si="19"/>
        <v>-37.074712803943456</v>
      </c>
    </row>
    <row r="133" spans="9:15" ht="15" customHeight="1">
      <c r="K133" s="32" t="str">
        <f>+IF($B$3="esp","México","Mexico")</f>
        <v>Mexico</v>
      </c>
      <c r="M133" s="23">
        <f>+[1]SANTILLANA!F89</f>
        <v>7.4901348939200112</v>
      </c>
      <c r="N133" s="24">
        <f>+[1]SANTILLANA!G89</f>
        <v>7.0247158785440078</v>
      </c>
      <c r="O133" s="25">
        <f t="shared" si="19"/>
        <v>6.6254496754460828</v>
      </c>
    </row>
    <row r="134" spans="9:15" s="14" customFormat="1" ht="15" customHeight="1">
      <c r="K134" s="32" t="str">
        <f>+IF($B$3="esp","Otros países","Other countries")</f>
        <v>Other countries</v>
      </c>
      <c r="L134" s="1"/>
      <c r="M134" s="23">
        <f>+[1]SANTILLANA!F90</f>
        <v>6.6126725188341684</v>
      </c>
      <c r="N134" s="24">
        <f>+[1]SANTILLANA!G90</f>
        <v>9.8154200645619625</v>
      </c>
      <c r="O134" s="25">
        <f t="shared" si="19"/>
        <v>-32.629755269375984</v>
      </c>
    </row>
    <row r="135" spans="9:15" ht="15" customHeight="1">
      <c r="K135" s="22" t="str">
        <f>+IF($B$3="esp","Tecnología Educativa global y Centro Corpor.","Global Educational IT &amp; HQ")</f>
        <v>Global Educational IT &amp; HQ</v>
      </c>
      <c r="M135" s="23">
        <f>+[1]SANTILLANA!F91</f>
        <v>0.28233980000000009</v>
      </c>
      <c r="N135" s="24">
        <f>+[1]SANTILLANA!G91</f>
        <v>0.22888088999999998</v>
      </c>
      <c r="O135" s="25">
        <f t="shared" si="19"/>
        <v>23.356650701594226</v>
      </c>
    </row>
    <row r="136" spans="9:15" ht="15" customHeight="1">
      <c r="K136" s="22"/>
      <c r="M136" s="24"/>
      <c r="N136" s="24"/>
      <c r="O136" s="25"/>
    </row>
    <row r="137" spans="9:15" ht="15" customHeight="1">
      <c r="M137" s="58"/>
    </row>
    <row r="138" spans="9:15" ht="15" customHeight="1">
      <c r="M138" s="58"/>
    </row>
    <row r="139" spans="9:15" ht="15" customHeight="1">
      <c r="M139" s="58"/>
    </row>
    <row r="140" spans="9:15" ht="15" customHeight="1">
      <c r="M140" s="7" t="str">
        <f>+IF($B$3="esp","ENERO - MARZO","JANUARY - MARCH")</f>
        <v>JANUARY - MARCH</v>
      </c>
      <c r="N140" s="8"/>
      <c r="O140" s="8"/>
    </row>
    <row r="141" spans="9:15" ht="15" customHeight="1"/>
    <row r="142" spans="9:15" ht="15" customHeight="1">
      <c r="K142" s="9"/>
      <c r="M142" s="10">
        <v>2020</v>
      </c>
      <c r="N142" s="10">
        <v>2019</v>
      </c>
      <c r="O142" s="10" t="str">
        <f>+IF($B$3="esp","Var.%","% Chg.")</f>
        <v>% Chg.</v>
      </c>
    </row>
    <row r="143" spans="9:15" ht="15" customHeight="1">
      <c r="K143" s="11" t="str">
        <f>+IF($B$3="esp","EBITDA ","EBITDA")</f>
        <v>EBITDA</v>
      </c>
      <c r="M143" s="13"/>
      <c r="N143" s="13"/>
      <c r="O143" s="13"/>
    </row>
    <row r="144" spans="9:15" ht="15" customHeight="1">
      <c r="K144" s="14" t="str">
        <f>+IF($B$3="esp","Total Santillana","Total Santillana")</f>
        <v>Total Santillana</v>
      </c>
      <c r="L144" s="14"/>
      <c r="M144" s="15">
        <f>+[1]SANTILLANA!F100</f>
        <v>62.161007025081304</v>
      </c>
      <c r="N144" s="16">
        <f>+[1]SANTILLANA!G100</f>
        <v>66.246471194497801</v>
      </c>
      <c r="O144" s="17">
        <f>IF(N144=0,"---",IF(OR(ABS((M144-N144)/ABS(N144))&gt;2,(M144*N144)&lt;0),"---",IF(N144="0","---",((M144-N144)/ABS(N144))*100)))</f>
        <v>-6.1670668576771241</v>
      </c>
    </row>
    <row r="145" spans="11:15" ht="15" customHeight="1">
      <c r="K145" s="22" t="str">
        <f>+IF($B$3="esp","Campaña Sur","South Campaign")</f>
        <v>South Campaign</v>
      </c>
      <c r="M145" s="23">
        <f>+[1]SANTILLANA!F101</f>
        <v>86.264278459855291</v>
      </c>
      <c r="N145" s="24">
        <f>+[1]SANTILLANA!G101</f>
        <v>83.467567025469506</v>
      </c>
      <c r="O145" s="25">
        <f>IF(N145=0,"---",IF(OR(ABS((M145-N145)/ABS(N145))&gt;2,(M145*N145)&lt;0),"---",IF(N145="0","---",((M145-N145)/ABS(N145))*100)))</f>
        <v>3.3506564693953385</v>
      </c>
    </row>
    <row r="146" spans="11:15" ht="15" customHeight="1">
      <c r="K146" s="32" t="str">
        <f>+IF($B$3="esp","Brasil","Brazil")</f>
        <v>Brazil</v>
      </c>
      <c r="M146" s="23">
        <f>+[1]SANTILLANA!F102</f>
        <v>31.952867292163184</v>
      </c>
      <c r="N146" s="24">
        <f>+[1]SANTILLANA!G102</f>
        <v>21.720716573829023</v>
      </c>
      <c r="O146" s="25">
        <f t="shared" ref="O146:O152" si="20">IF(N146=0,"---",IF(OR(ABS((M146-N146)/ABS(N146))&gt;2,(M146*N146)&lt;0),"---",IF(N146="0","---",((M146-N146)/ABS(N146))*100)))</f>
        <v>47.107795378457865</v>
      </c>
    </row>
    <row r="147" spans="11:15" ht="15" customHeight="1">
      <c r="K147" s="32" t="str">
        <f>+IF($B$3="esp","Otros países","Other countries")</f>
        <v>Other countries</v>
      </c>
      <c r="M147" s="23">
        <f>+[1]SANTILLANA!F103</f>
        <v>54.311411167692107</v>
      </c>
      <c r="N147" s="24">
        <f>+[1]SANTILLANA!G103</f>
        <v>61.746850451640483</v>
      </c>
      <c r="O147" s="25">
        <f t="shared" si="20"/>
        <v>-12.041811411533837</v>
      </c>
    </row>
    <row r="148" spans="11:15" ht="15" customHeight="1">
      <c r="K148" s="22" t="str">
        <f>+IF($B$3="esp","Campaña Norte","North Campaign")</f>
        <v>North Campaign</v>
      </c>
      <c r="M148" s="23">
        <f>+[1]SANTILLANA!F104</f>
        <v>-13.505369329906186</v>
      </c>
      <c r="N148" s="24">
        <f>+[1]SANTILLANA!G104</f>
        <v>-10.632998907554713</v>
      </c>
      <c r="O148" s="25">
        <f t="shared" si="20"/>
        <v>-27.013737585458252</v>
      </c>
    </row>
    <row r="149" spans="11:15" ht="15" customHeight="1">
      <c r="K149" s="32" t="str">
        <f>+IF($B$3="esp","España","Spain")</f>
        <v>Spain</v>
      </c>
      <c r="M149" s="23">
        <f>+[1]SANTILLANA!F105</f>
        <v>-9.3658372859999997</v>
      </c>
      <c r="N149" s="24">
        <f>+[1]SANTILLANA!G105</f>
        <v>-8.7364983799999969</v>
      </c>
      <c r="O149" s="25">
        <f t="shared" si="20"/>
        <v>-7.2035600377459579</v>
      </c>
    </row>
    <row r="150" spans="11:15" ht="15" customHeight="1">
      <c r="K150" s="32" t="str">
        <f>+IF($B$3="esp","México","Mexico")</f>
        <v>Mexico</v>
      </c>
      <c r="M150" s="23">
        <f>+[1]SANTILLANA!F106</f>
        <v>-3.6579748690459235</v>
      </c>
      <c r="N150" s="24">
        <f>+[1]SANTILLANA!G106</f>
        <v>-4.0147077478780009</v>
      </c>
      <c r="O150" s="25">
        <f t="shared" si="20"/>
        <v>8.8856499958342123</v>
      </c>
    </row>
    <row r="151" spans="11:15" ht="15" customHeight="1">
      <c r="K151" s="32" t="str">
        <f>+IF($B$3="esp","Otros países","Other countries")</f>
        <v>Other countries</v>
      </c>
      <c r="M151" s="23">
        <f>+[1]SANTILLANA!F107</f>
        <v>-0.48155717486026273</v>
      </c>
      <c r="N151" s="24">
        <f>+[1]SANTILLANA!G107</f>
        <v>2.1182072203232849</v>
      </c>
      <c r="O151" s="25" t="str">
        <f t="shared" si="20"/>
        <v>---</v>
      </c>
    </row>
    <row r="152" spans="11:15" ht="15" customHeight="1">
      <c r="K152" s="22" t="str">
        <f>+IF($B$3="esp","Tecnología Educativa global y Centro Corpor.","Global Educational IT &amp; HQ")</f>
        <v>Global Educational IT &amp; HQ</v>
      </c>
      <c r="M152" s="23">
        <f>+[1]SANTILLANA!F108</f>
        <v>-10.59756318145655</v>
      </c>
      <c r="N152" s="24">
        <f>+[1]SANTILLANA!G108</f>
        <v>-6.5853210899999999</v>
      </c>
      <c r="O152" s="25">
        <f t="shared" si="20"/>
        <v>-60.927053314822508</v>
      </c>
    </row>
    <row r="153" spans="11:15" ht="15" customHeight="1">
      <c r="K153" s="22"/>
      <c r="M153" s="24"/>
      <c r="N153" s="24"/>
      <c r="O153" s="25"/>
    </row>
    <row r="154" spans="11:15">
      <c r="M154" s="7" t="str">
        <f>+IF($B$3="esp","ENERO - MARZO","JANUARY - MARCH")</f>
        <v>JANUARY - MARCH</v>
      </c>
      <c r="N154" s="8"/>
      <c r="O154" s="8"/>
    </row>
    <row r="156" spans="11:15">
      <c r="K156" s="9"/>
      <c r="M156" s="10">
        <v>2020</v>
      </c>
      <c r="N156" s="10">
        <v>2019</v>
      </c>
      <c r="O156" s="10" t="str">
        <f>+IF($B$3="esp","Var.%","% Chg.")</f>
        <v>% Chg.</v>
      </c>
    </row>
    <row r="157" spans="11:15">
      <c r="K157" s="11" t="str">
        <f>+IF($B$3="esp","EBITDA a tipo constante"," EBITDA at constant currency")</f>
        <v xml:space="preserve"> EBITDA at constant currency</v>
      </c>
      <c r="M157" s="13"/>
      <c r="N157" s="13"/>
      <c r="O157" s="13"/>
    </row>
    <row r="158" spans="11:15">
      <c r="K158" s="14" t="str">
        <f>+IF($B$3="esp","Total Santillana","Total Santillana")</f>
        <v>Total Santillana</v>
      </c>
      <c r="L158" s="14"/>
      <c r="M158" s="15">
        <f>+[1]SANTILLANA!F114</f>
        <v>70.661602042642045</v>
      </c>
      <c r="N158" s="16">
        <f>+[1]SANTILLANA!G114</f>
        <v>66.246471194497801</v>
      </c>
      <c r="O158" s="17">
        <f>IF(N158=0,"---",IF(OR(ABS((M158-N158)/ABS(N158))&gt;2,(M158*N158)&lt;0),"---",IF(N158="0","---",((M158-N158)/ABS(N158))*100)))</f>
        <v>6.6647034453828384</v>
      </c>
    </row>
    <row r="159" spans="11:15">
      <c r="K159" s="22" t="str">
        <f>+IF($B$3="esp","Campaña Sur","South Campaign")</f>
        <v>South Campaign</v>
      </c>
      <c r="M159" s="23">
        <f>+[1]SANTILLANA!F115</f>
        <v>94.823744483046525</v>
      </c>
      <c r="N159" s="24">
        <f>+[1]SANTILLANA!G115</f>
        <v>83.467567025469506</v>
      </c>
      <c r="O159" s="25">
        <f>IF(N159=0,"---",IF(OR(ABS((M159-N159)/ABS(N159))&gt;2,(M159*N159)&lt;0),"---",IF(N159="0","---",((M159-N159)/ABS(N159))*100)))</f>
        <v>13.605497155693739</v>
      </c>
    </row>
    <row r="160" spans="11:15">
      <c r="K160" s="32" t="str">
        <f>+IF($B$3="esp","Brasil","Brazil")</f>
        <v>Brazil</v>
      </c>
      <c r="M160" s="23">
        <f>+[1]SANTILLANA!F116</f>
        <v>34.985959337669605</v>
      </c>
      <c r="N160" s="24">
        <f>+[1]SANTILLANA!G116</f>
        <v>21.720716573829023</v>
      </c>
      <c r="O160" s="25">
        <f t="shared" ref="O160:O166" si="21">IF(N160=0,"---",IF(OR(ABS((M160-N160)/ABS(N160))&gt;2,(M160*N160)&lt;0),"---",IF(N160="0","---",((M160-N160)/ABS(N160))*100)))</f>
        <v>61.07184686449839</v>
      </c>
    </row>
    <row r="161" spans="11:15">
      <c r="K161" s="32" t="str">
        <f>+IF($B$3="esp","Otros países","Other countries")</f>
        <v>Other countries</v>
      </c>
      <c r="M161" s="23">
        <f>+[1]SANTILLANA!F117</f>
        <v>59.83778514537692</v>
      </c>
      <c r="N161" s="24">
        <f>+[1]SANTILLANA!G117</f>
        <v>61.746850451640483</v>
      </c>
      <c r="O161" s="25">
        <f t="shared" si="21"/>
        <v>-3.0917614296112559</v>
      </c>
    </row>
    <row r="162" spans="11:15">
      <c r="K162" s="22" t="str">
        <f>+IF($B$3="esp","Campaña Norte","North Campaign")</f>
        <v>North Campaign</v>
      </c>
      <c r="M162" s="23">
        <f>+[1]SANTILLANA!F118</f>
        <v>-13.564240335536692</v>
      </c>
      <c r="N162" s="24">
        <f>+[1]SANTILLANA!G118</f>
        <v>-10.632998907554713</v>
      </c>
      <c r="O162" s="25">
        <f t="shared" si="21"/>
        <v>-27.567400819531173</v>
      </c>
    </row>
    <row r="163" spans="11:15">
      <c r="K163" s="32" t="str">
        <f>+IF($B$3="esp","España","Spain")</f>
        <v>Spain</v>
      </c>
      <c r="M163" s="23">
        <f>+[1]SANTILLANA!F119</f>
        <v>-9.3658372859999997</v>
      </c>
      <c r="N163" s="24">
        <f>+[1]SANTILLANA!G119</f>
        <v>-8.7364983799999969</v>
      </c>
      <c r="O163" s="25">
        <f t="shared" si="21"/>
        <v>-7.2035600377459579</v>
      </c>
    </row>
    <row r="164" spans="11:15">
      <c r="K164" s="32" t="str">
        <f>+IF($B$3="esp","México","Mexico")</f>
        <v>Mexico</v>
      </c>
      <c r="M164" s="23">
        <f>+[1]SANTILLANA!F120</f>
        <v>-3.7103627611371452</v>
      </c>
      <c r="N164" s="24">
        <f>+[1]SANTILLANA!G120</f>
        <v>-4.0147077478780009</v>
      </c>
      <c r="O164" s="25">
        <f t="shared" si="21"/>
        <v>7.5807507259206872</v>
      </c>
    </row>
    <row r="165" spans="11:15">
      <c r="K165" s="32" t="str">
        <f>+IF($B$3="esp","Otros países","Other countries")</f>
        <v>Other countries</v>
      </c>
      <c r="M165" s="23">
        <f>+[1]SANTILLANA!F121</f>
        <v>-0.48804028839954672</v>
      </c>
      <c r="N165" s="24">
        <f>+[1]SANTILLANA!G121</f>
        <v>2.1182072203232849</v>
      </c>
      <c r="O165" s="25" t="str">
        <f t="shared" si="21"/>
        <v>---</v>
      </c>
    </row>
    <row r="166" spans="11:15">
      <c r="K166" s="22" t="str">
        <f>+IF($B$3="esp","Tecnología Educativa global y Centro Corpor.","Global Educational IT &amp; HQ")</f>
        <v>Global Educational IT &amp; HQ</v>
      </c>
      <c r="M166" s="23">
        <f>+[1]SANTILLANA!F122</f>
        <v>-10.59756318145655</v>
      </c>
      <c r="N166" s="24">
        <f>+[1]SANTILLANA!G122</f>
        <v>-6.5853210899999999</v>
      </c>
      <c r="O166" s="25">
        <f t="shared" si="21"/>
        <v>-60.927053314822508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A4C194FF92EB4A9427E3302E434849" ma:contentTypeVersion="8" ma:contentTypeDescription="Create a new document." ma:contentTypeScope="" ma:versionID="f8d3b93ef92f95833b686d66c372573c">
  <xsd:schema xmlns:xsd="http://www.w3.org/2001/XMLSchema" xmlns:xs="http://www.w3.org/2001/XMLSchema" xmlns:p="http://schemas.microsoft.com/office/2006/metadata/properties" xmlns:ns3="2afc6c81-6d39-4605-b069-04da0f6dfef8" targetNamespace="http://schemas.microsoft.com/office/2006/metadata/properties" ma:root="true" ma:fieldsID="efa1aecd12a81d12ad112f1348187824" ns3:_="">
    <xsd:import namespace="2afc6c81-6d39-4605-b069-04da0f6dfe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c6c81-6d39-4605-b069-04da0f6dfe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ECB41E-0C24-46D4-9AFA-912EADD16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fc6c81-6d39-4605-b069-04da0f6dfe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810188-C977-4C14-9A70-93F5B3AE82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D54DEA-286E-4F3A-9786-E714982B5500}">
  <ds:schemaRefs>
    <ds:schemaRef ds:uri="http://schemas.microsoft.com/office/2006/documentManagement/types"/>
    <ds:schemaRef ds:uri="http://purl.org/dc/elements/1.1/"/>
    <ds:schemaRef ds:uri="http://www.w3.org/XML/1998/namespace"/>
    <ds:schemaRef ds:uri="2afc6c81-6d39-4605-b069-04da0f6dfef8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Guelbenzu Robles, Belen</dc:creator>
  <cp:lastModifiedBy>Guelbenzu Robles, Belen</cp:lastModifiedBy>
  <dcterms:created xsi:type="dcterms:W3CDTF">2020-05-27T09:42:24Z</dcterms:created>
  <dcterms:modified xsi:type="dcterms:W3CDTF">2020-05-27T09:42:56Z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0x0101007BA4C194FF92EB4A9427E3302E434849</vt:lpwstr>
  </property>
</Properties>
</file>