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ELACIÓN CON INVERSORES\NEW\RESULTS\2020\2Q2020\def\envio cnmv\"/>
    </mc:Choice>
  </mc:AlternateContent>
  <xr:revisionPtr revIDLastSave="0" documentId="13_ncr:1_{881F88B5-1212-487D-8F67-6E4846383AA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o Publish 2Q" sheetId="2" r:id="rId1"/>
  </sheets>
  <externalReferences>
    <externalReference r:id="rId2"/>
  </externalReferences>
  <definedNames>
    <definedName name="_xlnm.Print_Area" localSheetId="0">'To Publish 2Q'!$D$6:$H$120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66" i="2" l="1"/>
  <c r="W166" i="2" s="1"/>
  <c r="U166" i="2"/>
  <c r="R166" i="2"/>
  <c r="S166" i="2" s="1"/>
  <c r="Q166" i="2"/>
  <c r="O166" i="2"/>
  <c r="V165" i="2"/>
  <c r="U165" i="2"/>
  <c r="W165" i="2" s="1"/>
  <c r="R165" i="2"/>
  <c r="S165" i="2" s="1"/>
  <c r="Q165" i="2"/>
  <c r="O165" i="2"/>
  <c r="V164" i="2"/>
  <c r="W164" i="2" s="1"/>
  <c r="U164" i="2"/>
  <c r="R164" i="2"/>
  <c r="Q164" i="2"/>
  <c r="S164" i="2" s="1"/>
  <c r="O164" i="2"/>
  <c r="V163" i="2"/>
  <c r="U163" i="2"/>
  <c r="R163" i="2"/>
  <c r="Q163" i="2"/>
  <c r="O163" i="2"/>
  <c r="V162" i="2"/>
  <c r="U162" i="2"/>
  <c r="R162" i="2"/>
  <c r="Q162" i="2"/>
  <c r="O162" i="2"/>
  <c r="V161" i="2"/>
  <c r="W161" i="2" s="1"/>
  <c r="U161" i="2"/>
  <c r="R161" i="2"/>
  <c r="Q161" i="2"/>
  <c r="O161" i="2"/>
  <c r="V160" i="2"/>
  <c r="W160" i="2" s="1"/>
  <c r="U160" i="2"/>
  <c r="R160" i="2"/>
  <c r="Q160" i="2"/>
  <c r="S160" i="2" s="1"/>
  <c r="O160" i="2"/>
  <c r="V159" i="2"/>
  <c r="U159" i="2"/>
  <c r="W159" i="2" s="1"/>
  <c r="R159" i="2"/>
  <c r="S159" i="2" s="1"/>
  <c r="Q159" i="2"/>
  <c r="O159" i="2"/>
  <c r="V158" i="2"/>
  <c r="W158" i="2" s="1"/>
  <c r="U158" i="2"/>
  <c r="R158" i="2"/>
  <c r="Q158" i="2"/>
  <c r="O158" i="2"/>
  <c r="O157" i="2"/>
  <c r="W156" i="2"/>
  <c r="S156" i="2"/>
  <c r="W152" i="2"/>
  <c r="V152" i="2"/>
  <c r="U152" i="2"/>
  <c r="R152" i="2"/>
  <c r="Q152" i="2"/>
  <c r="S152" i="2" s="1"/>
  <c r="O152" i="2"/>
  <c r="V151" i="2"/>
  <c r="U151" i="2"/>
  <c r="R151" i="2"/>
  <c r="Q151" i="2"/>
  <c r="O151" i="2"/>
  <c r="V150" i="2"/>
  <c r="U150" i="2"/>
  <c r="R150" i="2"/>
  <c r="Q150" i="2"/>
  <c r="S150" i="2" s="1"/>
  <c r="O150" i="2"/>
  <c r="V149" i="2"/>
  <c r="U149" i="2"/>
  <c r="R149" i="2"/>
  <c r="S149" i="2" s="1"/>
  <c r="Q149" i="2"/>
  <c r="O149" i="2"/>
  <c r="V148" i="2"/>
  <c r="W148" i="2" s="1"/>
  <c r="U148" i="2"/>
  <c r="R148" i="2"/>
  <c r="S148" i="2" s="1"/>
  <c r="Q148" i="2"/>
  <c r="O148" i="2"/>
  <c r="V147" i="2"/>
  <c r="U147" i="2"/>
  <c r="W147" i="2" s="1"/>
  <c r="R147" i="2"/>
  <c r="Q147" i="2"/>
  <c r="O147" i="2"/>
  <c r="V146" i="2"/>
  <c r="W146" i="2" s="1"/>
  <c r="U146" i="2"/>
  <c r="R146" i="2"/>
  <c r="Q146" i="2"/>
  <c r="O146" i="2"/>
  <c r="V145" i="2"/>
  <c r="U145" i="2"/>
  <c r="R145" i="2"/>
  <c r="Q145" i="2"/>
  <c r="O145" i="2"/>
  <c r="W144" i="2"/>
  <c r="V144" i="2"/>
  <c r="U144" i="2"/>
  <c r="R144" i="2"/>
  <c r="Q144" i="2"/>
  <c r="S144" i="2" s="1"/>
  <c r="O144" i="2"/>
  <c r="O143" i="2"/>
  <c r="W142" i="2"/>
  <c r="S142" i="2"/>
  <c r="V135" i="2"/>
  <c r="U135" i="2"/>
  <c r="R135" i="2"/>
  <c r="Q135" i="2"/>
  <c r="O135" i="2"/>
  <c r="V134" i="2"/>
  <c r="U134" i="2"/>
  <c r="R134" i="2"/>
  <c r="Q134" i="2"/>
  <c r="O134" i="2"/>
  <c r="V133" i="2"/>
  <c r="U133" i="2"/>
  <c r="R133" i="2"/>
  <c r="Q133" i="2"/>
  <c r="O133" i="2"/>
  <c r="V132" i="2"/>
  <c r="U132" i="2"/>
  <c r="W132" i="2" s="1"/>
  <c r="R132" i="2"/>
  <c r="Q132" i="2"/>
  <c r="O132" i="2"/>
  <c r="W131" i="2"/>
  <c r="V131" i="2"/>
  <c r="U131" i="2"/>
  <c r="R131" i="2"/>
  <c r="S131" i="2" s="1"/>
  <c r="Q131" i="2"/>
  <c r="O131" i="2"/>
  <c r="V130" i="2"/>
  <c r="U130" i="2"/>
  <c r="R130" i="2"/>
  <c r="S130" i="2" s="1"/>
  <c r="Q130" i="2"/>
  <c r="O130" i="2"/>
  <c r="V129" i="2"/>
  <c r="W129" i="2" s="1"/>
  <c r="U129" i="2"/>
  <c r="R129" i="2"/>
  <c r="Q129" i="2"/>
  <c r="S129" i="2" s="1"/>
  <c r="O129" i="2"/>
  <c r="V128" i="2"/>
  <c r="U128" i="2"/>
  <c r="R128" i="2"/>
  <c r="S128" i="2" s="1"/>
  <c r="Q128" i="2"/>
  <c r="O128" i="2"/>
  <c r="V127" i="2"/>
  <c r="U127" i="2"/>
  <c r="S127" i="2"/>
  <c r="R127" i="2"/>
  <c r="Q127" i="2"/>
  <c r="O127" i="2"/>
  <c r="K127" i="2"/>
  <c r="J127" i="2"/>
  <c r="L127" i="2" s="1"/>
  <c r="G127" i="2"/>
  <c r="F127" i="2"/>
  <c r="D127" i="2"/>
  <c r="O126" i="2"/>
  <c r="K126" i="2"/>
  <c r="J126" i="2"/>
  <c r="L126" i="2" s="1"/>
  <c r="G126" i="2"/>
  <c r="F126" i="2"/>
  <c r="D126" i="2"/>
  <c r="W125" i="2"/>
  <c r="S125" i="2"/>
  <c r="K125" i="2"/>
  <c r="J125" i="2"/>
  <c r="G125" i="2"/>
  <c r="H125" i="2" s="1"/>
  <c r="F125" i="2"/>
  <c r="D125" i="2"/>
  <c r="K124" i="2"/>
  <c r="L124" i="2" s="1"/>
  <c r="J124" i="2"/>
  <c r="G124" i="2"/>
  <c r="F124" i="2"/>
  <c r="D124" i="2"/>
  <c r="K123" i="2"/>
  <c r="J123" i="2"/>
  <c r="G123" i="2"/>
  <c r="H123" i="2" s="1"/>
  <c r="F123" i="2"/>
  <c r="D123" i="2"/>
  <c r="D122" i="2"/>
  <c r="V121" i="2"/>
  <c r="W121" i="2" s="1"/>
  <c r="U121" i="2"/>
  <c r="R121" i="2"/>
  <c r="S121" i="2" s="1"/>
  <c r="Q121" i="2"/>
  <c r="O121" i="2"/>
  <c r="L121" i="2"/>
  <c r="H121" i="2"/>
  <c r="D121" i="2"/>
  <c r="V120" i="2"/>
  <c r="W120" i="2" s="1"/>
  <c r="U120" i="2"/>
  <c r="R120" i="2"/>
  <c r="Q120" i="2"/>
  <c r="O120" i="2"/>
  <c r="W119" i="2"/>
  <c r="V119" i="2"/>
  <c r="U119" i="2"/>
  <c r="R119" i="2"/>
  <c r="Q119" i="2"/>
  <c r="S119" i="2" s="1"/>
  <c r="O119" i="2"/>
  <c r="V118" i="2"/>
  <c r="U118" i="2"/>
  <c r="R118" i="2"/>
  <c r="Q118" i="2"/>
  <c r="S118" i="2" s="1"/>
  <c r="O118" i="2"/>
  <c r="V117" i="2"/>
  <c r="U117" i="2"/>
  <c r="R117" i="2"/>
  <c r="S117" i="2" s="1"/>
  <c r="Q117" i="2"/>
  <c r="O117" i="2"/>
  <c r="K117" i="2"/>
  <c r="L117" i="2" s="1"/>
  <c r="J117" i="2"/>
  <c r="G117" i="2"/>
  <c r="H117" i="2" s="1"/>
  <c r="F117" i="2"/>
  <c r="D117" i="2"/>
  <c r="V116" i="2"/>
  <c r="U116" i="2"/>
  <c r="R116" i="2"/>
  <c r="Q116" i="2"/>
  <c r="O116" i="2"/>
  <c r="K116" i="2"/>
  <c r="L116" i="2" s="1"/>
  <c r="J116" i="2"/>
  <c r="G116" i="2"/>
  <c r="F116" i="2"/>
  <c r="H116" i="2" s="1"/>
  <c r="D116" i="2"/>
  <c r="V115" i="2"/>
  <c r="U115" i="2"/>
  <c r="W115" i="2" s="1"/>
  <c r="R115" i="2"/>
  <c r="Q115" i="2"/>
  <c r="O115" i="2"/>
  <c r="K115" i="2"/>
  <c r="L115" i="2" s="1"/>
  <c r="J115" i="2"/>
  <c r="G115" i="2"/>
  <c r="F115" i="2"/>
  <c r="H115" i="2" s="1"/>
  <c r="D115" i="2"/>
  <c r="V114" i="2"/>
  <c r="W114" i="2" s="1"/>
  <c r="U114" i="2"/>
  <c r="R114" i="2"/>
  <c r="Q114" i="2"/>
  <c r="O114" i="2"/>
  <c r="K114" i="2"/>
  <c r="J114" i="2"/>
  <c r="G114" i="2"/>
  <c r="F114" i="2"/>
  <c r="H114" i="2" s="1"/>
  <c r="D114" i="2"/>
  <c r="V113" i="2"/>
  <c r="U113" i="2"/>
  <c r="W113" i="2" s="1"/>
  <c r="R113" i="2"/>
  <c r="S113" i="2" s="1"/>
  <c r="Q113" i="2"/>
  <c r="O113" i="2"/>
  <c r="K113" i="2"/>
  <c r="J113" i="2"/>
  <c r="G113" i="2"/>
  <c r="F113" i="2"/>
  <c r="D113" i="2"/>
  <c r="O112" i="2"/>
  <c r="D112" i="2"/>
  <c r="W111" i="2"/>
  <c r="S111" i="2"/>
  <c r="O111" i="2"/>
  <c r="L111" i="2"/>
  <c r="H111" i="2"/>
  <c r="D111" i="2"/>
  <c r="K100" i="2"/>
  <c r="L100" i="2" s="1"/>
  <c r="H100" i="2"/>
  <c r="G100" i="2"/>
  <c r="D100" i="2"/>
  <c r="K99" i="2"/>
  <c r="L99" i="2" s="1"/>
  <c r="J99" i="2"/>
  <c r="H99" i="2"/>
  <c r="G99" i="2"/>
  <c r="F99" i="2"/>
  <c r="D99" i="2"/>
  <c r="D98" i="2"/>
  <c r="L97" i="2"/>
  <c r="H97" i="2"/>
  <c r="D97" i="2"/>
  <c r="J95" i="2"/>
  <c r="J109" i="2" s="1"/>
  <c r="J119" i="2" s="1"/>
  <c r="O88" i="2"/>
  <c r="V87" i="2"/>
  <c r="U87" i="2"/>
  <c r="R87" i="2"/>
  <c r="Q87" i="2"/>
  <c r="S87" i="2" s="1"/>
  <c r="O87" i="2"/>
  <c r="W86" i="2"/>
  <c r="V86" i="2"/>
  <c r="U86" i="2"/>
  <c r="S86" i="2"/>
  <c r="R86" i="2"/>
  <c r="Q86" i="2"/>
  <c r="O86" i="2"/>
  <c r="V85" i="2"/>
  <c r="W85" i="2" s="1"/>
  <c r="U85" i="2"/>
  <c r="R85" i="2"/>
  <c r="Q85" i="2"/>
  <c r="O85" i="2"/>
  <c r="D85" i="2"/>
  <c r="AG84" i="2"/>
  <c r="Z84" i="2"/>
  <c r="V84" i="2"/>
  <c r="U84" i="2"/>
  <c r="W84" i="2" s="1"/>
  <c r="S84" i="2"/>
  <c r="R84" i="2"/>
  <c r="Q84" i="2"/>
  <c r="O84" i="2"/>
  <c r="K84" i="2"/>
  <c r="J84" i="2"/>
  <c r="G84" i="2"/>
  <c r="F84" i="2"/>
  <c r="D84" i="2"/>
  <c r="Z83" i="2"/>
  <c r="V83" i="2"/>
  <c r="U83" i="2"/>
  <c r="R83" i="2"/>
  <c r="S83" i="2" s="1"/>
  <c r="Q83" i="2"/>
  <c r="O83" i="2"/>
  <c r="K83" i="2"/>
  <c r="J83" i="2"/>
  <c r="L83" i="2" s="1"/>
  <c r="G83" i="2"/>
  <c r="F83" i="2"/>
  <c r="D83" i="2"/>
  <c r="AG82" i="2"/>
  <c r="AH82" i="2" s="1"/>
  <c r="AF82" i="2"/>
  <c r="AC82" i="2"/>
  <c r="AD82" i="2" s="1"/>
  <c r="AB82" i="2"/>
  <c r="Z82" i="2"/>
  <c r="V82" i="2"/>
  <c r="U82" i="2"/>
  <c r="U88" i="2" s="1"/>
  <c r="R82" i="2"/>
  <c r="Q82" i="2"/>
  <c r="O82" i="2"/>
  <c r="K82" i="2"/>
  <c r="J82" i="2"/>
  <c r="G82" i="2"/>
  <c r="F82" i="2"/>
  <c r="H82" i="2" s="1"/>
  <c r="D82" i="2"/>
  <c r="AG81" i="2"/>
  <c r="AF81" i="2"/>
  <c r="AC81" i="2"/>
  <c r="AB81" i="2"/>
  <c r="Z81" i="2"/>
  <c r="O81" i="2"/>
  <c r="K81" i="2"/>
  <c r="J81" i="2"/>
  <c r="L81" i="2" s="1"/>
  <c r="G81" i="2"/>
  <c r="F81" i="2"/>
  <c r="D81" i="2"/>
  <c r="AG80" i="2"/>
  <c r="AF80" i="2"/>
  <c r="AC80" i="2"/>
  <c r="AB80" i="2"/>
  <c r="AB83" i="2" s="1"/>
  <c r="Z80" i="2"/>
  <c r="V80" i="2"/>
  <c r="W80" i="2" s="1"/>
  <c r="U80" i="2"/>
  <c r="R80" i="2"/>
  <c r="Q80" i="2"/>
  <c r="O80" i="2"/>
  <c r="K80" i="2"/>
  <c r="J80" i="2"/>
  <c r="J85" i="2" s="1"/>
  <c r="G80" i="2"/>
  <c r="F80" i="2"/>
  <c r="D80" i="2"/>
  <c r="V79" i="2"/>
  <c r="W79" i="2" s="1"/>
  <c r="U79" i="2"/>
  <c r="R79" i="2"/>
  <c r="Q79" i="2"/>
  <c r="O79" i="2"/>
  <c r="D79" i="2"/>
  <c r="Z78" i="2"/>
  <c r="V78" i="2"/>
  <c r="U78" i="2"/>
  <c r="R78" i="2"/>
  <c r="Q78" i="2"/>
  <c r="S78" i="2" s="1"/>
  <c r="O78" i="2"/>
  <c r="K78" i="2"/>
  <c r="L78" i="2" s="1"/>
  <c r="J78" i="2"/>
  <c r="G78" i="2"/>
  <c r="F78" i="2"/>
  <c r="D78" i="2"/>
  <c r="Z77" i="2"/>
  <c r="V77" i="2"/>
  <c r="W77" i="2" s="1"/>
  <c r="U77" i="2"/>
  <c r="R77" i="2"/>
  <c r="Q77" i="2"/>
  <c r="O77" i="2"/>
  <c r="K77" i="2"/>
  <c r="L77" i="2" s="1"/>
  <c r="J77" i="2"/>
  <c r="G77" i="2"/>
  <c r="H77" i="2" s="1"/>
  <c r="F77" i="2"/>
  <c r="D77" i="2"/>
  <c r="AG76" i="2"/>
  <c r="AF76" i="2"/>
  <c r="AH76" i="2" s="1"/>
  <c r="AC76" i="2"/>
  <c r="AD76" i="2" s="1"/>
  <c r="AB76" i="2"/>
  <c r="Z76" i="2"/>
  <c r="V76" i="2"/>
  <c r="U76" i="2"/>
  <c r="W76" i="2" s="1"/>
  <c r="R76" i="2"/>
  <c r="S76" i="2" s="1"/>
  <c r="Q76" i="2"/>
  <c r="O76" i="2"/>
  <c r="K76" i="2"/>
  <c r="J76" i="2"/>
  <c r="G76" i="2"/>
  <c r="F76" i="2"/>
  <c r="D76" i="2"/>
  <c r="AG75" i="2"/>
  <c r="AF75" i="2"/>
  <c r="AC75" i="2"/>
  <c r="AB75" i="2"/>
  <c r="AD75" i="2" s="1"/>
  <c r="Z75" i="2"/>
  <c r="V75" i="2"/>
  <c r="U75" i="2"/>
  <c r="U81" i="2" s="1"/>
  <c r="R75" i="2"/>
  <c r="Q75" i="2"/>
  <c r="O75" i="2"/>
  <c r="K75" i="2"/>
  <c r="J75" i="2"/>
  <c r="G75" i="2"/>
  <c r="F75" i="2"/>
  <c r="D75" i="2"/>
  <c r="AG74" i="2"/>
  <c r="AG78" i="2" s="1"/>
  <c r="AF74" i="2"/>
  <c r="AC74" i="2"/>
  <c r="AB74" i="2"/>
  <c r="Z74" i="2"/>
  <c r="V74" i="2"/>
  <c r="W74" i="2" s="1"/>
  <c r="U74" i="2"/>
  <c r="R74" i="2"/>
  <c r="S74" i="2" s="1"/>
  <c r="Q74" i="2"/>
  <c r="O74" i="2"/>
  <c r="K74" i="2"/>
  <c r="J74" i="2"/>
  <c r="G74" i="2"/>
  <c r="H74" i="2" s="1"/>
  <c r="F74" i="2"/>
  <c r="D74" i="2"/>
  <c r="W73" i="2"/>
  <c r="V73" i="2"/>
  <c r="U73" i="2"/>
  <c r="R73" i="2"/>
  <c r="Q73" i="2"/>
  <c r="S73" i="2" s="1"/>
  <c r="O73" i="2"/>
  <c r="K73" i="2"/>
  <c r="J73" i="2"/>
  <c r="G73" i="2"/>
  <c r="F73" i="2"/>
  <c r="D73" i="2"/>
  <c r="Z72" i="2"/>
  <c r="V72" i="2"/>
  <c r="U72" i="2"/>
  <c r="W72" i="2" s="1"/>
  <c r="R72" i="2"/>
  <c r="Q72" i="2"/>
  <c r="O72" i="2"/>
  <c r="K72" i="2"/>
  <c r="J72" i="2"/>
  <c r="G72" i="2"/>
  <c r="H72" i="2" s="1"/>
  <c r="F72" i="2"/>
  <c r="D72" i="2"/>
  <c r="AG71" i="2"/>
  <c r="AH71" i="2" s="1"/>
  <c r="AF71" i="2"/>
  <c r="AC71" i="2"/>
  <c r="AB71" i="2"/>
  <c r="Z71" i="2"/>
  <c r="V71" i="2"/>
  <c r="W71" i="2" s="1"/>
  <c r="U71" i="2"/>
  <c r="R71" i="2"/>
  <c r="S71" i="2" s="1"/>
  <c r="Q71" i="2"/>
  <c r="O71" i="2"/>
  <c r="K71" i="2"/>
  <c r="J71" i="2"/>
  <c r="L71" i="2" s="1"/>
  <c r="G71" i="2"/>
  <c r="H71" i="2" s="1"/>
  <c r="F71" i="2"/>
  <c r="D71" i="2"/>
  <c r="AG70" i="2"/>
  <c r="AF70" i="2"/>
  <c r="AH70" i="2" s="1"/>
  <c r="AC70" i="2"/>
  <c r="AB70" i="2"/>
  <c r="Z70" i="2"/>
  <c r="V70" i="2"/>
  <c r="W70" i="2" s="1"/>
  <c r="U70" i="2"/>
  <c r="R70" i="2"/>
  <c r="Q70" i="2"/>
  <c r="O70" i="2"/>
  <c r="K70" i="2"/>
  <c r="J70" i="2"/>
  <c r="G70" i="2"/>
  <c r="F70" i="2"/>
  <c r="H70" i="2" s="1"/>
  <c r="D70" i="2"/>
  <c r="AG69" i="2"/>
  <c r="AF69" i="2"/>
  <c r="AD69" i="2"/>
  <c r="AC69" i="2"/>
  <c r="AB69" i="2"/>
  <c r="Z69" i="2"/>
  <c r="V69" i="2"/>
  <c r="U69" i="2"/>
  <c r="R69" i="2"/>
  <c r="Q69" i="2"/>
  <c r="O69" i="2"/>
  <c r="L69" i="2"/>
  <c r="K69" i="2"/>
  <c r="J69" i="2"/>
  <c r="G69" i="2"/>
  <c r="F69" i="2"/>
  <c r="D69" i="2"/>
  <c r="Z68" i="2"/>
  <c r="O68" i="2"/>
  <c r="D68" i="2"/>
  <c r="AH67" i="2"/>
  <c r="AD67" i="2"/>
  <c r="W67" i="2"/>
  <c r="S67" i="2"/>
  <c r="L67" i="2"/>
  <c r="H67" i="2"/>
  <c r="D65" i="2"/>
  <c r="L64" i="2"/>
  <c r="K64" i="2"/>
  <c r="J64" i="2"/>
  <c r="H64" i="2"/>
  <c r="G64" i="2"/>
  <c r="F64" i="2"/>
  <c r="D64" i="2"/>
  <c r="K63" i="2"/>
  <c r="L63" i="2" s="1"/>
  <c r="J63" i="2"/>
  <c r="G63" i="2"/>
  <c r="F63" i="2"/>
  <c r="D63" i="2"/>
  <c r="K62" i="2"/>
  <c r="J62" i="2"/>
  <c r="G62" i="2"/>
  <c r="F62" i="2"/>
  <c r="H62" i="2" s="1"/>
  <c r="D62" i="2"/>
  <c r="K61" i="2"/>
  <c r="J61" i="2"/>
  <c r="L61" i="2" s="1"/>
  <c r="H61" i="2"/>
  <c r="G61" i="2"/>
  <c r="F61" i="2"/>
  <c r="D61" i="2"/>
  <c r="K60" i="2"/>
  <c r="L60" i="2" s="1"/>
  <c r="J60" i="2"/>
  <c r="G60" i="2"/>
  <c r="F60" i="2"/>
  <c r="D60" i="2"/>
  <c r="D59" i="2"/>
  <c r="K58" i="2"/>
  <c r="J58" i="2"/>
  <c r="G58" i="2"/>
  <c r="F58" i="2"/>
  <c r="D58" i="2"/>
  <c r="K57" i="2"/>
  <c r="L57" i="2" s="1"/>
  <c r="J57" i="2"/>
  <c r="G57" i="2"/>
  <c r="F57" i="2"/>
  <c r="D57" i="2"/>
  <c r="K56" i="2"/>
  <c r="J56" i="2"/>
  <c r="G56" i="2"/>
  <c r="F56" i="2"/>
  <c r="H56" i="2" s="1"/>
  <c r="D56" i="2"/>
  <c r="K55" i="2"/>
  <c r="J55" i="2"/>
  <c r="L55" i="2" s="1"/>
  <c r="H55" i="2"/>
  <c r="G55" i="2"/>
  <c r="F55" i="2"/>
  <c r="D55" i="2"/>
  <c r="K54" i="2"/>
  <c r="J54" i="2"/>
  <c r="G54" i="2"/>
  <c r="F54" i="2"/>
  <c r="F59" i="2" s="1"/>
  <c r="D54" i="2"/>
  <c r="K53" i="2"/>
  <c r="J53" i="2"/>
  <c r="G53" i="2"/>
  <c r="F53" i="2"/>
  <c r="D53" i="2"/>
  <c r="K52" i="2"/>
  <c r="J52" i="2"/>
  <c r="G52" i="2"/>
  <c r="F52" i="2"/>
  <c r="D52" i="2"/>
  <c r="K51" i="2"/>
  <c r="J51" i="2"/>
  <c r="L51" i="2" s="1"/>
  <c r="G51" i="2"/>
  <c r="F51" i="2"/>
  <c r="D51" i="2"/>
  <c r="L50" i="2"/>
  <c r="K50" i="2"/>
  <c r="J50" i="2"/>
  <c r="G50" i="2"/>
  <c r="F50" i="2"/>
  <c r="H50" i="2" s="1"/>
  <c r="D50" i="2"/>
  <c r="K49" i="2"/>
  <c r="J49" i="2"/>
  <c r="G49" i="2"/>
  <c r="H49" i="2" s="1"/>
  <c r="F49" i="2"/>
  <c r="D49" i="2"/>
  <c r="D48" i="2"/>
  <c r="L47" i="2"/>
  <c r="H47" i="2"/>
  <c r="D47" i="2"/>
  <c r="K45" i="2"/>
  <c r="J45" i="2"/>
  <c r="G45" i="2"/>
  <c r="F45" i="2"/>
  <c r="D45" i="2"/>
  <c r="J44" i="2"/>
  <c r="F44" i="2"/>
  <c r="D44" i="2"/>
  <c r="J43" i="2"/>
  <c r="F43" i="2"/>
  <c r="D43" i="2"/>
  <c r="K42" i="2"/>
  <c r="G42" i="2"/>
  <c r="D42" i="2"/>
  <c r="K41" i="2"/>
  <c r="J41" i="2"/>
  <c r="G41" i="2"/>
  <c r="F41" i="2"/>
  <c r="D41" i="2"/>
  <c r="K40" i="2"/>
  <c r="J40" i="2"/>
  <c r="G40" i="2"/>
  <c r="H40" i="2" s="1"/>
  <c r="F40" i="2"/>
  <c r="D40" i="2"/>
  <c r="K39" i="2"/>
  <c r="J39" i="2"/>
  <c r="G39" i="2"/>
  <c r="F39" i="2"/>
  <c r="D39" i="2"/>
  <c r="L38" i="2"/>
  <c r="K38" i="2"/>
  <c r="J38" i="2"/>
  <c r="G38" i="2"/>
  <c r="H38" i="2" s="1"/>
  <c r="F38" i="2"/>
  <c r="D38" i="2"/>
  <c r="K37" i="2"/>
  <c r="J37" i="2"/>
  <c r="G37" i="2"/>
  <c r="F37" i="2"/>
  <c r="D37" i="2"/>
  <c r="L36" i="2"/>
  <c r="K36" i="2"/>
  <c r="J36" i="2"/>
  <c r="G36" i="2"/>
  <c r="F36" i="2"/>
  <c r="D36" i="2"/>
  <c r="O35" i="2"/>
  <c r="K35" i="2"/>
  <c r="L35" i="2" s="1"/>
  <c r="J35" i="2"/>
  <c r="G35" i="2"/>
  <c r="F35" i="2"/>
  <c r="D35" i="2"/>
  <c r="AR34" i="2"/>
  <c r="AQ34" i="2"/>
  <c r="AN34" i="2"/>
  <c r="AM34" i="2"/>
  <c r="AO34" i="2" s="1"/>
  <c r="AK34" i="2"/>
  <c r="V34" i="2"/>
  <c r="U34" i="2"/>
  <c r="R34" i="2"/>
  <c r="S34" i="2" s="1"/>
  <c r="Q34" i="2"/>
  <c r="O34" i="2"/>
  <c r="K34" i="2"/>
  <c r="L34" i="2" s="1"/>
  <c r="J34" i="2"/>
  <c r="G34" i="2"/>
  <c r="H34" i="2" s="1"/>
  <c r="F34" i="2"/>
  <c r="D34" i="2"/>
  <c r="AK33" i="2"/>
  <c r="V33" i="2"/>
  <c r="W33" i="2" s="1"/>
  <c r="U33" i="2"/>
  <c r="R33" i="2"/>
  <c r="S33" i="2" s="1"/>
  <c r="Q33" i="2"/>
  <c r="O33" i="2"/>
  <c r="K33" i="2"/>
  <c r="L33" i="2" s="1"/>
  <c r="J33" i="2"/>
  <c r="G33" i="2"/>
  <c r="F33" i="2"/>
  <c r="D33" i="2"/>
  <c r="AR32" i="2"/>
  <c r="AQ32" i="2"/>
  <c r="AN32" i="2"/>
  <c r="AM32" i="2"/>
  <c r="AK32" i="2"/>
  <c r="V32" i="2"/>
  <c r="U32" i="2"/>
  <c r="W32" i="2" s="1"/>
  <c r="S32" i="2"/>
  <c r="R32" i="2"/>
  <c r="Q32" i="2"/>
  <c r="O32" i="2"/>
  <c r="K32" i="2"/>
  <c r="L32" i="2" s="1"/>
  <c r="J32" i="2"/>
  <c r="G32" i="2"/>
  <c r="F32" i="2"/>
  <c r="D32" i="2"/>
  <c r="AR31" i="2"/>
  <c r="AS31" i="2" s="1"/>
  <c r="AQ31" i="2"/>
  <c r="AN31" i="2"/>
  <c r="AM31" i="2"/>
  <c r="AK31" i="2"/>
  <c r="V31" i="2"/>
  <c r="W31" i="2" s="1"/>
  <c r="U31" i="2"/>
  <c r="R31" i="2"/>
  <c r="Q31" i="2"/>
  <c r="O31" i="2"/>
  <c r="D31" i="2"/>
  <c r="AR30" i="2"/>
  <c r="AS30" i="2" s="1"/>
  <c r="AQ30" i="2"/>
  <c r="AN30" i="2"/>
  <c r="AM30" i="2"/>
  <c r="AK30" i="2"/>
  <c r="V30" i="2"/>
  <c r="U30" i="2"/>
  <c r="R30" i="2"/>
  <c r="S30" i="2" s="1"/>
  <c r="Q30" i="2"/>
  <c r="O30" i="2"/>
  <c r="K30" i="2"/>
  <c r="L30" i="2" s="1"/>
  <c r="J30" i="2"/>
  <c r="H30" i="2"/>
  <c r="G30" i="2"/>
  <c r="F30" i="2"/>
  <c r="D30" i="2"/>
  <c r="AK29" i="2"/>
  <c r="V29" i="2"/>
  <c r="U29" i="2"/>
  <c r="R29" i="2"/>
  <c r="Q29" i="2"/>
  <c r="S29" i="2" s="1"/>
  <c r="O29" i="2"/>
  <c r="K29" i="2"/>
  <c r="J29" i="2"/>
  <c r="G29" i="2"/>
  <c r="F29" i="2"/>
  <c r="D29" i="2"/>
  <c r="AR28" i="2"/>
  <c r="AQ28" i="2"/>
  <c r="AQ29" i="2" s="1"/>
  <c r="AN28" i="2"/>
  <c r="AM28" i="2"/>
  <c r="AK28" i="2"/>
  <c r="V28" i="2"/>
  <c r="Q28" i="2"/>
  <c r="O28" i="2"/>
  <c r="K28" i="2"/>
  <c r="J28" i="2"/>
  <c r="G28" i="2"/>
  <c r="F28" i="2"/>
  <c r="H28" i="2" s="1"/>
  <c r="D28" i="2"/>
  <c r="AR27" i="2"/>
  <c r="AQ27" i="2"/>
  <c r="AS27" i="2" s="1"/>
  <c r="AN27" i="2"/>
  <c r="AM27" i="2"/>
  <c r="AK27" i="2"/>
  <c r="Z27" i="2"/>
  <c r="V27" i="2"/>
  <c r="U27" i="2"/>
  <c r="W27" i="2" s="1"/>
  <c r="R27" i="2"/>
  <c r="S27" i="2" s="1"/>
  <c r="Q27" i="2"/>
  <c r="O27" i="2"/>
  <c r="K27" i="2"/>
  <c r="L27" i="2" s="1"/>
  <c r="J27" i="2"/>
  <c r="G27" i="2"/>
  <c r="F27" i="2"/>
  <c r="D27" i="2"/>
  <c r="AS26" i="2"/>
  <c r="AR26" i="2"/>
  <c r="AQ26" i="2"/>
  <c r="AN26" i="2"/>
  <c r="AM26" i="2"/>
  <c r="AK26" i="2"/>
  <c r="Z26" i="2"/>
  <c r="V26" i="2"/>
  <c r="U26" i="2"/>
  <c r="R26" i="2"/>
  <c r="Q26" i="2"/>
  <c r="O26" i="2"/>
  <c r="K26" i="2"/>
  <c r="K31" i="2" s="1"/>
  <c r="J26" i="2"/>
  <c r="G26" i="2"/>
  <c r="G31" i="2" s="1"/>
  <c r="F26" i="2"/>
  <c r="D26" i="2"/>
  <c r="AS25" i="2"/>
  <c r="AR25" i="2"/>
  <c r="AQ25" i="2"/>
  <c r="AN25" i="2"/>
  <c r="AM25" i="2"/>
  <c r="AK25" i="2"/>
  <c r="AG25" i="2"/>
  <c r="AF25" i="2"/>
  <c r="AC25" i="2"/>
  <c r="AB25" i="2"/>
  <c r="Z25" i="2"/>
  <c r="V25" i="2"/>
  <c r="U25" i="2"/>
  <c r="R25" i="2"/>
  <c r="Q25" i="2"/>
  <c r="O25" i="2"/>
  <c r="J25" i="2"/>
  <c r="D25" i="2"/>
  <c r="AR24" i="2"/>
  <c r="AQ24" i="2"/>
  <c r="AS24" i="2" s="1"/>
  <c r="AN24" i="2"/>
  <c r="AM24" i="2"/>
  <c r="AK24" i="2"/>
  <c r="AG24" i="2"/>
  <c r="AF24" i="2"/>
  <c r="AC24" i="2"/>
  <c r="AB24" i="2"/>
  <c r="AD24" i="2" s="1"/>
  <c r="Z24" i="2"/>
  <c r="V24" i="2"/>
  <c r="U24" i="2"/>
  <c r="R24" i="2"/>
  <c r="Q24" i="2"/>
  <c r="O24" i="2"/>
  <c r="K24" i="2"/>
  <c r="J24" i="2"/>
  <c r="G24" i="2"/>
  <c r="F24" i="2"/>
  <c r="H24" i="2" s="1"/>
  <c r="D24" i="2"/>
  <c r="AR23" i="2"/>
  <c r="AQ23" i="2"/>
  <c r="AS23" i="2" s="1"/>
  <c r="AO23" i="2"/>
  <c r="AN23" i="2"/>
  <c r="AM23" i="2"/>
  <c r="AK23" i="2"/>
  <c r="AG23" i="2"/>
  <c r="AF23" i="2"/>
  <c r="AC23" i="2"/>
  <c r="AB23" i="2"/>
  <c r="Z23" i="2"/>
  <c r="V23" i="2"/>
  <c r="U23" i="2"/>
  <c r="W23" i="2" s="1"/>
  <c r="R23" i="2"/>
  <c r="Q23" i="2"/>
  <c r="O23" i="2"/>
  <c r="K23" i="2"/>
  <c r="J23" i="2"/>
  <c r="G23" i="2"/>
  <c r="F23" i="2"/>
  <c r="D23" i="2"/>
  <c r="AR22" i="2"/>
  <c r="AQ22" i="2"/>
  <c r="AS22" i="2" s="1"/>
  <c r="AN22" i="2"/>
  <c r="AO22" i="2" s="1"/>
  <c r="AM22" i="2"/>
  <c r="AK22" i="2"/>
  <c r="Z22" i="2"/>
  <c r="V22" i="2"/>
  <c r="U22" i="2"/>
  <c r="R22" i="2"/>
  <c r="Q22" i="2"/>
  <c r="O22" i="2"/>
  <c r="K22" i="2"/>
  <c r="J22" i="2"/>
  <c r="G22" i="2"/>
  <c r="H22" i="2" s="1"/>
  <c r="F22" i="2"/>
  <c r="D22" i="2"/>
  <c r="AR21" i="2"/>
  <c r="AS21" i="2" s="1"/>
  <c r="AQ21" i="2"/>
  <c r="AN21" i="2"/>
  <c r="AM21" i="2"/>
  <c r="AK21" i="2"/>
  <c r="AG21" i="2"/>
  <c r="Z21" i="2"/>
  <c r="V21" i="2"/>
  <c r="U21" i="2"/>
  <c r="R21" i="2"/>
  <c r="S21" i="2" s="1"/>
  <c r="Q21" i="2"/>
  <c r="O21" i="2"/>
  <c r="L21" i="2"/>
  <c r="K21" i="2"/>
  <c r="J21" i="2"/>
  <c r="G21" i="2"/>
  <c r="F21" i="2"/>
  <c r="D21" i="2"/>
  <c r="AR20" i="2"/>
  <c r="AQ20" i="2"/>
  <c r="AN20" i="2"/>
  <c r="AM20" i="2"/>
  <c r="AK20" i="2"/>
  <c r="AG20" i="2"/>
  <c r="AF20" i="2"/>
  <c r="AC20" i="2"/>
  <c r="AB20" i="2"/>
  <c r="AD20" i="2" s="1"/>
  <c r="Z20" i="2"/>
  <c r="V20" i="2"/>
  <c r="W20" i="2" s="1"/>
  <c r="U20" i="2"/>
  <c r="R20" i="2"/>
  <c r="Q20" i="2"/>
  <c r="O20" i="2"/>
  <c r="K20" i="2"/>
  <c r="J20" i="2"/>
  <c r="G20" i="2"/>
  <c r="F20" i="2"/>
  <c r="D20" i="2"/>
  <c r="AR19" i="2"/>
  <c r="AQ19" i="2"/>
  <c r="AS19" i="2" s="1"/>
  <c r="AN19" i="2"/>
  <c r="AM19" i="2"/>
  <c r="AG19" i="2"/>
  <c r="AF19" i="2"/>
  <c r="AH19" i="2" s="1"/>
  <c r="AC19" i="2"/>
  <c r="AB19" i="2"/>
  <c r="Z19" i="2"/>
  <c r="V19" i="2"/>
  <c r="W19" i="2" s="1"/>
  <c r="U19" i="2"/>
  <c r="R19" i="2"/>
  <c r="Q19" i="2"/>
  <c r="S19" i="2" s="1"/>
  <c r="O19" i="2"/>
  <c r="K19" i="2"/>
  <c r="J19" i="2"/>
  <c r="G19" i="2"/>
  <c r="F19" i="2"/>
  <c r="D19" i="2"/>
  <c r="AR18" i="2"/>
  <c r="AQ18" i="2"/>
  <c r="AN18" i="2"/>
  <c r="AM18" i="2"/>
  <c r="AO18" i="2" s="1"/>
  <c r="AG18" i="2"/>
  <c r="AF18" i="2"/>
  <c r="AC18" i="2"/>
  <c r="AB18" i="2"/>
  <c r="Z18" i="2"/>
  <c r="V18" i="2"/>
  <c r="U18" i="2"/>
  <c r="R18" i="2"/>
  <c r="Q18" i="2"/>
  <c r="O18" i="2"/>
  <c r="K18" i="2"/>
  <c r="L18" i="2" s="1"/>
  <c r="J18" i="2"/>
  <c r="G18" i="2"/>
  <c r="F18" i="2"/>
  <c r="H18" i="2" s="1"/>
  <c r="D18" i="2"/>
  <c r="AR17" i="2"/>
  <c r="AQ17" i="2"/>
  <c r="AS17" i="2" s="1"/>
  <c r="AN17" i="2"/>
  <c r="AM17" i="2"/>
  <c r="AK17" i="2"/>
  <c r="Z17" i="2"/>
  <c r="W17" i="2"/>
  <c r="V17" i="2"/>
  <c r="U17" i="2"/>
  <c r="R17" i="2"/>
  <c r="Q17" i="2"/>
  <c r="O17" i="2"/>
  <c r="K17" i="2"/>
  <c r="L17" i="2" s="1"/>
  <c r="J17" i="2"/>
  <c r="G17" i="2"/>
  <c r="F17" i="2"/>
  <c r="D17" i="2"/>
  <c r="AR16" i="2"/>
  <c r="AQ16" i="2"/>
  <c r="AS16" i="2" s="1"/>
  <c r="AO16" i="2"/>
  <c r="AN16" i="2"/>
  <c r="AM16" i="2"/>
  <c r="AK16" i="2"/>
  <c r="AC16" i="2"/>
  <c r="AD16" i="2" s="1"/>
  <c r="Z16" i="2"/>
  <c r="V16" i="2"/>
  <c r="U16" i="2"/>
  <c r="W16" i="2" s="1"/>
  <c r="R16" i="2"/>
  <c r="S16" i="2" s="1"/>
  <c r="Q16" i="2"/>
  <c r="O16" i="2"/>
  <c r="K16" i="2"/>
  <c r="J16" i="2"/>
  <c r="G16" i="2"/>
  <c r="F16" i="2"/>
  <c r="H16" i="2" s="1"/>
  <c r="D16" i="2"/>
  <c r="AR15" i="2"/>
  <c r="AQ15" i="2"/>
  <c r="AN15" i="2"/>
  <c r="AO15" i="2" s="1"/>
  <c r="AM15" i="2"/>
  <c r="AC15" i="2"/>
  <c r="Z15" i="2"/>
  <c r="V15" i="2"/>
  <c r="U15" i="2"/>
  <c r="R15" i="2"/>
  <c r="Q15" i="2"/>
  <c r="O15" i="2"/>
  <c r="K15" i="2"/>
  <c r="J15" i="2"/>
  <c r="L15" i="2" s="1"/>
  <c r="G15" i="2"/>
  <c r="H15" i="2" s="1"/>
  <c r="F15" i="2"/>
  <c r="D15" i="2"/>
  <c r="AR14" i="2"/>
  <c r="AQ14" i="2"/>
  <c r="AN14" i="2"/>
  <c r="AM14" i="2"/>
  <c r="Z14" i="2"/>
  <c r="V14" i="2"/>
  <c r="U14" i="2"/>
  <c r="W14" i="2" s="1"/>
  <c r="R14" i="2"/>
  <c r="S14" i="2" s="1"/>
  <c r="Q14" i="2"/>
  <c r="O14" i="2"/>
  <c r="K14" i="2"/>
  <c r="L14" i="2" s="1"/>
  <c r="J14" i="2"/>
  <c r="G14" i="2"/>
  <c r="F14" i="2"/>
  <c r="H14" i="2" s="1"/>
  <c r="D14" i="2"/>
  <c r="AR13" i="2"/>
  <c r="AQ13" i="2"/>
  <c r="AN13" i="2"/>
  <c r="AM13" i="2"/>
  <c r="AK13" i="2"/>
  <c r="Z13" i="2"/>
  <c r="V13" i="2"/>
  <c r="U13" i="2"/>
  <c r="W13" i="2" s="1"/>
  <c r="R13" i="2"/>
  <c r="Q13" i="2"/>
  <c r="O13" i="2"/>
  <c r="K13" i="2"/>
  <c r="L13" i="2" s="1"/>
  <c r="J13" i="2"/>
  <c r="G13" i="2"/>
  <c r="H13" i="2" s="1"/>
  <c r="F13" i="2"/>
  <c r="D13" i="2"/>
  <c r="AR12" i="2"/>
  <c r="AQ12" i="2"/>
  <c r="AN12" i="2"/>
  <c r="AM12" i="2"/>
  <c r="AK12" i="2"/>
  <c r="AG12" i="2"/>
  <c r="AF12" i="2"/>
  <c r="AC12" i="2"/>
  <c r="AD12" i="2" s="1"/>
  <c r="AB12" i="2"/>
  <c r="AB16" i="2" s="1"/>
  <c r="Z12" i="2"/>
  <c r="V12" i="2"/>
  <c r="U12" i="2"/>
  <c r="W12" i="2" s="1"/>
  <c r="R12" i="2"/>
  <c r="Q12" i="2"/>
  <c r="O12" i="2"/>
  <c r="K12" i="2"/>
  <c r="L12" i="2" s="1"/>
  <c r="J12" i="2"/>
  <c r="G12" i="2"/>
  <c r="F12" i="2"/>
  <c r="H12" i="2" s="1"/>
  <c r="D12" i="2"/>
  <c r="AS11" i="2"/>
  <c r="AR11" i="2"/>
  <c r="AQ11" i="2"/>
  <c r="AN11" i="2"/>
  <c r="AO11" i="2" s="1"/>
  <c r="AM11" i="2"/>
  <c r="AK11" i="2"/>
  <c r="AG11" i="2"/>
  <c r="AF11" i="2"/>
  <c r="AC11" i="2"/>
  <c r="AB11" i="2"/>
  <c r="Z11" i="2"/>
  <c r="W11" i="2"/>
  <c r="V11" i="2"/>
  <c r="U11" i="2"/>
  <c r="R11" i="2"/>
  <c r="Q11" i="2"/>
  <c r="S11" i="2" s="1"/>
  <c r="O11" i="2"/>
  <c r="K11" i="2"/>
  <c r="J11" i="2"/>
  <c r="G11" i="2"/>
  <c r="F11" i="2"/>
  <c r="H11" i="2" s="1"/>
  <c r="D11" i="2"/>
  <c r="AR10" i="2"/>
  <c r="AS10" i="2" s="1"/>
  <c r="AQ10" i="2"/>
  <c r="AN10" i="2"/>
  <c r="AM10" i="2"/>
  <c r="AK10" i="2"/>
  <c r="AG10" i="2"/>
  <c r="AF10" i="2"/>
  <c r="AC10" i="2"/>
  <c r="AD10" i="2" s="1"/>
  <c r="AB10" i="2"/>
  <c r="Z10" i="2"/>
  <c r="V10" i="2"/>
  <c r="U10" i="2"/>
  <c r="R10" i="2"/>
  <c r="Q10" i="2"/>
  <c r="O10" i="2"/>
  <c r="L10" i="2"/>
  <c r="K10" i="2"/>
  <c r="J10" i="2"/>
  <c r="G10" i="2"/>
  <c r="F10" i="2"/>
  <c r="D10" i="2"/>
  <c r="AK9" i="2"/>
  <c r="Z9" i="2"/>
  <c r="O9" i="2"/>
  <c r="D9" i="2"/>
  <c r="AS8" i="2"/>
  <c r="AO8" i="2"/>
  <c r="AK8" i="2"/>
  <c r="AH8" i="2"/>
  <c r="AD8" i="2"/>
  <c r="Z8" i="2"/>
  <c r="W8" i="2"/>
  <c r="S8" i="2"/>
  <c r="O8" i="2"/>
  <c r="L8" i="2"/>
  <c r="H8" i="2"/>
  <c r="D8" i="2"/>
  <c r="AQ6" i="2"/>
  <c r="AM6" i="2"/>
  <c r="AF6" i="2"/>
  <c r="AB6" i="2"/>
  <c r="U6" i="2"/>
  <c r="U109" i="2" s="1"/>
  <c r="U123" i="2" s="1"/>
  <c r="U140" i="2" s="1"/>
  <c r="U154" i="2" s="1"/>
  <c r="Q6" i="2"/>
  <c r="Q109" i="2" s="1"/>
  <c r="Q123" i="2" s="1"/>
  <c r="Q140" i="2" s="1"/>
  <c r="Q154" i="2" s="1"/>
  <c r="J6" i="2"/>
  <c r="F6" i="2"/>
  <c r="F95" i="2" s="1"/>
  <c r="F109" i="2" s="1"/>
  <c r="F119" i="2" s="1"/>
  <c r="AK3" i="2"/>
  <c r="Z3" i="2"/>
  <c r="O3" i="2"/>
  <c r="D3" i="2"/>
  <c r="V35" i="2" l="1"/>
  <c r="W29" i="2"/>
  <c r="AF16" i="2"/>
  <c r="AF13" i="2"/>
  <c r="AH24" i="2"/>
  <c r="AG26" i="2"/>
  <c r="AD81" i="2"/>
  <c r="G25" i="2"/>
  <c r="H20" i="2"/>
  <c r="AS20" i="2"/>
  <c r="L58" i="2"/>
  <c r="L84" i="2"/>
  <c r="AB84" i="2"/>
  <c r="L113" i="2"/>
  <c r="W162" i="2"/>
  <c r="S31" i="2"/>
  <c r="AF72" i="2"/>
  <c r="AN29" i="2"/>
  <c r="W25" i="2"/>
  <c r="AS12" i="2"/>
  <c r="S79" i="2"/>
  <c r="L11" i="2"/>
  <c r="L22" i="2"/>
  <c r="AQ33" i="2"/>
  <c r="W34" i="2"/>
  <c r="L72" i="2"/>
  <c r="AC84" i="2"/>
  <c r="AC83" i="2"/>
  <c r="AD80" i="2"/>
  <c r="W82" i="2"/>
  <c r="W83" i="2"/>
  <c r="W150" i="2"/>
  <c r="S13" i="2"/>
  <c r="AB21" i="2"/>
  <c r="S25" i="2"/>
  <c r="AO30" i="2"/>
  <c r="H52" i="2"/>
  <c r="J65" i="2"/>
  <c r="L70" i="2"/>
  <c r="AG77" i="2"/>
  <c r="H83" i="2"/>
  <c r="S133" i="2"/>
  <c r="S158" i="2"/>
  <c r="S161" i="2"/>
  <c r="AO17" i="2"/>
  <c r="S72" i="2"/>
  <c r="L82" i="2"/>
  <c r="S145" i="2"/>
  <c r="W15" i="2"/>
  <c r="S17" i="2"/>
  <c r="AH18" i="2"/>
  <c r="S20" i="2"/>
  <c r="AO25" i="2"/>
  <c r="H32" i="2"/>
  <c r="L49" i="2"/>
  <c r="L52" i="2"/>
  <c r="H57" i="2"/>
  <c r="R88" i="2"/>
  <c r="S69" i="2"/>
  <c r="AG72" i="2"/>
  <c r="AH72" i="2" s="1"/>
  <c r="L73" i="2"/>
  <c r="AH74" i="2"/>
  <c r="R81" i="2"/>
  <c r="H78" i="2"/>
  <c r="S85" i="2"/>
  <c r="S114" i="2"/>
  <c r="W130" i="2"/>
  <c r="W133" i="2"/>
  <c r="S135" i="2"/>
  <c r="H19" i="2"/>
  <c r="S22" i="2"/>
  <c r="J31" i="2"/>
  <c r="H29" i="2"/>
  <c r="L45" i="2"/>
  <c r="Q81" i="2"/>
  <c r="W149" i="2"/>
  <c r="S18" i="2"/>
  <c r="L19" i="2"/>
  <c r="H23" i="2"/>
  <c r="L24" i="2"/>
  <c r="L26" i="2"/>
  <c r="H27" i="2"/>
  <c r="L29" i="2"/>
  <c r="S75" i="2"/>
  <c r="H81" i="2"/>
  <c r="Q88" i="2"/>
  <c r="H113" i="2"/>
  <c r="W117" i="2"/>
  <c r="S120" i="2"/>
  <c r="W127" i="2"/>
  <c r="W151" i="2"/>
  <c r="AF14" i="2"/>
  <c r="S12" i="2"/>
  <c r="AH12" i="2"/>
  <c r="AO13" i="2"/>
  <c r="AO14" i="2"/>
  <c r="L16" i="2"/>
  <c r="AG16" i="2"/>
  <c r="H17" i="2"/>
  <c r="W18" i="2"/>
  <c r="AD19" i="2"/>
  <c r="H21" i="2"/>
  <c r="W21" i="2"/>
  <c r="L23" i="2"/>
  <c r="S24" i="2"/>
  <c r="AD25" i="2"/>
  <c r="AS32" i="2"/>
  <c r="AS34" i="2"/>
  <c r="H37" i="2"/>
  <c r="H51" i="2"/>
  <c r="J59" i="2"/>
  <c r="F79" i="2"/>
  <c r="S70" i="2"/>
  <c r="H75" i="2"/>
  <c r="V81" i="2"/>
  <c r="H76" i="2"/>
  <c r="S82" i="2"/>
  <c r="S115" i="2"/>
  <c r="L123" i="2"/>
  <c r="H126" i="2"/>
  <c r="S132" i="2"/>
  <c r="W145" i="2"/>
  <c r="S151" i="2"/>
  <c r="W10" i="2"/>
  <c r="AS13" i="2"/>
  <c r="AS14" i="2"/>
  <c r="S15" i="2"/>
  <c r="AS15" i="2"/>
  <c r="AS18" i="2"/>
  <c r="AH23" i="2"/>
  <c r="W24" i="2"/>
  <c r="S26" i="2"/>
  <c r="L28" i="2"/>
  <c r="AS28" i="2"/>
  <c r="H36" i="2"/>
  <c r="L37" i="2"/>
  <c r="H53" i="2"/>
  <c r="F65" i="2"/>
  <c r="W69" i="2"/>
  <c r="L75" i="2"/>
  <c r="L76" i="2"/>
  <c r="S80" i="2"/>
  <c r="AG83" i="2"/>
  <c r="S116" i="2"/>
  <c r="W135" i="2"/>
  <c r="S163" i="2"/>
  <c r="AO20" i="2"/>
  <c r="S23" i="2"/>
  <c r="AO24" i="2"/>
  <c r="W26" i="2"/>
  <c r="AO27" i="2"/>
  <c r="W30" i="2"/>
  <c r="H33" i="2"/>
  <c r="H35" i="2"/>
  <c r="H39" i="2"/>
  <c r="L40" i="2"/>
  <c r="H45" i="2"/>
  <c r="L53" i="2"/>
  <c r="H58" i="2"/>
  <c r="H60" i="2"/>
  <c r="H63" i="2"/>
  <c r="H73" i="2"/>
  <c r="AH80" i="2"/>
  <c r="H84" i="2"/>
  <c r="W116" i="2"/>
  <c r="H124" i="2"/>
  <c r="L125" i="2"/>
  <c r="W128" i="2"/>
  <c r="W134" i="2"/>
  <c r="S146" i="2"/>
  <c r="S162" i="2"/>
  <c r="W163" i="2"/>
  <c r="L54" i="2"/>
  <c r="K59" i="2"/>
  <c r="K79" i="2" s="1"/>
  <c r="S10" i="2"/>
  <c r="R28" i="2"/>
  <c r="AH10" i="2"/>
  <c r="AG14" i="2"/>
  <c r="AG22" i="2"/>
  <c r="AG27" i="2"/>
  <c r="AH11" i="2"/>
  <c r="AG15" i="2"/>
  <c r="F25" i="2"/>
  <c r="H10" i="2"/>
  <c r="AG13" i="2"/>
  <c r="K25" i="2"/>
  <c r="L20" i="2"/>
  <c r="U28" i="2"/>
  <c r="W22" i="2"/>
  <c r="AF83" i="2"/>
  <c r="AH81" i="2"/>
  <c r="G65" i="2"/>
  <c r="G85" i="2" s="1"/>
  <c r="AB72" i="2"/>
  <c r="AD70" i="2"/>
  <c r="AC26" i="2"/>
  <c r="AC27" i="2"/>
  <c r="AD23" i="2"/>
  <c r="W118" i="2"/>
  <c r="AF15" i="2"/>
  <c r="AC21" i="2"/>
  <c r="AD21" i="2" s="1"/>
  <c r="AC22" i="2"/>
  <c r="AD18" i="2"/>
  <c r="AM33" i="2"/>
  <c r="AO32" i="2"/>
  <c r="AF84" i="2"/>
  <c r="AH69" i="2"/>
  <c r="F31" i="2"/>
  <c r="H26" i="2"/>
  <c r="AH16" i="2"/>
  <c r="AR29" i="2"/>
  <c r="Q35" i="2"/>
  <c r="L74" i="2"/>
  <c r="J79" i="2"/>
  <c r="W87" i="2"/>
  <c r="AH25" i="2"/>
  <c r="G59" i="2"/>
  <c r="G79" i="2" s="1"/>
  <c r="H54" i="2"/>
  <c r="AB78" i="2"/>
  <c r="AB77" i="2"/>
  <c r="S77" i="2"/>
  <c r="S147" i="2"/>
  <c r="AB27" i="2"/>
  <c r="AB22" i="2"/>
  <c r="AB14" i="2"/>
  <c r="AB13" i="2"/>
  <c r="AH20" i="2"/>
  <c r="AB26" i="2"/>
  <c r="AD74" i="2"/>
  <c r="AC78" i="2"/>
  <c r="AC77" i="2"/>
  <c r="W75" i="2"/>
  <c r="L114" i="2"/>
  <c r="AC14" i="2"/>
  <c r="AB15" i="2"/>
  <c r="AD15" i="2" s="1"/>
  <c r="AD11" i="2"/>
  <c r="AM29" i="2"/>
  <c r="AO28" i="2"/>
  <c r="AO31" i="2"/>
  <c r="U35" i="2"/>
  <c r="L39" i="2"/>
  <c r="L62" i="2"/>
  <c r="K65" i="2"/>
  <c r="K85" i="2" s="1"/>
  <c r="AC72" i="2"/>
  <c r="AH75" i="2"/>
  <c r="L80" i="2"/>
  <c r="H127" i="2"/>
  <c r="S134" i="2"/>
  <c r="AO21" i="2"/>
  <c r="AO26" i="2"/>
  <c r="R35" i="2"/>
  <c r="AN33" i="2"/>
  <c r="H69" i="2"/>
  <c r="AD71" i="2"/>
  <c r="AF77" i="2"/>
  <c r="AF78" i="2"/>
  <c r="AD83" i="2"/>
  <c r="AF21" i="2"/>
  <c r="AH21" i="2" s="1"/>
  <c r="AF26" i="2"/>
  <c r="AH26" i="2" s="1"/>
  <c r="AR33" i="2"/>
  <c r="F85" i="2"/>
  <c r="H80" i="2"/>
  <c r="AO10" i="2"/>
  <c r="AO12" i="2"/>
  <c r="AO19" i="2"/>
  <c r="L56" i="2"/>
  <c r="W78" i="2"/>
  <c r="V88" i="2"/>
  <c r="AC13" i="2"/>
  <c r="AD13" i="2" s="1"/>
  <c r="AF22" i="2"/>
  <c r="AF27" i="2"/>
  <c r="AH77" i="2" l="1"/>
  <c r="AF17" i="2"/>
  <c r="AH83" i="2"/>
  <c r="AH13" i="2"/>
  <c r="AD77" i="2"/>
  <c r="AB17" i="2"/>
  <c r="AD72" i="2"/>
  <c r="AC17" i="2"/>
  <c r="AD14" i="2"/>
  <c r="AH15" i="2"/>
  <c r="AG17" i="2"/>
  <c r="AH17" i="2" s="1"/>
  <c r="AH14" i="2"/>
  <c r="AD26" i="2"/>
  <c r="AD17" i="2" l="1"/>
</calcChain>
</file>

<file path=xl/sharedStrings.xml><?xml version="1.0" encoding="utf-8"?>
<sst xmlns="http://schemas.openxmlformats.org/spreadsheetml/2006/main" count="10" uniqueCount="7">
  <si>
    <t>idioma</t>
  </si>
  <si>
    <t>ENG</t>
  </si>
  <si>
    <t>ESP</t>
  </si>
  <si>
    <t>Español</t>
  </si>
  <si>
    <t>English</t>
  </si>
  <si>
    <t>El País</t>
  </si>
  <si>
    <t>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</si>
</sst>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"/>
    <numFmt numFmtId="166" formatCode="#,##0.0;\(#,##0.0\)"/>
    <numFmt numFmtId="167" formatCode="0.0;\ \(0.0\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Neo Sans Pro"/>
      <family val="2"/>
    </font>
    <font>
      <b/>
      <sz val="12"/>
      <color rgb="FF0070C0"/>
      <name val="Neo Sans Pro"/>
      <family val="2"/>
    </font>
    <font>
      <b/>
      <sz val="10"/>
      <color theme="0"/>
      <name val="Neo Sans Pro"/>
      <family val="2"/>
    </font>
    <font>
      <sz val="8"/>
      <color theme="1"/>
      <name val="Neo Sans Pro"/>
      <family val="2"/>
    </font>
    <font>
      <b/>
      <sz val="10"/>
      <color rgb="FF00B0F0"/>
      <name val="Neo Sans Pro"/>
      <family val="2"/>
    </font>
    <font>
      <b/>
      <sz val="10"/>
      <color theme="1"/>
      <name val="Neo Sans Pro"/>
      <family val="2"/>
    </font>
    <font>
      <i/>
      <sz val="10"/>
      <color theme="1"/>
      <name val="Neo Sans Pro"/>
      <family val="2"/>
    </font>
    <font>
      <b/>
      <sz val="10"/>
      <color rgb="FFFF0000"/>
      <name val="Neo Sans Pro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00076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-0.499984740745262"/>
      </top>
      <bottom style="thin">
        <color indexed="64"/>
      </bottom>
      <diagonal/>
    </border>
    <border>
      <left/>
      <right/>
      <top style="thick">
        <color theme="0"/>
      </top>
      <bottom/>
      <diagonal/>
    </border>
    <border>
      <left/>
      <right/>
      <top style="thick">
        <color theme="0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3" fillId="2" borderId="2" xfId="0" applyFont="1" applyFill="1" applyBorder="1"/>
    <xf numFmtId="0" fontId="2" fillId="2" borderId="2" xfId="0" applyFont="1" applyFill="1" applyBorder="1"/>
    <xf numFmtId="164" fontId="2" fillId="2" borderId="2" xfId="1" applyNumberFormat="1" applyFont="1" applyFill="1" applyBorder="1"/>
    <xf numFmtId="0" fontId="2" fillId="2" borderId="0" xfId="0" quotePrefix="1" applyFont="1" applyFill="1"/>
    <xf numFmtId="0" fontId="4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5" fillId="2" borderId="0" xfId="0" applyFont="1" applyFill="1"/>
    <xf numFmtId="0" fontId="4" fillId="3" borderId="0" xfId="0" applyFont="1" applyFill="1" applyAlignment="1">
      <alignment horizontal="right" indent="1"/>
    </xf>
    <xf numFmtId="0" fontId="6" fillId="2" borderId="3" xfId="0" applyFont="1" applyFill="1" applyBorder="1"/>
    <xf numFmtId="165" fontId="2" fillId="2" borderId="3" xfId="0" applyNumberFormat="1" applyFont="1" applyFill="1" applyBorder="1"/>
    <xf numFmtId="0" fontId="2" fillId="2" borderId="3" xfId="0" applyFont="1" applyFill="1" applyBorder="1"/>
    <xf numFmtId="0" fontId="7" fillId="2" borderId="0" xfId="0" applyFont="1" applyFill="1"/>
    <xf numFmtId="166" fontId="7" fillId="4" borderId="0" xfId="0" applyNumberFormat="1" applyFont="1" applyFill="1" applyAlignment="1">
      <alignment horizontal="right" indent="1"/>
    </xf>
    <xf numFmtId="166" fontId="7" fillId="2" borderId="0" xfId="0" applyNumberFormat="1" applyFont="1" applyFill="1" applyAlignment="1">
      <alignment horizontal="right" indent="1"/>
    </xf>
    <xf numFmtId="167" fontId="7" fillId="2" borderId="0" xfId="0" applyNumberFormat="1" applyFont="1" applyFill="1" applyAlignment="1">
      <alignment horizontal="right" indent="1"/>
    </xf>
    <xf numFmtId="0" fontId="7" fillId="2" borderId="4" xfId="0" applyFont="1" applyFill="1" applyBorder="1"/>
    <xf numFmtId="166" fontId="7" fillId="4" borderId="5" xfId="0" applyNumberFormat="1" applyFont="1" applyFill="1" applyBorder="1" applyAlignment="1">
      <alignment horizontal="right" indent="1"/>
    </xf>
    <xf numFmtId="166" fontId="7" fillId="2" borderId="5" xfId="0" applyNumberFormat="1" applyFont="1" applyFill="1" applyBorder="1" applyAlignment="1">
      <alignment horizontal="right" indent="1"/>
    </xf>
    <xf numFmtId="167" fontId="7" fillId="2" borderId="5" xfId="0" applyNumberFormat="1" applyFont="1" applyFill="1" applyBorder="1" applyAlignment="1">
      <alignment horizontal="right" indent="1"/>
    </xf>
    <xf numFmtId="0" fontId="2" fillId="2" borderId="0" xfId="0" applyFont="1" applyFill="1" applyAlignment="1">
      <alignment horizontal="left" indent="2"/>
    </xf>
    <xf numFmtId="166" fontId="2" fillId="4" borderId="0" xfId="0" applyNumberFormat="1" applyFont="1" applyFill="1" applyAlignment="1">
      <alignment horizontal="right" indent="1"/>
    </xf>
    <xf numFmtId="166" fontId="2" fillId="2" borderId="0" xfId="0" applyNumberFormat="1" applyFont="1" applyFill="1" applyAlignment="1">
      <alignment horizontal="right" indent="1"/>
    </xf>
    <xf numFmtId="167" fontId="2" fillId="2" borderId="0" xfId="0" applyNumberFormat="1" applyFont="1" applyFill="1" applyAlignment="1">
      <alignment horizontal="right" indent="1"/>
    </xf>
    <xf numFmtId="0" fontId="7" fillId="2" borderId="0" xfId="0" applyFont="1" applyFill="1" applyAlignment="1">
      <alignment horizontal="left" indent="1"/>
    </xf>
    <xf numFmtId="0" fontId="8" fillId="2" borderId="0" xfId="0" applyFont="1" applyFill="1" applyAlignment="1">
      <alignment horizontal="left" indent="2"/>
    </xf>
    <xf numFmtId="0" fontId="8" fillId="2" borderId="0" xfId="0" applyFont="1" applyFill="1"/>
    <xf numFmtId="166" fontId="8" fillId="4" borderId="0" xfId="0" applyNumberFormat="1" applyFont="1" applyFill="1" applyAlignment="1">
      <alignment horizontal="right" indent="1"/>
    </xf>
    <xf numFmtId="166" fontId="8" fillId="2" borderId="0" xfId="0" applyNumberFormat="1" applyFont="1" applyFill="1" applyAlignment="1">
      <alignment horizontal="right" indent="1"/>
    </xf>
    <xf numFmtId="167" fontId="8" fillId="2" borderId="0" xfId="0" applyNumberFormat="1" applyFont="1" applyFill="1" applyAlignment="1">
      <alignment horizontal="right" indent="1"/>
    </xf>
    <xf numFmtId="0" fontId="2" fillId="2" borderId="0" xfId="0" applyFont="1" applyFill="1" applyAlignment="1">
      <alignment horizontal="left" indent="4"/>
    </xf>
    <xf numFmtId="0" fontId="8" fillId="2" borderId="0" xfId="0" applyFont="1" applyFill="1" applyAlignment="1">
      <alignment horizontal="left" indent="4"/>
    </xf>
    <xf numFmtId="167" fontId="7" fillId="2" borderId="6" xfId="0" applyNumberFormat="1" applyFont="1" applyFill="1" applyBorder="1" applyAlignment="1">
      <alignment horizontal="right" indent="1"/>
    </xf>
    <xf numFmtId="0" fontId="8" fillId="2" borderId="0" xfId="0" applyFont="1" applyFill="1" applyAlignment="1">
      <alignment horizontal="left" indent="6"/>
    </xf>
    <xf numFmtId="164" fontId="8" fillId="4" borderId="0" xfId="0" applyNumberFormat="1" applyFont="1" applyFill="1" applyAlignment="1">
      <alignment horizontal="right" indent="1"/>
    </xf>
    <xf numFmtId="164" fontId="8" fillId="2" borderId="0" xfId="0" applyNumberFormat="1" applyFont="1" applyFill="1" applyAlignment="1">
      <alignment horizontal="right" indent="1"/>
    </xf>
    <xf numFmtId="0" fontId="8" fillId="2" borderId="0" xfId="0" applyFont="1" applyFill="1" applyAlignment="1">
      <alignment horizontal="right" indent="1"/>
    </xf>
    <xf numFmtId="0" fontId="7" fillId="2" borderId="7" xfId="0" applyFont="1" applyFill="1" applyBorder="1"/>
    <xf numFmtId="0" fontId="7" fillId="2" borderId="6" xfId="0" applyFont="1" applyFill="1" applyBorder="1"/>
    <xf numFmtId="166" fontId="7" fillId="4" borderId="4" xfId="0" applyNumberFormat="1" applyFont="1" applyFill="1" applyBorder="1" applyAlignment="1">
      <alignment horizontal="right" indent="1"/>
    </xf>
    <xf numFmtId="166" fontId="7" fillId="2" borderId="7" xfId="0" applyNumberFormat="1" applyFont="1" applyFill="1" applyBorder="1" applyAlignment="1">
      <alignment horizontal="right" indent="1"/>
    </xf>
    <xf numFmtId="167" fontId="7" fillId="2" borderId="7" xfId="0" applyNumberFormat="1" applyFont="1" applyFill="1" applyBorder="1" applyAlignment="1">
      <alignment horizontal="right" indent="1"/>
    </xf>
    <xf numFmtId="0" fontId="7" fillId="2" borderId="4" xfId="0" applyFont="1" applyFill="1" applyBorder="1" applyAlignment="1">
      <alignment horizontal="left" indent="1"/>
    </xf>
    <xf numFmtId="0" fontId="8" fillId="2" borderId="0" xfId="0" applyFont="1" applyFill="1" applyBorder="1" applyAlignment="1">
      <alignment horizontal="left" indent="2"/>
    </xf>
    <xf numFmtId="164" fontId="8" fillId="4" borderId="0" xfId="0" applyNumberFormat="1" applyFont="1" applyFill="1" applyBorder="1" applyAlignment="1">
      <alignment horizontal="right" indent="1"/>
    </xf>
    <xf numFmtId="164" fontId="8" fillId="2" borderId="0" xfId="0" applyNumberFormat="1" applyFont="1" applyFill="1" applyBorder="1" applyAlignment="1">
      <alignment horizontal="right" indent="1"/>
    </xf>
    <xf numFmtId="0" fontId="8" fillId="2" borderId="0" xfId="0" applyFont="1" applyFill="1" applyBorder="1" applyAlignment="1">
      <alignment horizontal="right" indent="1"/>
    </xf>
    <xf numFmtId="0" fontId="5" fillId="2" borderId="0" xfId="0" applyFont="1" applyFill="1" applyBorder="1"/>
    <xf numFmtId="0" fontId="2" fillId="2" borderId="0" xfId="0" applyFont="1" applyFill="1" applyBorder="1"/>
    <xf numFmtId="0" fontId="4" fillId="2" borderId="0" xfId="0" applyFont="1" applyFill="1" applyBorder="1" applyAlignment="1">
      <alignment horizontal="right" indent="1"/>
    </xf>
    <xf numFmtId="0" fontId="6" fillId="2" borderId="0" xfId="0" applyFont="1" applyFill="1" applyBorder="1"/>
    <xf numFmtId="0" fontId="8" fillId="2" borderId="3" xfId="0" applyFont="1" applyFill="1" applyBorder="1" applyAlignment="1">
      <alignment horizontal="left" indent="2"/>
    </xf>
    <xf numFmtId="164" fontId="8" fillId="4" borderId="3" xfId="0" applyNumberFormat="1" applyFont="1" applyFill="1" applyBorder="1" applyAlignment="1">
      <alignment horizontal="right" indent="1"/>
    </xf>
    <xf numFmtId="164" fontId="8" fillId="2" borderId="3" xfId="0" applyNumberFormat="1" applyFont="1" applyFill="1" applyBorder="1" applyAlignment="1">
      <alignment horizontal="right" indent="1"/>
    </xf>
    <xf numFmtId="0" fontId="8" fillId="2" borderId="3" xfId="0" applyFont="1" applyFill="1" applyBorder="1" applyAlignment="1">
      <alignment horizontal="right" indent="1"/>
    </xf>
    <xf numFmtId="0" fontId="7" fillId="2" borderId="0" xfId="0" applyFont="1" applyFill="1" applyBorder="1"/>
    <xf numFmtId="166" fontId="7" fillId="2" borderId="0" xfId="0" applyNumberFormat="1" applyFont="1" applyFill="1" applyBorder="1" applyAlignment="1">
      <alignment horizontal="right" indent="1"/>
    </xf>
    <xf numFmtId="167" fontId="7" fillId="2" borderId="0" xfId="0" applyNumberFormat="1" applyFont="1" applyFill="1" applyBorder="1" applyAlignment="1">
      <alignment horizontal="right" indent="1"/>
    </xf>
    <xf numFmtId="0" fontId="2" fillId="2" borderId="0" xfId="0" applyFont="1" applyFill="1" applyBorder="1" applyAlignment="1">
      <alignment horizontal="left" indent="2"/>
    </xf>
    <xf numFmtId="166" fontId="2" fillId="2" borderId="0" xfId="0" applyNumberFormat="1" applyFont="1" applyFill="1" applyBorder="1" applyAlignment="1">
      <alignment horizontal="right" indent="1"/>
    </xf>
    <xf numFmtId="167" fontId="2" fillId="2" borderId="0" xfId="0" applyNumberFormat="1" applyFont="1" applyFill="1" applyBorder="1" applyAlignment="1">
      <alignment horizontal="right" indent="1"/>
    </xf>
    <xf numFmtId="165" fontId="2" fillId="2" borderId="0" xfId="0" applyNumberFormat="1" applyFont="1" applyFill="1"/>
    <xf numFmtId="0" fontId="8" fillId="2" borderId="0" xfId="0" applyFont="1" applyFill="1" applyBorder="1"/>
    <xf numFmtId="0" fontId="7" fillId="2" borderId="0" xfId="0" applyFont="1" applyFill="1" applyBorder="1" applyAlignment="1">
      <alignment horizontal="left" indent="1"/>
    </xf>
    <xf numFmtId="0" fontId="8" fillId="2" borderId="0" xfId="0" applyFont="1" applyFill="1" applyBorder="1" applyAlignment="1">
      <alignment horizontal="left" indent="4"/>
    </xf>
    <xf numFmtId="166" fontId="8" fillId="2" borderId="0" xfId="0" applyNumberFormat="1" applyFont="1" applyFill="1" applyBorder="1" applyAlignment="1">
      <alignment horizontal="right" indent="1"/>
    </xf>
    <xf numFmtId="167" fontId="8" fillId="2" borderId="0" xfId="0" applyNumberFormat="1" applyFont="1" applyFill="1" applyBorder="1" applyAlignment="1">
      <alignment horizontal="right" indent="1"/>
    </xf>
    <xf numFmtId="0" fontId="2" fillId="2" borderId="0" xfId="0" applyFont="1" applyFill="1" applyBorder="1" applyAlignment="1">
      <alignment horizontal="left" indent="4"/>
    </xf>
    <xf numFmtId="166" fontId="7" fillId="2" borderId="6" xfId="0" applyNumberFormat="1" applyFont="1" applyFill="1" applyBorder="1" applyAlignment="1">
      <alignment horizontal="right" indent="1"/>
    </xf>
    <xf numFmtId="0" fontId="7" fillId="2" borderId="3" xfId="0" applyFont="1" applyFill="1" applyBorder="1"/>
    <xf numFmtId="166" fontId="7" fillId="4" borderId="3" xfId="0" applyNumberFormat="1" applyFont="1" applyFill="1" applyBorder="1" applyAlignment="1">
      <alignment horizontal="right" indent="1"/>
    </xf>
    <xf numFmtId="166" fontId="7" fillId="2" borderId="3" xfId="0" applyNumberFormat="1" applyFont="1" applyFill="1" applyBorder="1" applyAlignment="1">
      <alignment horizontal="right" indent="1"/>
    </xf>
    <xf numFmtId="167" fontId="7" fillId="2" borderId="3" xfId="0" applyNumberFormat="1" applyFont="1" applyFill="1" applyBorder="1" applyAlignment="1">
      <alignment horizontal="right" indent="1"/>
    </xf>
    <xf numFmtId="0" fontId="2" fillId="5" borderId="0" xfId="0" applyFont="1" applyFill="1"/>
    <xf numFmtId="0" fontId="9" fillId="2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UPO%20PRISA/CUADRO%20DE%20MANDO/Ejercicio%202020/9.%20Septiembre/Nota%20IR/TABLAS%20NOTA%20IR%20d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PO"/>
      <sheetName val="SANTILLANA"/>
      <sheetName val="RADIO"/>
      <sheetName val="NOTICIAS"/>
      <sheetName val="TRANSFORMACIÓN"/>
      <sheetName val="To Publish 3Q"/>
      <sheetName val="MEDIA CAPITAL"/>
      <sheetName val="To Publish 2Q"/>
      <sheetName val="Hoja1"/>
    </sheetNames>
    <sheetDataSet>
      <sheetData sheetId="0">
        <row r="10">
          <cell r="K10">
            <v>392.79505977231901</v>
          </cell>
          <cell r="L10">
            <v>485.66755224943199</v>
          </cell>
          <cell r="O10">
            <v>130.269078631453</v>
          </cell>
          <cell r="P10">
            <v>212.64324493993996</v>
          </cell>
        </row>
        <row r="11">
          <cell r="K11">
            <v>165.73727184346183</v>
          </cell>
          <cell r="L11">
            <v>233.97248504252053</v>
          </cell>
          <cell r="O11">
            <v>93.476823680105468</v>
          </cell>
          <cell r="P11">
            <v>146.32077269773984</v>
          </cell>
        </row>
        <row r="12">
          <cell r="K12">
            <v>227.05778792885718</v>
          </cell>
          <cell r="L12">
            <v>251.69506720691146</v>
          </cell>
          <cell r="O12">
            <v>36.79225495134753</v>
          </cell>
          <cell r="P12">
            <v>66.322472242200121</v>
          </cell>
        </row>
        <row r="13">
          <cell r="K13">
            <v>226.26171192885718</v>
          </cell>
          <cell r="L13">
            <v>251.47547820691145</v>
          </cell>
          <cell r="O13">
            <v>36.006943951347523</v>
          </cell>
          <cell r="P13">
            <v>66.302722242200105</v>
          </cell>
        </row>
        <row r="14">
          <cell r="K14">
            <v>0.79607600000000001</v>
          </cell>
          <cell r="L14">
            <v>0.21958900000000001</v>
          </cell>
          <cell r="O14">
            <v>0.78531099999999976</v>
          </cell>
          <cell r="P14">
            <v>1.9750000000000018E-2</v>
          </cell>
        </row>
        <row r="15">
          <cell r="K15">
            <v>360.69017407600461</v>
          </cell>
          <cell r="L15">
            <v>451.0149591408732</v>
          </cell>
          <cell r="O15">
            <v>153.9873060374473</v>
          </cell>
          <cell r="P15">
            <v>195.71969666251627</v>
          </cell>
        </row>
        <row r="16">
          <cell r="K16">
            <v>181.95342093198789</v>
          </cell>
          <cell r="L16">
            <v>261.54050001252074</v>
          </cell>
          <cell r="O16">
            <v>90.718367232631266</v>
          </cell>
          <cell r="P16">
            <v>110.31714961773963</v>
          </cell>
        </row>
        <row r="17">
          <cell r="K17">
            <v>178.73675314401672</v>
          </cell>
          <cell r="L17">
            <v>189.47445912835244</v>
          </cell>
          <cell r="O17">
            <v>63.268938804816031</v>
          </cell>
          <cell r="P17">
            <v>85.402547044776611</v>
          </cell>
        </row>
        <row r="18">
          <cell r="K18">
            <v>178.09676855401671</v>
          </cell>
          <cell r="L18">
            <v>189.02217412835242</v>
          </cell>
          <cell r="O18">
            <v>62.850202894816007</v>
          </cell>
          <cell r="P18">
            <v>85.217808044776575</v>
          </cell>
        </row>
        <row r="19">
          <cell r="K19">
            <v>0.63998459000000796</v>
          </cell>
          <cell r="L19">
            <v>0.45228499999999999</v>
          </cell>
          <cell r="O19">
            <v>0.41873591000000665</v>
          </cell>
          <cell r="P19">
            <v>0.18473900000000004</v>
          </cell>
        </row>
        <row r="20">
          <cell r="K20">
            <v>32.104885696314398</v>
          </cell>
          <cell r="L20">
            <v>34.652593108558804</v>
          </cell>
          <cell r="O20">
            <v>-23.718227405994305</v>
          </cell>
          <cell r="P20">
            <v>16.923548277423706</v>
          </cell>
        </row>
        <row r="21">
          <cell r="K21">
            <v>-16.216149088526073</v>
          </cell>
          <cell r="L21">
            <v>-27.568014970000227</v>
          </cell>
          <cell r="O21">
            <v>2.7584564474741882</v>
          </cell>
          <cell r="P21">
            <v>36.003623080000189</v>
          </cell>
        </row>
        <row r="22">
          <cell r="K22">
            <v>48.321034784840471</v>
          </cell>
          <cell r="L22">
            <v>62.220608078559032</v>
          </cell>
          <cell r="O22">
            <v>-26.476683853468494</v>
          </cell>
          <cell r="P22">
            <v>-19.080074802576483</v>
          </cell>
        </row>
        <row r="23">
          <cell r="K23">
            <v>48.164943374840476</v>
          </cell>
          <cell r="L23">
            <v>62.453304078559036</v>
          </cell>
          <cell r="O23">
            <v>-26.843258943468484</v>
          </cell>
          <cell r="P23">
            <v>-18.915085802576463</v>
          </cell>
        </row>
        <row r="24">
          <cell r="K24">
            <v>0.15609140999999202</v>
          </cell>
          <cell r="L24">
            <v>-0.23269599999999999</v>
          </cell>
          <cell r="O24">
            <v>0.366575089999993</v>
          </cell>
          <cell r="P24">
            <v>-0.164989</v>
          </cell>
        </row>
        <row r="26">
          <cell r="K26">
            <v>-27.820831035868739</v>
          </cell>
          <cell r="L26">
            <v>-7.3375485431209952</v>
          </cell>
          <cell r="O26">
            <v>-59.992963399429939</v>
          </cell>
          <cell r="P26">
            <v>-3.1888730039154893</v>
          </cell>
        </row>
        <row r="27">
          <cell r="K27">
            <v>-32.968861172758324</v>
          </cell>
          <cell r="L27">
            <v>-42.927514551011434</v>
          </cell>
          <cell r="O27">
            <v>-6.2144257236424494</v>
          </cell>
          <cell r="P27">
            <v>28.355957464753793</v>
          </cell>
        </row>
        <row r="28">
          <cell r="K28">
            <v>5.1480301368895827</v>
          </cell>
          <cell r="L28">
            <v>35.589966007890439</v>
          </cell>
          <cell r="O28">
            <v>-53.77853767578749</v>
          </cell>
          <cell r="P28">
            <v>-31.544830468669275</v>
          </cell>
        </row>
        <row r="29">
          <cell r="K29">
            <v>5.0002257268895951</v>
          </cell>
          <cell r="L29">
            <v>35.639126007890447</v>
          </cell>
          <cell r="O29">
            <v>-54.140970765787479</v>
          </cell>
          <cell r="P29">
            <v>-31.567892468669264</v>
          </cell>
        </row>
        <row r="30">
          <cell r="K30">
            <v>0.14780440999998701</v>
          </cell>
          <cell r="L30">
            <v>-4.9159999999999898E-2</v>
          </cell>
          <cell r="O30">
            <v>0.36243308999999002</v>
          </cell>
          <cell r="P30">
            <v>2.3062000000000096E-2</v>
          </cell>
        </row>
        <row r="32">
          <cell r="K32">
            <v>-37.746153891478201</v>
          </cell>
          <cell r="L32">
            <v>-39.458848204048905</v>
          </cell>
          <cell r="O32">
            <v>-22.056852680818402</v>
          </cell>
          <cell r="P32">
            <v>-19.742925292143205</v>
          </cell>
        </row>
        <row r="33">
          <cell r="K33">
            <v>-33.883569742595604</v>
          </cell>
          <cell r="L33">
            <v>-28.506890221697397</v>
          </cell>
          <cell r="O33">
            <v>-19.082409018571504</v>
          </cell>
          <cell r="P33">
            <v>-14.356012958899797</v>
          </cell>
        </row>
        <row r="34">
          <cell r="K34">
            <v>-3.8625841488825969</v>
          </cell>
          <cell r="L34">
            <v>-10.951957982351509</v>
          </cell>
          <cell r="O34">
            <v>-2.9744436622468964</v>
          </cell>
          <cell r="P34">
            <v>-5.3869123332434086</v>
          </cell>
        </row>
        <row r="35">
          <cell r="K35">
            <v>-6.9411877612081598</v>
          </cell>
          <cell r="L35">
            <v>0.59615163651938596</v>
          </cell>
          <cell r="O35">
            <v>-8.442110296110549</v>
          </cell>
          <cell r="P35">
            <v>0.24758809737724496</v>
          </cell>
        </row>
        <row r="36">
          <cell r="K36">
            <v>-72.508172688555092</v>
          </cell>
          <cell r="L36">
            <v>-46.200245110650513</v>
          </cell>
          <cell r="O36">
            <v>-90.491926376358876</v>
          </cell>
          <cell r="P36">
            <v>-22.684210198681448</v>
          </cell>
        </row>
        <row r="37">
          <cell r="K37">
            <v>75.978019819535163</v>
          </cell>
          <cell r="L37">
            <v>13.116858965815959</v>
          </cell>
          <cell r="O37">
            <v>55.612328866728646</v>
          </cell>
          <cell r="P37">
            <v>-8.0177565589776076</v>
          </cell>
        </row>
        <row r="38">
          <cell r="K38">
            <v>-75.143366670083509</v>
          </cell>
          <cell r="L38">
            <v>7.0113210246942197</v>
          </cell>
          <cell r="O38">
            <v>-50.141100158837006</v>
          </cell>
          <cell r="P38">
            <v>7.74683696131597</v>
          </cell>
        </row>
        <row r="39">
          <cell r="K39">
            <v>-11.5787647254216</v>
          </cell>
          <cell r="L39">
            <v>-0.75772584072498717</v>
          </cell>
          <cell r="O39">
            <v>-10.330659655714181</v>
          </cell>
          <cell r="P39">
            <v>4.0389778952587037</v>
          </cell>
        </row>
        <row r="40">
          <cell r="K40">
            <v>-212.05079445275217</v>
          </cell>
          <cell r="L40">
            <v>-51.548057211047265</v>
          </cell>
          <cell r="O40">
            <v>-185.91469574621036</v>
          </cell>
          <cell r="P40">
            <v>-10.958594573646572</v>
          </cell>
        </row>
        <row r="41">
          <cell r="K41">
            <v>77.290000000000006</v>
          </cell>
          <cell r="O41">
            <v>48.522000000000006</v>
          </cell>
          <cell r="P41">
            <v>0</v>
          </cell>
        </row>
        <row r="42">
          <cell r="L42">
            <v>40.828660400000004</v>
          </cell>
          <cell r="P42">
            <v>0</v>
          </cell>
        </row>
        <row r="43">
          <cell r="K43">
            <v>64.486310131588951</v>
          </cell>
          <cell r="O43">
            <v>64.486310131588951</v>
          </cell>
        </row>
        <row r="44">
          <cell r="K44">
            <v>21.921520523455278</v>
          </cell>
          <cell r="O44">
            <v>21.921520523455278</v>
          </cell>
        </row>
        <row r="45">
          <cell r="K45">
            <v>-48.35296379770795</v>
          </cell>
          <cell r="L45">
            <v>-10.719396811047261</v>
          </cell>
          <cell r="O45">
            <v>-50.984865091166142</v>
          </cell>
          <cell r="P45">
            <v>-10.958594573646579</v>
          </cell>
        </row>
        <row r="49">
          <cell r="K49">
            <v>392.79505977231901</v>
          </cell>
          <cell r="L49">
            <v>485.66755224943199</v>
          </cell>
          <cell r="O49">
            <v>130.269078631453</v>
          </cell>
          <cell r="P49">
            <v>212.64324493993996</v>
          </cell>
        </row>
        <row r="50">
          <cell r="K50">
            <v>165.73727184346183</v>
          </cell>
          <cell r="L50">
            <v>233.97248504252053</v>
          </cell>
          <cell r="O50">
            <v>93.476823680105468</v>
          </cell>
          <cell r="P50">
            <v>146.32077269773984</v>
          </cell>
        </row>
        <row r="51">
          <cell r="K51">
            <v>227.05778792885718</v>
          </cell>
          <cell r="L51">
            <v>251.69506720691146</v>
          </cell>
          <cell r="O51">
            <v>36.79225495134753</v>
          </cell>
          <cell r="P51">
            <v>66.322472242200121</v>
          </cell>
        </row>
        <row r="52">
          <cell r="K52">
            <v>226.26171192885718</v>
          </cell>
          <cell r="L52">
            <v>251.47547820691145</v>
          </cell>
          <cell r="O52">
            <v>36.006943951347523</v>
          </cell>
          <cell r="P52">
            <v>66.302722242200105</v>
          </cell>
        </row>
        <row r="53">
          <cell r="K53">
            <v>0.79607600000000001</v>
          </cell>
          <cell r="L53">
            <v>0.21958900000000001</v>
          </cell>
          <cell r="O53">
            <v>0.78531099999999976</v>
          </cell>
          <cell r="P53">
            <v>1.9750000000000018E-2</v>
          </cell>
        </row>
        <row r="54">
          <cell r="K54">
            <v>32.104885696314398</v>
          </cell>
          <cell r="L54">
            <v>85.688418608558806</v>
          </cell>
          <cell r="O54">
            <v>-23.718227405994305</v>
          </cell>
          <cell r="P54">
            <v>16.923548277423706</v>
          </cell>
        </row>
        <row r="55">
          <cell r="K55">
            <v>-16.216149088526073</v>
          </cell>
          <cell r="L55">
            <v>23.467810529999774</v>
          </cell>
          <cell r="O55">
            <v>2.7584564474741882</v>
          </cell>
          <cell r="P55">
            <v>36.003623080000189</v>
          </cell>
        </row>
        <row r="56">
          <cell r="K56">
            <v>48.321034784840471</v>
          </cell>
          <cell r="L56">
            <v>62.220608078559032</v>
          </cell>
          <cell r="O56">
            <v>-26.476683853468494</v>
          </cell>
          <cell r="P56">
            <v>-19.080074802576483</v>
          </cell>
        </row>
        <row r="57">
          <cell r="K57">
            <v>48.164943374840476</v>
          </cell>
          <cell r="L57">
            <v>62.453304078559036</v>
          </cell>
          <cell r="O57">
            <v>-26.843258943468484</v>
          </cell>
          <cell r="P57">
            <v>-18.915085802576463</v>
          </cell>
        </row>
        <row r="58">
          <cell r="K58">
            <v>0.15609140999999202</v>
          </cell>
          <cell r="L58">
            <v>-0.23269599999999999</v>
          </cell>
          <cell r="O58">
            <v>0.366575089999993</v>
          </cell>
          <cell r="P58">
            <v>-0.164989</v>
          </cell>
        </row>
        <row r="60">
          <cell r="K60">
            <v>-8.8189303815496416</v>
          </cell>
          <cell r="L60">
            <v>43.698276956879006</v>
          </cell>
          <cell r="O60">
            <v>-40.991062745110838</v>
          </cell>
          <cell r="P60">
            <v>-3.1888730039154893</v>
          </cell>
        </row>
        <row r="61">
          <cell r="K61">
            <v>-32.968861172758324</v>
          </cell>
          <cell r="L61">
            <v>8.1083109489885672</v>
          </cell>
          <cell r="O61">
            <v>-6.2144257236424494</v>
          </cell>
          <cell r="P61">
            <v>28.355957464753786</v>
          </cell>
        </row>
        <row r="62">
          <cell r="K62">
            <v>24.149930791208682</v>
          </cell>
          <cell r="L62">
            <v>35.589966007890439</v>
          </cell>
          <cell r="O62">
            <v>-34.776637021468389</v>
          </cell>
          <cell r="P62">
            <v>-31.544830468669275</v>
          </cell>
        </row>
        <row r="63">
          <cell r="K63">
            <v>24.002126381208694</v>
          </cell>
          <cell r="L63">
            <v>35.639126007890447</v>
          </cell>
          <cell r="O63">
            <v>-35.139070111468385</v>
          </cell>
          <cell r="P63">
            <v>-31.567892468669264</v>
          </cell>
        </row>
        <row r="64">
          <cell r="K64">
            <v>0.14780440999998701</v>
          </cell>
          <cell r="L64">
            <v>-4.9159999999999898E-2</v>
          </cell>
          <cell r="O64">
            <v>0.36243308999999002</v>
          </cell>
          <cell r="P64">
            <v>2.3062000000000096E-2</v>
          </cell>
        </row>
        <row r="69">
          <cell r="K69">
            <v>421.38787701643088</v>
          </cell>
          <cell r="L69">
            <v>485.66755224943199</v>
          </cell>
          <cell r="O69">
            <v>140.6175791751424</v>
          </cell>
          <cell r="P69">
            <v>212.64324493993996</v>
          </cell>
        </row>
        <row r="70">
          <cell r="K70">
            <v>165.7372718434618</v>
          </cell>
          <cell r="L70">
            <v>233.97248504252053</v>
          </cell>
          <cell r="O70">
            <v>93.476823680105468</v>
          </cell>
          <cell r="P70">
            <v>146.32077269773984</v>
          </cell>
        </row>
        <row r="71">
          <cell r="K71">
            <v>255.65060517296908</v>
          </cell>
          <cell r="L71">
            <v>251.69506720691146</v>
          </cell>
          <cell r="O71">
            <v>47.140755495036927</v>
          </cell>
          <cell r="P71">
            <v>66.322472242200121</v>
          </cell>
        </row>
        <row r="72">
          <cell r="K72">
            <v>254.85452917296908</v>
          </cell>
          <cell r="L72">
            <v>251.47547820691145</v>
          </cell>
          <cell r="O72">
            <v>46.355444495036949</v>
          </cell>
          <cell r="P72">
            <v>66.302722242200105</v>
          </cell>
        </row>
        <row r="73">
          <cell r="K73">
            <v>0.79607600000000001</v>
          </cell>
          <cell r="L73">
            <v>0.21958900000000001</v>
          </cell>
          <cell r="O73">
            <v>0.78531099999999976</v>
          </cell>
          <cell r="P73">
            <v>1.9750000000000018E-2</v>
          </cell>
        </row>
        <row r="74">
          <cell r="K74">
            <v>36.695148982365197</v>
          </cell>
          <cell r="L74">
            <v>85.688418608558806</v>
          </cell>
          <cell r="O74">
            <v>-27.50762595130459</v>
          </cell>
          <cell r="P74">
            <v>16.923548277423706</v>
          </cell>
        </row>
        <row r="75">
          <cell r="K75">
            <v>-16.216149088526066</v>
          </cell>
          <cell r="L75">
            <v>23.467810529999774</v>
          </cell>
          <cell r="O75">
            <v>2.7584564474741882</v>
          </cell>
          <cell r="P75">
            <v>36.003623080000189</v>
          </cell>
        </row>
        <row r="76">
          <cell r="K76">
            <v>52.911298070891263</v>
          </cell>
          <cell r="L76">
            <v>62.220608078559032</v>
          </cell>
          <cell r="O76">
            <v>-30.266082398778778</v>
          </cell>
          <cell r="P76">
            <v>-19.080074802576483</v>
          </cell>
        </row>
        <row r="77">
          <cell r="K77">
            <v>52.755206660891275</v>
          </cell>
          <cell r="L77">
            <v>62.453304078559036</v>
          </cell>
          <cell r="O77">
            <v>-30.632657488778761</v>
          </cell>
          <cell r="P77">
            <v>-18.915085802576463</v>
          </cell>
        </row>
        <row r="78">
          <cell r="K78">
            <v>0.15609140999999202</v>
          </cell>
          <cell r="L78">
            <v>-0.23269599999999999</v>
          </cell>
          <cell r="O78">
            <v>0.366575089999993</v>
          </cell>
          <cell r="P78">
            <v>-0.164989</v>
          </cell>
        </row>
        <row r="80">
          <cell r="K80">
            <v>-9.9367680778388987</v>
          </cell>
          <cell r="L80">
            <v>43.698276956879006</v>
          </cell>
          <cell r="O80">
            <v>-49.147630091856293</v>
          </cell>
          <cell r="P80">
            <v>-3.1888730039154893</v>
          </cell>
        </row>
        <row r="81">
          <cell r="K81">
            <v>-32.968861172758324</v>
          </cell>
          <cell r="L81">
            <v>8.1083109489885672</v>
          </cell>
          <cell r="O81">
            <v>-6.2144257236424494</v>
          </cell>
          <cell r="P81">
            <v>28.355957464753786</v>
          </cell>
        </row>
        <row r="82">
          <cell r="K82">
            <v>23.032093094919421</v>
          </cell>
          <cell r="L82">
            <v>35.589966007890439</v>
          </cell>
          <cell r="O82">
            <v>-42.93320436821385</v>
          </cell>
          <cell r="P82">
            <v>-31.544830468669275</v>
          </cell>
        </row>
        <row r="83">
          <cell r="K83">
            <v>22.884288684919436</v>
          </cell>
          <cell r="L83">
            <v>35.639126007890447</v>
          </cell>
          <cell r="O83">
            <v>-43.295637458213832</v>
          </cell>
          <cell r="P83">
            <v>-31.567892468669264</v>
          </cell>
        </row>
        <row r="84">
          <cell r="K84">
            <v>0.14780440999998701</v>
          </cell>
          <cell r="L84">
            <v>-4.9159999999999898E-2</v>
          </cell>
          <cell r="O84">
            <v>0.36243308999999002</v>
          </cell>
          <cell r="P84">
            <v>2.3062000000000096E-2</v>
          </cell>
        </row>
        <row r="101">
          <cell r="L101">
            <v>51.035825500000001</v>
          </cell>
          <cell r="P101">
            <v>0</v>
          </cell>
        </row>
        <row r="121">
          <cell r="K121">
            <v>392.79505977231901</v>
          </cell>
          <cell r="L121">
            <v>485.66755224943199</v>
          </cell>
          <cell r="O121">
            <v>130.269078631453</v>
          </cell>
          <cell r="P121">
            <v>212.64324493993996</v>
          </cell>
        </row>
        <row r="122">
          <cell r="K122">
            <v>244.54487357987901</v>
          </cell>
          <cell r="L122">
            <v>255.97954345540199</v>
          </cell>
          <cell r="O122">
            <v>66.557535276668006</v>
          </cell>
          <cell r="P122">
            <v>87.063109187520013</v>
          </cell>
        </row>
        <row r="123">
          <cell r="K123">
            <v>81.409019257958107</v>
          </cell>
          <cell r="L123">
            <v>134.50011651550599</v>
          </cell>
          <cell r="O123">
            <v>34.054356911139003</v>
          </cell>
          <cell r="P123">
            <v>74.439254966843492</v>
          </cell>
        </row>
        <row r="124">
          <cell r="K124">
            <v>75.57989474642801</v>
          </cell>
          <cell r="L124">
            <v>104.53132133614</v>
          </cell>
          <cell r="O124">
            <v>33.884859971802214</v>
          </cell>
          <cell r="P124">
            <v>55.473781448534794</v>
          </cell>
        </row>
        <row r="125">
          <cell r="K125">
            <v>-8.73872781194612</v>
          </cell>
          <cell r="L125">
            <v>-9.3434290576159924</v>
          </cell>
          <cell r="O125">
            <v>-4.2276735281562239</v>
          </cell>
          <cell r="P125">
            <v>-4.3329006629583375</v>
          </cell>
        </row>
        <row r="133">
          <cell r="K133">
            <v>32.104885696314398</v>
          </cell>
          <cell r="L133">
            <v>85.688418608558806</v>
          </cell>
          <cell r="O133">
            <v>-23.718227405994305</v>
          </cell>
          <cell r="P133">
            <v>16.923548277423706</v>
          </cell>
        </row>
        <row r="134">
          <cell r="K134">
            <v>54.545219317422003</v>
          </cell>
          <cell r="L134">
            <v>61.852473497649299</v>
          </cell>
          <cell r="O134">
            <v>-7.615787707659301</v>
          </cell>
          <cell r="P134">
            <v>-4.3939976968485013</v>
          </cell>
        </row>
        <row r="135">
          <cell r="K135">
            <v>-5.1827484440265996</v>
          </cell>
          <cell r="L135">
            <v>28.1451873792942</v>
          </cell>
          <cell r="O135">
            <v>-5.8551121749896584</v>
          </cell>
          <cell r="P135">
            <v>20.100309360086811</v>
          </cell>
        </row>
        <row r="136">
          <cell r="K136">
            <v>-13.6390595670807</v>
          </cell>
          <cell r="L136">
            <v>1.64478109274442</v>
          </cell>
          <cell r="O136">
            <v>-7.67202581334538</v>
          </cell>
          <cell r="P136">
            <v>4.7164915282073903</v>
          </cell>
        </row>
        <row r="137">
          <cell r="K137">
            <v>-3.6185256100003045</v>
          </cell>
          <cell r="L137">
            <v>-5.9540233611291136</v>
          </cell>
          <cell r="O137">
            <v>-2.5753017099999651</v>
          </cell>
          <cell r="P137">
            <v>-3.4992549140219928</v>
          </cell>
        </row>
      </sheetData>
      <sheetData sheetId="1">
        <row r="10">
          <cell r="K10">
            <v>244.54487357987901</v>
          </cell>
          <cell r="L10">
            <v>255.97954345540199</v>
          </cell>
          <cell r="O10">
            <v>66.557535276668006</v>
          </cell>
          <cell r="P10">
            <v>87.063109187520013</v>
          </cell>
        </row>
        <row r="11">
          <cell r="K11">
            <v>39.744683209999998</v>
          </cell>
          <cell r="L11">
            <v>45.362771290000005</v>
          </cell>
          <cell r="O11">
            <v>38.340233739999995</v>
          </cell>
          <cell r="P11">
            <v>43.130839530000003</v>
          </cell>
        </row>
        <row r="12">
          <cell r="K12">
            <v>204.04345804987901</v>
          </cell>
          <cell r="L12">
            <v>209.378516195402</v>
          </cell>
          <cell r="O12">
            <v>27.742909016667994</v>
          </cell>
          <cell r="P12">
            <v>42.922894577519997</v>
          </cell>
        </row>
        <row r="13">
          <cell r="K13">
            <v>203.24738204987901</v>
          </cell>
          <cell r="L13">
            <v>209.15892719540199</v>
          </cell>
          <cell r="O13">
            <v>26.957598016667987</v>
          </cell>
          <cell r="P13">
            <v>42.903144577519981</v>
          </cell>
        </row>
        <row r="14">
          <cell r="K14">
            <v>0.79607600000000001</v>
          </cell>
          <cell r="L14">
            <v>0.21958900000000001</v>
          </cell>
          <cell r="O14">
            <v>0.78531099999999998</v>
          </cell>
          <cell r="P14">
            <v>1.9750000000000018E-2</v>
          </cell>
        </row>
        <row r="15">
          <cell r="K15">
            <v>0.75673232000000035</v>
          </cell>
          <cell r="L15">
            <v>1.2382559700000002</v>
          </cell>
          <cell r="O15">
            <v>0.47439252000000026</v>
          </cell>
          <cell r="P15">
            <v>1.0093750800000003</v>
          </cell>
        </row>
        <row r="16">
          <cell r="K16">
            <v>189.999654262457</v>
          </cell>
          <cell r="L16">
            <v>194.1270699577527</v>
          </cell>
          <cell r="O16">
            <v>74.173322984327299</v>
          </cell>
          <cell r="P16">
            <v>91.457106884368514</v>
          </cell>
        </row>
        <row r="17">
          <cell r="K17">
            <v>28.418076208525733</v>
          </cell>
          <cell r="L17">
            <v>31.576120360000004</v>
          </cell>
          <cell r="O17">
            <v>17.647789452525735</v>
          </cell>
          <cell r="P17">
            <v>20.607690220000009</v>
          </cell>
        </row>
        <row r="18">
          <cell r="K18">
            <v>150.30826839393126</v>
          </cell>
          <cell r="L18">
            <v>150.54823824775269</v>
          </cell>
          <cell r="O18">
            <v>51.449891181801547</v>
          </cell>
          <cell r="P18">
            <v>65.279407294368497</v>
          </cell>
        </row>
        <row r="19">
          <cell r="K19">
            <v>149.71587039393125</v>
          </cell>
          <cell r="L19">
            <v>150.0959532477527</v>
          </cell>
          <cell r="O19">
            <v>51.067859181801538</v>
          </cell>
          <cell r="P19">
            <v>65.094668294368503</v>
          </cell>
        </row>
        <row r="20">
          <cell r="K20">
            <v>0.59239799999999998</v>
          </cell>
          <cell r="L20">
            <v>0.45228499999999999</v>
          </cell>
          <cell r="O20">
            <v>0.38203199999999998</v>
          </cell>
          <cell r="P20">
            <v>0.18473900000000004</v>
          </cell>
        </row>
        <row r="21">
          <cell r="K21">
            <v>11.273309659999997</v>
          </cell>
          <cell r="L21">
            <v>12.00271135</v>
          </cell>
          <cell r="O21">
            <v>5.0756423499999972</v>
          </cell>
          <cell r="P21">
            <v>5.5700093700000011</v>
          </cell>
        </row>
        <row r="22">
          <cell r="K22">
            <v>54.545219317422003</v>
          </cell>
          <cell r="L22">
            <v>61.852473497649299</v>
          </cell>
          <cell r="O22">
            <v>-7.615787707659301</v>
          </cell>
          <cell r="P22">
            <v>-4.3939976968485013</v>
          </cell>
        </row>
        <row r="23">
          <cell r="K23">
            <v>11.326607001474263</v>
          </cell>
          <cell r="L23">
            <v>13.786650929999999</v>
          </cell>
          <cell r="O23">
            <v>20.692444287474263</v>
          </cell>
          <cell r="P23">
            <v>22.523149309999994</v>
          </cell>
        </row>
        <row r="24">
          <cell r="K24">
            <v>53.735189655947735</v>
          </cell>
          <cell r="L24">
            <v>58.8302779476493</v>
          </cell>
          <cell r="O24">
            <v>-23.706982165133567</v>
          </cell>
          <cell r="P24">
            <v>-22.356512716848506</v>
          </cell>
        </row>
        <row r="25">
          <cell r="K25">
            <v>53.531511655947739</v>
          </cell>
          <cell r="L25">
            <v>59.062973947649297</v>
          </cell>
          <cell r="O25">
            <v>-24.110261165133565</v>
          </cell>
          <cell r="P25">
            <v>-22.191523716848508</v>
          </cell>
        </row>
        <row r="26">
          <cell r="K26">
            <v>0.203678</v>
          </cell>
          <cell r="L26">
            <v>-0.23269599999999999</v>
          </cell>
          <cell r="O26">
            <v>0.403279</v>
          </cell>
          <cell r="P26">
            <v>-0.164989</v>
          </cell>
        </row>
        <row r="27">
          <cell r="K27">
            <v>-10.516577339999996</v>
          </cell>
          <cell r="L27">
            <v>-10.764455379999999</v>
          </cell>
          <cell r="O27">
            <v>-4.601249829999996</v>
          </cell>
          <cell r="P27">
            <v>-4.5606342900000003</v>
          </cell>
        </row>
        <row r="29">
          <cell r="K29">
            <v>30.439670563910898</v>
          </cell>
          <cell r="L29">
            <v>34.529992609979999</v>
          </cell>
          <cell r="O29">
            <v>-15.7113329261778</v>
          </cell>
          <cell r="P29">
            <v>-16.963152060353302</v>
          </cell>
        </row>
        <row r="30">
          <cell r="K30">
            <v>9.2845842855728513</v>
          </cell>
          <cell r="L30">
            <v>11.533579958989074</v>
          </cell>
          <cell r="O30">
            <v>19.732639424730863</v>
          </cell>
          <cell r="P30">
            <v>21.390843365689427</v>
          </cell>
        </row>
        <row r="31">
          <cell r="K31">
            <v>33.137145926669419</v>
          </cell>
          <cell r="L31">
            <v>35.812776940990922</v>
          </cell>
          <cell r="O31">
            <v>-30.230842352534836</v>
          </cell>
          <cell r="P31">
            <v>-32.766651085107192</v>
          </cell>
        </row>
        <row r="32">
          <cell r="K32">
            <v>32.941754926669418</v>
          </cell>
          <cell r="L32">
            <v>35.861936940990923</v>
          </cell>
          <cell r="O32">
            <v>-30.629979352534839</v>
          </cell>
          <cell r="P32">
            <v>-32.789713085107188</v>
          </cell>
        </row>
        <row r="33">
          <cell r="K33">
            <v>0.19539099999999998</v>
          </cell>
          <cell r="L33">
            <v>-4.9159999999999995E-2</v>
          </cell>
          <cell r="O33">
            <v>0.39913699999999996</v>
          </cell>
          <cell r="P33">
            <v>2.3061999999999999E-2</v>
          </cell>
        </row>
        <row r="34">
          <cell r="K34">
            <v>-11.982059648331376</v>
          </cell>
          <cell r="L34">
            <v>-12.816364290000001</v>
          </cell>
          <cell r="O34">
            <v>-5.2131299983738302</v>
          </cell>
          <cell r="P34">
            <v>-5.5873443409355286</v>
          </cell>
        </row>
        <row r="39">
          <cell r="K39">
            <v>269.71701991853934</v>
          </cell>
          <cell r="L39">
            <v>255.97954345540199</v>
          </cell>
          <cell r="O39">
            <v>75.255469729121927</v>
          </cell>
          <cell r="P39">
            <v>87.063109187520013</v>
          </cell>
        </row>
        <row r="40">
          <cell r="K40">
            <v>39.744683209999998</v>
          </cell>
          <cell r="L40">
            <v>45.362771290000005</v>
          </cell>
          <cell r="O40">
            <v>38.340233739999995</v>
          </cell>
          <cell r="P40">
            <v>43.130839530000003</v>
          </cell>
        </row>
        <row r="41">
          <cell r="K41">
            <v>229.21560438853933</v>
          </cell>
          <cell r="L41">
            <v>209.378516195402</v>
          </cell>
          <cell r="O41">
            <v>36.440843469121916</v>
          </cell>
          <cell r="P41">
            <v>42.922894577519997</v>
          </cell>
        </row>
        <row r="42">
          <cell r="K42">
            <v>228.41952838853933</v>
          </cell>
          <cell r="L42">
            <v>209.15892719540199</v>
          </cell>
          <cell r="O42">
            <v>35.655532469121908</v>
          </cell>
          <cell r="P42">
            <v>42.903144577519981</v>
          </cell>
        </row>
        <row r="43">
          <cell r="K43">
            <v>0.79607600000000001</v>
          </cell>
          <cell r="L43">
            <v>0.21958900000000001</v>
          </cell>
          <cell r="O43">
            <v>0.78531099999999998</v>
          </cell>
          <cell r="P43">
            <v>1.9750000000000018E-2</v>
          </cell>
        </row>
        <row r="44">
          <cell r="K44">
            <v>0.75673232000000035</v>
          </cell>
          <cell r="L44">
            <v>1.2382559700000002</v>
          </cell>
          <cell r="O44">
            <v>0.47439252000000026</v>
          </cell>
          <cell r="P44">
            <v>1.0093750800000003</v>
          </cell>
        </row>
        <row r="45">
          <cell r="K45">
            <v>60.107561569654422</v>
          </cell>
          <cell r="L45">
            <v>61.852473497649299</v>
          </cell>
          <cell r="O45">
            <v>-10.554040472987623</v>
          </cell>
          <cell r="P45">
            <v>-4.3939976968485013</v>
          </cell>
        </row>
        <row r="46">
          <cell r="K46">
            <v>11.326607001474263</v>
          </cell>
          <cell r="L46">
            <v>13.786650929999999</v>
          </cell>
          <cell r="O46">
            <v>20.692444287474263</v>
          </cell>
          <cell r="P46">
            <v>22.523149309999994</v>
          </cell>
        </row>
        <row r="47">
          <cell r="K47">
            <v>59.297531908180147</v>
          </cell>
          <cell r="L47">
            <v>58.8302779476493</v>
          </cell>
          <cell r="O47">
            <v>-26.645234930461896</v>
          </cell>
          <cell r="P47">
            <v>-22.356512716848506</v>
          </cell>
        </row>
        <row r="48">
          <cell r="K48">
            <v>59.093853908180151</v>
          </cell>
          <cell r="L48">
            <v>59.062973947649297</v>
          </cell>
          <cell r="O48">
            <v>-27.048513930461894</v>
          </cell>
          <cell r="P48">
            <v>-22.191523716848508</v>
          </cell>
        </row>
        <row r="49">
          <cell r="K49">
            <v>0.203678</v>
          </cell>
          <cell r="L49">
            <v>-0.23269599999999999</v>
          </cell>
          <cell r="O49">
            <v>0.403279</v>
          </cell>
          <cell r="P49">
            <v>-0.164989</v>
          </cell>
        </row>
        <row r="50">
          <cell r="K50">
            <v>-10.516577339999996</v>
          </cell>
          <cell r="L50">
            <v>-10.764455379999999</v>
          </cell>
          <cell r="O50">
            <v>-4.601249829999996</v>
          </cell>
          <cell r="P50">
            <v>-4.5606342900000003</v>
          </cell>
        </row>
        <row r="52">
          <cell r="K52">
            <v>33.11696189341815</v>
          </cell>
          <cell r="L52">
            <v>34.529992609979999</v>
          </cell>
          <cell r="O52">
            <v>-20.401553792335683</v>
          </cell>
          <cell r="P52">
            <v>-16.963152060353302</v>
          </cell>
        </row>
        <row r="53">
          <cell r="K53">
            <v>9.2845842855728513</v>
          </cell>
          <cell r="L53">
            <v>11.533579958989074</v>
          </cell>
          <cell r="O53">
            <v>19.732639424730863</v>
          </cell>
          <cell r="P53">
            <v>21.390843365689427</v>
          </cell>
        </row>
        <row r="54">
          <cell r="K54">
            <v>35.814437256176674</v>
          </cell>
          <cell r="L54">
            <v>35.812776940990922</v>
          </cell>
          <cell r="O54">
            <v>-34.921063218692709</v>
          </cell>
          <cell r="P54">
            <v>-32.766651085107192</v>
          </cell>
        </row>
        <row r="55">
          <cell r="K55">
            <v>35.619046256176674</v>
          </cell>
          <cell r="L55">
            <v>35.861936940990923</v>
          </cell>
          <cell r="O55">
            <v>-35.320200218692705</v>
          </cell>
          <cell r="P55">
            <v>-32.789713085107188</v>
          </cell>
        </row>
        <row r="56">
          <cell r="K56">
            <v>0.19539099999999998</v>
          </cell>
          <cell r="L56">
            <v>-4.9159999999999995E-2</v>
          </cell>
          <cell r="O56">
            <v>0.39913699999999996</v>
          </cell>
          <cell r="P56">
            <v>2.3061999999999999E-2</v>
          </cell>
        </row>
        <row r="57">
          <cell r="K57">
            <v>-11.982059648331376</v>
          </cell>
          <cell r="L57">
            <v>-12.816364290000001</v>
          </cell>
          <cell r="O57">
            <v>-5.2131299983738302</v>
          </cell>
          <cell r="P57">
            <v>-5.5873443409355286</v>
          </cell>
        </row>
        <row r="69">
          <cell r="K69">
            <v>244.54487357987901</v>
          </cell>
          <cell r="L69">
            <v>255.97954345540199</v>
          </cell>
          <cell r="O69">
            <v>66.557535276668006</v>
          </cell>
          <cell r="P69">
            <v>87.063109187520013</v>
          </cell>
        </row>
        <row r="70">
          <cell r="K70">
            <v>164.35141803660682</v>
          </cell>
          <cell r="L70">
            <v>161.25721221196437</v>
          </cell>
          <cell r="O70">
            <v>2.271717166392591</v>
          </cell>
          <cell r="P70">
            <v>11.642797227389138</v>
          </cell>
        </row>
        <row r="71">
          <cell r="K71">
            <v>70.382420751823318</v>
          </cell>
          <cell r="L71">
            <v>55.718396143957989</v>
          </cell>
          <cell r="O71">
            <v>1.9864129207102224</v>
          </cell>
          <cell r="P71">
            <v>6.9586604830678667</v>
          </cell>
        </row>
        <row r="72">
          <cell r="K72">
            <v>93.968997284783498</v>
          </cell>
          <cell r="L72">
            <v>105.53881606800638</v>
          </cell>
          <cell r="O72">
            <v>0.28530424568236867</v>
          </cell>
          <cell r="P72">
            <v>4.6841367443212789</v>
          </cell>
        </row>
        <row r="73">
          <cell r="K73">
            <v>79.440428852424432</v>
          </cell>
          <cell r="L73">
            <v>93.482507720145833</v>
          </cell>
          <cell r="O73">
            <v>63.811304836457317</v>
          </cell>
          <cell r="P73">
            <v>74.410440017039861</v>
          </cell>
        </row>
        <row r="74">
          <cell r="K74">
            <v>39.744683209999998</v>
          </cell>
          <cell r="L74">
            <v>45.362771290000005</v>
          </cell>
          <cell r="O74">
            <v>38.340233739999995</v>
          </cell>
          <cell r="P74">
            <v>43.130839530000003</v>
          </cell>
        </row>
        <row r="75">
          <cell r="K75">
            <v>29.639263555150198</v>
          </cell>
          <cell r="L75">
            <v>31.472617996692748</v>
          </cell>
          <cell r="O75">
            <v>22.193023701932685</v>
          </cell>
          <cell r="P75">
            <v>24.44790211814874</v>
          </cell>
        </row>
        <row r="76">
          <cell r="K76">
            <v>10.056482087274237</v>
          </cell>
          <cell r="L76">
            <v>16.64711843345308</v>
          </cell>
          <cell r="O76">
            <v>3.2780473945246369</v>
          </cell>
          <cell r="P76">
            <v>6.8316983688911179</v>
          </cell>
        </row>
        <row r="77">
          <cell r="K77">
            <v>0.75673232000000035</v>
          </cell>
          <cell r="L77">
            <v>1.2382559700000002</v>
          </cell>
          <cell r="O77">
            <v>0.47439252000000026</v>
          </cell>
          <cell r="P77">
            <v>1.0093750800000003</v>
          </cell>
        </row>
        <row r="83">
          <cell r="K83">
            <v>269.71701991853934</v>
          </cell>
          <cell r="L83">
            <v>255.97954345540199</v>
          </cell>
          <cell r="O83">
            <v>75.255469729121927</v>
          </cell>
          <cell r="P83">
            <v>87.063109187520013</v>
          </cell>
        </row>
        <row r="84">
          <cell r="K84">
            <v>185.79895470599357</v>
          </cell>
          <cell r="L84">
            <v>161.25721221196437</v>
          </cell>
          <cell r="O84">
            <v>7.1231748163600344</v>
          </cell>
          <cell r="P84">
            <v>11.642797227389138</v>
          </cell>
        </row>
        <row r="85">
          <cell r="K85">
            <v>77.670452435357902</v>
          </cell>
          <cell r="L85">
            <v>55.718396143957989</v>
          </cell>
          <cell r="O85">
            <v>2.5156919194236025</v>
          </cell>
          <cell r="P85">
            <v>6.9586604830678667</v>
          </cell>
        </row>
        <row r="86">
          <cell r="K86">
            <v>108.12850227063566</v>
          </cell>
          <cell r="L86">
            <v>105.53881606800638</v>
          </cell>
          <cell r="O86">
            <v>4.6074828969364319</v>
          </cell>
          <cell r="P86">
            <v>4.6841367443212789</v>
          </cell>
        </row>
        <row r="87">
          <cell r="K87">
            <v>83.165038521697994</v>
          </cell>
          <cell r="L87">
            <v>93.482507720145833</v>
          </cell>
          <cell r="O87">
            <v>67.657781638943817</v>
          </cell>
          <cell r="P87">
            <v>74.410440017039861</v>
          </cell>
        </row>
        <row r="88">
          <cell r="K88">
            <v>39.744683209999998</v>
          </cell>
          <cell r="L88">
            <v>45.362771290000005</v>
          </cell>
          <cell r="O88">
            <v>38.340233739999995</v>
          </cell>
          <cell r="P88">
            <v>43.130839530000003</v>
          </cell>
        </row>
        <row r="89">
          <cell r="K89">
            <v>33.551385003070301</v>
          </cell>
          <cell r="L89">
            <v>31.472617996692748</v>
          </cell>
          <cell r="O89">
            <v>26.06125010915029</v>
          </cell>
          <cell r="P89">
            <v>24.44790211814874</v>
          </cell>
        </row>
        <row r="90">
          <cell r="K90">
            <v>9.868970308627695</v>
          </cell>
          <cell r="L90">
            <v>16.64711843345308</v>
          </cell>
          <cell r="O90">
            <v>3.2562977897935266</v>
          </cell>
          <cell r="P90">
            <v>6.8316983688911179</v>
          </cell>
        </row>
        <row r="91">
          <cell r="K91">
            <v>0.75673232000000035</v>
          </cell>
          <cell r="L91">
            <v>1.2382559700000002</v>
          </cell>
          <cell r="O91">
            <v>0.47439252000000026</v>
          </cell>
          <cell r="P91">
            <v>1.0093750800000003</v>
          </cell>
        </row>
        <row r="100">
          <cell r="K100">
            <v>54.545219317422003</v>
          </cell>
          <cell r="L100">
            <v>61.852473497649299</v>
          </cell>
          <cell r="O100">
            <v>-7.615787707659301</v>
          </cell>
          <cell r="P100">
            <v>-4.3939976968485013</v>
          </cell>
        </row>
        <row r="101">
          <cell r="K101">
            <v>51.876468762941563</v>
          </cell>
          <cell r="L101">
            <v>47.331052581909148</v>
          </cell>
          <cell r="O101">
            <v>-34.387809696913727</v>
          </cell>
          <cell r="P101">
            <v>-36.136514443560358</v>
          </cell>
        </row>
        <row r="102">
          <cell r="K102">
            <v>20.607563206814213</v>
          </cell>
          <cell r="L102">
            <v>5.8295223565558665</v>
          </cell>
          <cell r="O102">
            <v>-11.345304085348971</v>
          </cell>
          <cell r="P102">
            <v>-15.891194217273156</v>
          </cell>
        </row>
        <row r="103">
          <cell r="K103">
            <v>31.268905556127351</v>
          </cell>
          <cell r="L103">
            <v>41.501530225353278</v>
          </cell>
          <cell r="O103">
            <v>-23.042505611564756</v>
          </cell>
          <cell r="P103">
            <v>-20.245320226287205</v>
          </cell>
        </row>
        <row r="104">
          <cell r="K104">
            <v>15.014000853905968</v>
          </cell>
          <cell r="L104">
            <v>24.999155935225239</v>
          </cell>
          <cell r="O104">
            <v>28.519370183812153</v>
          </cell>
          <cell r="P104">
            <v>35.632154842779954</v>
          </cell>
        </row>
        <row r="105">
          <cell r="K105">
            <v>11.326607001474263</v>
          </cell>
          <cell r="L105">
            <v>13.786650929999999</v>
          </cell>
          <cell r="O105">
            <v>20.692444287474263</v>
          </cell>
          <cell r="P105">
            <v>22.523149309999994</v>
          </cell>
        </row>
        <row r="106">
          <cell r="K106">
            <v>5.2529361515855602</v>
          </cell>
          <cell r="L106">
            <v>8.0257692003706769</v>
          </cell>
          <cell r="O106">
            <v>8.9109110206314845</v>
          </cell>
          <cell r="P106">
            <v>12.040476948248678</v>
          </cell>
        </row>
        <row r="107">
          <cell r="K107">
            <v>-1.5655422991538561</v>
          </cell>
          <cell r="L107">
            <v>3.186735804854564</v>
          </cell>
          <cell r="O107">
            <v>-1.0839851242935934</v>
          </cell>
          <cell r="P107">
            <v>1.0685285845312791</v>
          </cell>
        </row>
        <row r="108">
          <cell r="K108">
            <v>-12.345464651171481</v>
          </cell>
          <cell r="L108">
            <v>-10.477455379999999</v>
          </cell>
          <cell r="O108">
            <v>-1.7479014697149307</v>
          </cell>
          <cell r="P108">
            <v>-3.8921342899999987</v>
          </cell>
        </row>
        <row r="114">
          <cell r="K114">
            <v>60.107561569654422</v>
          </cell>
          <cell r="L114">
            <v>61.852473497649299</v>
          </cell>
          <cell r="O114">
            <v>-10.554040472987623</v>
          </cell>
          <cell r="P114">
            <v>-4.3939976968485013</v>
          </cell>
        </row>
        <row r="115">
          <cell r="K115">
            <v>56.050608648579853</v>
          </cell>
          <cell r="L115">
            <v>47.331052581909148</v>
          </cell>
          <cell r="O115">
            <v>-38.773135834466672</v>
          </cell>
          <cell r="P115">
            <v>-36.136514443560358</v>
          </cell>
        </row>
        <row r="116">
          <cell r="K116">
            <v>20.057002842176065</v>
          </cell>
          <cell r="L116">
            <v>5.8295223565558665</v>
          </cell>
          <cell r="O116">
            <v>-14.928956495493541</v>
          </cell>
          <cell r="P116">
            <v>-15.891194217273156</v>
          </cell>
        </row>
        <row r="117">
          <cell r="K117">
            <v>35.993605806403792</v>
          </cell>
          <cell r="L117">
            <v>41.501530225353278</v>
          </cell>
          <cell r="O117">
            <v>-23.844179338973127</v>
          </cell>
          <cell r="P117">
            <v>-20.245320226287205</v>
          </cell>
        </row>
        <row r="118">
          <cell r="K118">
            <v>16.402203220500112</v>
          </cell>
          <cell r="L118">
            <v>24.999155935225239</v>
          </cell>
          <cell r="O118">
            <v>29.966443556036804</v>
          </cell>
          <cell r="P118">
            <v>35.632154842779954</v>
          </cell>
        </row>
        <row r="119">
          <cell r="K119">
            <v>11.326607001474263</v>
          </cell>
          <cell r="L119">
            <v>13.786650929999999</v>
          </cell>
          <cell r="O119">
            <v>20.692444287474263</v>
          </cell>
          <cell r="P119">
            <v>22.523149309999994</v>
          </cell>
        </row>
        <row r="120">
          <cell r="K120">
            <v>6.7001045202484875</v>
          </cell>
          <cell r="L120">
            <v>8.0257692003706769</v>
          </cell>
          <cell r="O120">
            <v>10.410467281385632</v>
          </cell>
          <cell r="P120">
            <v>12.040476948248678</v>
          </cell>
        </row>
        <row r="121">
          <cell r="K121">
            <v>-1.6245083012226385</v>
          </cell>
          <cell r="L121">
            <v>3.186735804854564</v>
          </cell>
          <cell r="O121">
            <v>-1.1364680128230917</v>
          </cell>
          <cell r="P121">
            <v>1.0685285845312791</v>
          </cell>
        </row>
        <row r="122">
          <cell r="K122">
            <v>-12.345464651171481</v>
          </cell>
          <cell r="L122">
            <v>-10.477455379999999</v>
          </cell>
          <cell r="O122">
            <v>-1.7479014697149307</v>
          </cell>
          <cell r="P122">
            <v>-3.8921342899999987</v>
          </cell>
        </row>
      </sheetData>
      <sheetData sheetId="2">
        <row r="10">
          <cell r="K10">
            <v>81.409019257958107</v>
          </cell>
          <cell r="L10">
            <v>134.50011651550599</v>
          </cell>
          <cell r="O10">
            <v>34.054356911139003</v>
          </cell>
          <cell r="P10">
            <v>74.439254966843492</v>
          </cell>
        </row>
        <row r="11">
          <cell r="K11">
            <v>60.852808519999996</v>
          </cell>
          <cell r="L11">
            <v>96.001446800000011</v>
          </cell>
          <cell r="O11">
            <v>26.338815009999998</v>
          </cell>
          <cell r="P11">
            <v>52.887086470000007</v>
          </cell>
        </row>
        <row r="12">
          <cell r="K12">
            <v>22.478095251301799</v>
          </cell>
          <cell r="L12">
            <v>40.532819250521499</v>
          </cell>
          <cell r="O12">
            <v>8.6314028763422979</v>
          </cell>
          <cell r="P12">
            <v>22.640151380459198</v>
          </cell>
        </row>
        <row r="20">
          <cell r="K20">
            <v>-5.1827484440265996</v>
          </cell>
          <cell r="L20">
            <v>28.1451873792942</v>
          </cell>
          <cell r="O20">
            <v>-5.8551121749896584</v>
          </cell>
          <cell r="P20">
            <v>20.100309360086811</v>
          </cell>
        </row>
        <row r="21">
          <cell r="K21">
            <v>-1.4656421500000101</v>
          </cell>
          <cell r="L21">
            <v>21.548639570000102</v>
          </cell>
          <cell r="O21">
            <v>-2.84187897000003</v>
          </cell>
          <cell r="P21">
            <v>15.294947170000132</v>
          </cell>
        </row>
        <row r="22">
          <cell r="K22">
            <v>-4.0579807540265298</v>
          </cell>
          <cell r="L22">
            <v>6.7079379392941805</v>
          </cell>
          <cell r="O22">
            <v>-3.0087741949895599</v>
          </cell>
          <cell r="P22">
            <v>4.876718280086731</v>
          </cell>
        </row>
        <row r="26">
          <cell r="K26">
            <v>-33.808912967646798</v>
          </cell>
          <cell r="L26">
            <v>19.008089320751001</v>
          </cell>
          <cell r="O26">
            <v>-29.733937840584616</v>
          </cell>
          <cell r="P26">
            <v>15.405782231817811</v>
          </cell>
        </row>
        <row r="27">
          <cell r="K27">
            <v>-7.3570408900000199</v>
          </cell>
          <cell r="L27">
            <v>15.890000290000097</v>
          </cell>
          <cell r="O27">
            <v>-5.7114019200000525</v>
          </cell>
          <cell r="P27">
            <v>12.553592210000108</v>
          </cell>
        </row>
        <row r="28">
          <cell r="K28">
            <v>-23.2347465376466</v>
          </cell>
          <cell r="L28">
            <v>3.22947916075083</v>
          </cell>
          <cell r="O28">
            <v>-20.460076910584462</v>
          </cell>
          <cell r="P28">
            <v>2.9235461118175441</v>
          </cell>
        </row>
        <row r="35">
          <cell r="K35">
            <v>84.759526420643496</v>
          </cell>
          <cell r="L35">
            <v>134.50011651550599</v>
          </cell>
          <cell r="O35">
            <v>35.650443539157202</v>
          </cell>
          <cell r="P35">
            <v>74.439254966843492</v>
          </cell>
        </row>
        <row r="36">
          <cell r="K36">
            <v>60.852808519999996</v>
          </cell>
          <cell r="L36">
            <v>96.001446800000011</v>
          </cell>
          <cell r="O36">
            <v>26.338815009999998</v>
          </cell>
          <cell r="P36">
            <v>52.887086470000007</v>
          </cell>
        </row>
        <row r="37">
          <cell r="K37">
            <v>25.8196286763195</v>
          </cell>
          <cell r="L37">
            <v>40.532819250521499</v>
          </cell>
          <cell r="O37">
            <v>10.2232947927215</v>
          </cell>
          <cell r="P37">
            <v>22.640151380459198</v>
          </cell>
        </row>
        <row r="41">
          <cell r="K41">
            <v>-6.2249911529744102</v>
          </cell>
          <cell r="L41">
            <v>28.1451873792942</v>
          </cell>
          <cell r="O41">
            <v>-6.7607374181889108</v>
          </cell>
          <cell r="P41">
            <v>20.100309360086811</v>
          </cell>
        </row>
        <row r="42">
          <cell r="K42">
            <v>-1.4656421500000101</v>
          </cell>
          <cell r="L42">
            <v>21.548639570000102</v>
          </cell>
          <cell r="O42">
            <v>-2.84187897000003</v>
          </cell>
          <cell r="P42">
            <v>15.294947170000132</v>
          </cell>
        </row>
        <row r="43">
          <cell r="K43">
            <v>-5.1002234629743199</v>
          </cell>
          <cell r="L43">
            <v>6.7079379392941805</v>
          </cell>
          <cell r="O43">
            <v>-3.9143994381887799</v>
          </cell>
          <cell r="P43">
            <v>4.876718280086731</v>
          </cell>
        </row>
        <row r="48">
          <cell r="K48">
            <v>-37.674205736209501</v>
          </cell>
          <cell r="L48">
            <v>19.008089320751001</v>
          </cell>
          <cell r="O48">
            <v>-33.254763784389482</v>
          </cell>
          <cell r="P48">
            <v>15.405782231817811</v>
          </cell>
        </row>
        <row r="49">
          <cell r="K49">
            <v>-7.3570408900000199</v>
          </cell>
          <cell r="L49">
            <v>15.890000290000097</v>
          </cell>
          <cell r="O49">
            <v>-5.7114019200000525</v>
          </cell>
          <cell r="P49">
            <v>12.553592210000108</v>
          </cell>
        </row>
        <row r="50">
          <cell r="K50">
            <v>-27.1000393062094</v>
          </cell>
          <cell r="L50">
            <v>3.22947916075083</v>
          </cell>
          <cell r="O50">
            <v>-23.98090285438937</v>
          </cell>
          <cell r="P50">
            <v>2.9235461118175441</v>
          </cell>
        </row>
      </sheetData>
      <sheetData sheetId="3">
        <row r="10">
          <cell r="K10">
            <v>75.57989474642801</v>
          </cell>
          <cell r="L10">
            <v>104.53132133614</v>
          </cell>
          <cell r="O10">
            <v>33.884859971802214</v>
          </cell>
          <cell r="P10">
            <v>55.473781448534794</v>
          </cell>
        </row>
        <row r="11">
          <cell r="K11">
            <v>66.499560406513496</v>
          </cell>
          <cell r="L11">
            <v>94.209325238749003</v>
          </cell>
          <cell r="O11">
            <v>29.32860506075</v>
          </cell>
          <cell r="P11">
            <v>50.366360149835707</v>
          </cell>
        </row>
        <row r="12">
          <cell r="K12">
            <v>35.149595652215801</v>
          </cell>
          <cell r="L12">
            <v>51.4288907278384</v>
          </cell>
          <cell r="O12">
            <v>15.881036489480703</v>
          </cell>
          <cell r="P12">
            <v>27.845975706348799</v>
          </cell>
        </row>
        <row r="13">
          <cell r="K13">
            <v>24.171374805028499</v>
          </cell>
          <cell r="L13">
            <v>28.480728038104001</v>
          </cell>
          <cell r="O13">
            <v>11.409593714218099</v>
          </cell>
          <cell r="P13">
            <v>14.778394969812</v>
          </cell>
        </row>
        <row r="14">
          <cell r="K14">
            <v>15.09243039318922</v>
          </cell>
          <cell r="L14">
            <v>17.573433689553863</v>
          </cell>
          <cell r="O14">
            <v>7.0482270867261434</v>
          </cell>
          <cell r="P14">
            <v>9.1341677908001984</v>
          </cell>
        </row>
        <row r="15">
          <cell r="K15">
            <v>8.26075891018926</v>
          </cell>
          <cell r="L15">
            <v>9.774179875300149</v>
          </cell>
          <cell r="O15">
            <v>3.9265402556219193</v>
          </cell>
          <cell r="P15">
            <v>5.1079821974618298</v>
          </cell>
        </row>
        <row r="16">
          <cell r="K16">
            <v>0.81818550165001902</v>
          </cell>
          <cell r="L16">
            <v>1.1331144732499894</v>
          </cell>
          <cell r="O16">
            <v>0.43482637187003625</v>
          </cell>
          <cell r="P16">
            <v>0.53624498154997191</v>
          </cell>
        </row>
        <row r="17">
          <cell r="K17">
            <v>10.978220847187302</v>
          </cell>
          <cell r="L17">
            <v>22.948162689734399</v>
          </cell>
          <cell r="O17">
            <v>4.471442775262604</v>
          </cell>
          <cell r="P17">
            <v>13.067580736536799</v>
          </cell>
        </row>
        <row r="18">
          <cell r="K18">
            <v>8.5717363656945782</v>
          </cell>
          <cell r="L18">
            <v>18.136322833652837</v>
          </cell>
          <cell r="O18">
            <v>3.4879742967128546</v>
          </cell>
          <cell r="P18">
            <v>10.206270016525803</v>
          </cell>
        </row>
        <row r="19">
          <cell r="K19">
            <v>1.29867205314277</v>
          </cell>
          <cell r="L19">
            <v>2.9610625393315519</v>
          </cell>
          <cell r="O19">
            <v>0.46329570041980084</v>
          </cell>
          <cell r="P19">
            <v>1.5355582515609614</v>
          </cell>
        </row>
        <row r="20">
          <cell r="K20">
            <v>1.1078124283499537</v>
          </cell>
          <cell r="L20">
            <v>1.8507773167500101</v>
          </cell>
          <cell r="O20">
            <v>0.52017277812994855</v>
          </cell>
          <cell r="P20">
            <v>1.3257524684500348</v>
          </cell>
        </row>
        <row r="21">
          <cell r="K21">
            <v>23.026383030649804</v>
          </cell>
          <cell r="L21">
            <v>30.714250829344298</v>
          </cell>
          <cell r="O21">
            <v>9.8046286872344037</v>
          </cell>
          <cell r="P21">
            <v>15.494425023075399</v>
          </cell>
        </row>
        <row r="22">
          <cell r="K22">
            <v>8.3235817236478908</v>
          </cell>
          <cell r="L22">
            <v>12.066183681566304</v>
          </cell>
          <cell r="O22">
            <v>3.6429398840348934</v>
          </cell>
          <cell r="P22">
            <v>7.0259594204115086</v>
          </cell>
        </row>
        <row r="23">
          <cell r="K23">
            <v>9.0803343399145149</v>
          </cell>
          <cell r="L23">
            <v>10.321996097390993</v>
          </cell>
          <cell r="O23">
            <v>4.5562549110522141</v>
          </cell>
          <cell r="P23">
            <v>5.1074212986990872</v>
          </cell>
        </row>
        <row r="24">
          <cell r="K24">
            <v>89.218954313508704</v>
          </cell>
          <cell r="L24">
            <v>102.88654024339557</v>
          </cell>
          <cell r="O24">
            <v>41.556885785147585</v>
          </cell>
          <cell r="P24">
            <v>50.757289920327402</v>
          </cell>
        </row>
        <row r="25">
          <cell r="K25">
            <v>79.788417363813991</v>
          </cell>
          <cell r="L25">
            <v>91.536458222787005</v>
          </cell>
          <cell r="O25">
            <v>37.073949509422803</v>
          </cell>
          <cell r="P25">
            <v>45.609634588094622</v>
          </cell>
        </row>
        <row r="26">
          <cell r="K26">
            <v>9.4305369496947122</v>
          </cell>
          <cell r="L26">
            <v>11.350082020608568</v>
          </cell>
          <cell r="O26">
            <v>4.4829362757247821</v>
          </cell>
          <cell r="P26">
            <v>5.1476553322327803</v>
          </cell>
        </row>
        <row r="27">
          <cell r="K27">
            <v>-13.6390595670807</v>
          </cell>
          <cell r="L27">
            <v>1.64478109274442</v>
          </cell>
          <cell r="O27">
            <v>-7.67202581334538</v>
          </cell>
          <cell r="P27">
            <v>4.7164915282073903</v>
          </cell>
        </row>
        <row r="28">
          <cell r="K28">
            <v>-13.288856957300501</v>
          </cell>
          <cell r="L28">
            <v>2.6728670159620003</v>
          </cell>
          <cell r="O28">
            <v>-7.7453444486728111</v>
          </cell>
          <cell r="P28">
            <v>4.7567255617410904</v>
          </cell>
        </row>
        <row r="30">
          <cell r="K30">
            <v>-0.35020260978019913</v>
          </cell>
          <cell r="L30">
            <v>-1.0280859232175803</v>
          </cell>
          <cell r="O30">
            <v>7.3318635327431103E-2</v>
          </cell>
          <cell r="P30">
            <v>-4.0234033533700364E-2</v>
          </cell>
        </row>
        <row r="31">
          <cell r="K31">
            <v>-20.184625392133139</v>
          </cell>
          <cell r="L31">
            <v>-3.2178184927224303</v>
          </cell>
          <cell r="O31">
            <v>-11.75760183266811</v>
          </cell>
          <cell r="P31">
            <v>2.2010069286425793</v>
          </cell>
        </row>
        <row r="32">
          <cell r="K32">
            <v>-18.881597389141699</v>
          </cell>
          <cell r="L32">
            <v>-1.2584619106254498</v>
          </cell>
          <cell r="O32">
            <v>-11.365296284089389</v>
          </cell>
          <cell r="P32">
            <v>2.7411846502580102</v>
          </cell>
        </row>
        <row r="34">
          <cell r="K34">
            <v>-1.3030280029914394</v>
          </cell>
          <cell r="L34">
            <v>-1.9593565820969805</v>
          </cell>
          <cell r="O34">
            <v>-0.39230554857872058</v>
          </cell>
          <cell r="P34">
            <v>-0.54017772161543087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2:AU166"/>
  <sheetViews>
    <sheetView tabSelected="1" zoomScale="80" zoomScaleNormal="80" workbookViewId="0">
      <pane xSplit="3" ySplit="6" topLeftCell="D7" activePane="bottomRight" state="frozen"/>
      <selection activeCell="G33" sqref="G33"/>
      <selection pane="topRight" activeCell="G33" sqref="G33"/>
      <selection pane="bottomLeft" activeCell="G33" sqref="G33"/>
      <selection pane="bottomRight" activeCell="G33" sqref="G33"/>
    </sheetView>
  </sheetViews>
  <sheetFormatPr baseColWidth="10" defaultColWidth="11.42578125" defaultRowHeight="12.75"/>
  <cols>
    <col min="1" max="1" width="6.5703125" style="1" bestFit="1" customWidth="1"/>
    <col min="2" max="3" width="11.42578125" style="1"/>
    <col min="4" max="4" width="48.7109375" style="1" customWidth="1"/>
    <col min="5" max="5" width="1" style="1" customWidth="1"/>
    <col min="6" max="8" width="11.42578125" style="1" customWidth="1"/>
    <col min="9" max="9" width="1" style="1" customWidth="1"/>
    <col min="10" max="12" width="11.42578125" style="1" customWidth="1"/>
    <col min="13" max="13" width="6.85546875" style="1" customWidth="1"/>
    <col min="14" max="14" width="11.42578125" style="1"/>
    <col min="15" max="15" width="48.7109375" style="1" customWidth="1"/>
    <col min="16" max="16" width="0.85546875" style="1" customWidth="1"/>
    <col min="17" max="19" width="11.42578125" style="1"/>
    <col min="20" max="20" width="0.85546875" style="1" customWidth="1"/>
    <col min="21" max="23" width="11.42578125" style="1"/>
    <col min="24" max="24" width="6.85546875" style="1" customWidth="1"/>
    <col min="25" max="25" width="11.42578125" style="1"/>
    <col min="26" max="26" width="48.7109375" style="1" customWidth="1"/>
    <col min="27" max="27" width="0.85546875" style="1" customWidth="1"/>
    <col min="28" max="30" width="11.42578125" style="1"/>
    <col min="31" max="31" width="0.85546875" style="1" customWidth="1"/>
    <col min="32" max="34" width="11.42578125" style="1"/>
    <col min="35" max="35" width="6.85546875" style="1" customWidth="1"/>
    <col min="36" max="36" width="11.42578125" style="1"/>
    <col min="37" max="37" width="48.7109375" style="1" customWidth="1"/>
    <col min="38" max="38" width="0.85546875" style="1" customWidth="1"/>
    <col min="39" max="41" width="11.42578125" style="1"/>
    <col min="42" max="42" width="0.85546875" style="1" customWidth="1"/>
    <col min="43" max="45" width="11.42578125" style="1"/>
    <col min="46" max="46" width="6.85546875" style="1" customWidth="1"/>
    <col min="47" max="16384" width="11.42578125" style="1"/>
  </cols>
  <sheetData>
    <row r="2" spans="1:46" ht="13.5" thickBot="1"/>
    <row r="3" spans="1:46" ht="16.5" thickBot="1">
      <c r="A3" s="1" t="s">
        <v>0</v>
      </c>
      <c r="B3" s="2" t="s">
        <v>1</v>
      </c>
      <c r="D3" s="3" t="str">
        <f>+IF($B$3="esp","GRUPO","GROUP")</f>
        <v>GROUP</v>
      </c>
      <c r="E3" s="4"/>
      <c r="F3" s="4"/>
      <c r="G3" s="5"/>
      <c r="H3" s="4"/>
      <c r="I3" s="4"/>
      <c r="J3" s="4"/>
      <c r="K3" s="5"/>
      <c r="L3" s="4"/>
      <c r="M3" s="4"/>
      <c r="O3" s="3" t="str">
        <f>+IF($B$3="esp","EDUCACIÓN","EDUCATION")</f>
        <v>EDUCATION</v>
      </c>
      <c r="P3" s="4"/>
      <c r="Q3" s="4"/>
      <c r="R3" s="5"/>
      <c r="S3" s="4"/>
      <c r="T3" s="4"/>
      <c r="U3" s="4"/>
      <c r="V3" s="5"/>
      <c r="W3" s="4"/>
      <c r="X3" s="4"/>
      <c r="Z3" s="3" t="str">
        <f>+IF($B$3="esp","RADIO","RADIO")</f>
        <v>RADIO</v>
      </c>
      <c r="AA3" s="4"/>
      <c r="AB3" s="4"/>
      <c r="AC3" s="5"/>
      <c r="AD3" s="4"/>
      <c r="AE3" s="4"/>
      <c r="AF3" s="4"/>
      <c r="AG3" s="5"/>
      <c r="AH3" s="4"/>
      <c r="AI3" s="4"/>
      <c r="AK3" s="3" t="str">
        <f>+IF($B$3="esp","PRENSA - incluye PBS y Tecnología","PRESS - includes PBS &amp; IT")</f>
        <v>PRESS - includes PBS &amp; IT</v>
      </c>
      <c r="AL3" s="4"/>
      <c r="AM3" s="4"/>
      <c r="AN3" s="5"/>
      <c r="AO3" s="4"/>
      <c r="AP3" s="4"/>
      <c r="AQ3" s="4"/>
      <c r="AR3" s="5"/>
      <c r="AS3" s="4"/>
      <c r="AT3" s="4"/>
    </row>
    <row r="4" spans="1:46">
      <c r="A4" s="1" t="s">
        <v>2</v>
      </c>
      <c r="B4" s="6" t="s">
        <v>3</v>
      </c>
    </row>
    <row r="5" spans="1:46">
      <c r="A5" s="1" t="s">
        <v>1</v>
      </c>
      <c r="B5" s="1" t="s">
        <v>4</v>
      </c>
    </row>
    <row r="6" spans="1:46">
      <c r="F6" s="7" t="str">
        <f>+IF($B$3="esp","ENERO - JUNIO","JANUARY - JUNE")</f>
        <v>JANUARY - JUNE</v>
      </c>
      <c r="G6" s="8"/>
      <c r="H6" s="8"/>
      <c r="J6" s="7" t="str">
        <f>+IF($B$3="esp","ABRIL - JUNIO","APRIL - JUNE")</f>
        <v>APRIL - JUNE</v>
      </c>
      <c r="K6" s="8"/>
      <c r="L6" s="8"/>
      <c r="Q6" s="7" t="str">
        <f>+IF($B$3="esp","ENERO - JUNIO","JANUARY - JUNE")</f>
        <v>JANUARY - JUNE</v>
      </c>
      <c r="R6" s="8"/>
      <c r="S6" s="8"/>
      <c r="U6" s="7" t="str">
        <f>+IF($B$3="esp","ABRIL - JUNIO","APRIL - JUNE")</f>
        <v>APRIL - JUNE</v>
      </c>
      <c r="V6" s="8"/>
      <c r="W6" s="8"/>
      <c r="AB6" s="7" t="str">
        <f>+IF($B$3="esp","ENERO - JUNIO","JANUARY - JUNE")</f>
        <v>JANUARY - JUNE</v>
      </c>
      <c r="AC6" s="8"/>
      <c r="AD6" s="8"/>
      <c r="AF6" s="7" t="str">
        <f>+IF($B$3="esp","ABRIL - JUNIO","APRIL - JUNE")</f>
        <v>APRIL - JUNE</v>
      </c>
      <c r="AG6" s="8"/>
      <c r="AH6" s="8"/>
      <c r="AM6" s="7" t="str">
        <f>+IF($B$3="esp","ENERO - JUNIO","JANUARY - JUNE")</f>
        <v>JANUARY - JUNE</v>
      </c>
      <c r="AN6" s="8"/>
      <c r="AO6" s="8"/>
      <c r="AQ6" s="7" t="str">
        <f>+IF($B$3="esp","ABRIL - JUNIO","APRIL - JUNE")</f>
        <v>APRIL - JUNE</v>
      </c>
      <c r="AR6" s="8"/>
      <c r="AS6" s="8"/>
    </row>
    <row r="8" spans="1:46">
      <c r="D8" s="9" t="str">
        <f>+IF($B$3="esp","Millones de €","€ Millions")</f>
        <v>€ Millions</v>
      </c>
      <c r="F8" s="10">
        <v>2020</v>
      </c>
      <c r="G8" s="10">
        <v>2019</v>
      </c>
      <c r="H8" s="10" t="str">
        <f>+IF($B$3="esp","Var.%","% Chg.")</f>
        <v>% Chg.</v>
      </c>
      <c r="J8" s="10">
        <v>2020</v>
      </c>
      <c r="K8" s="10">
        <v>2019</v>
      </c>
      <c r="L8" s="10" t="str">
        <f>+IF($B$3="esp","Var.%","% Chg.")</f>
        <v>% Chg.</v>
      </c>
      <c r="O8" s="9" t="str">
        <f>+IF($B$3="esp","Millones de €","€ Millions")</f>
        <v>€ Millions</v>
      </c>
      <c r="Q8" s="10">
        <v>2020</v>
      </c>
      <c r="R8" s="10">
        <v>2019</v>
      </c>
      <c r="S8" s="10" t="str">
        <f>+IF($B$3="esp","Var.%","% Chg.")</f>
        <v>% Chg.</v>
      </c>
      <c r="U8" s="10">
        <v>2020</v>
      </c>
      <c r="V8" s="10">
        <v>2019</v>
      </c>
      <c r="W8" s="10" t="str">
        <f>+IF($B$3="esp","Var.%","% Chg.")</f>
        <v>% Chg.</v>
      </c>
      <c r="Z8" s="9" t="str">
        <f>+IF($B$3="esp","Millones de €","€ Millions")</f>
        <v>€ Millions</v>
      </c>
      <c r="AB8" s="10">
        <v>2020</v>
      </c>
      <c r="AC8" s="10">
        <v>2019</v>
      </c>
      <c r="AD8" s="10" t="str">
        <f>+IF($B$3="esp","Var.%","% Chg.")</f>
        <v>% Chg.</v>
      </c>
      <c r="AF8" s="10">
        <v>2020</v>
      </c>
      <c r="AG8" s="10">
        <v>2019</v>
      </c>
      <c r="AH8" s="10" t="str">
        <f>+IF($B$3="esp","Var.%","% Chg.")</f>
        <v>% Chg.</v>
      </c>
      <c r="AK8" s="9" t="str">
        <f>+IF($B$3="esp","Millones de €","€ Millions")</f>
        <v>€ Millions</v>
      </c>
      <c r="AM8" s="10">
        <v>2020</v>
      </c>
      <c r="AN8" s="10">
        <v>2019</v>
      </c>
      <c r="AO8" s="10" t="str">
        <f>+IF($B$3="esp","Var.%","% Chg.")</f>
        <v>% Chg.</v>
      </c>
      <c r="AQ8" s="10">
        <v>2020</v>
      </c>
      <c r="AR8" s="10">
        <v>2019</v>
      </c>
      <c r="AS8" s="10" t="str">
        <f>+IF($B$3="esp","Var.%","% Chg.")</f>
        <v>% Chg.</v>
      </c>
    </row>
    <row r="9" spans="1:46" ht="15.75" customHeight="1">
      <c r="D9" s="11" t="str">
        <f>+IF($B$3="esp","Resultados Reportados","Reported Results")</f>
        <v>Reported Results</v>
      </c>
      <c r="F9" s="12"/>
      <c r="G9" s="13"/>
      <c r="H9" s="13"/>
      <c r="J9" s="12"/>
      <c r="K9" s="13"/>
      <c r="L9" s="13"/>
      <c r="O9" s="11" t="str">
        <f>+IF($B$3="esp","Resultados Reportados","Reported Results")</f>
        <v>Reported Results</v>
      </c>
      <c r="Q9" s="13"/>
      <c r="R9" s="13"/>
      <c r="S9" s="13"/>
      <c r="U9" s="13"/>
      <c r="V9" s="13"/>
      <c r="W9" s="13"/>
      <c r="Z9" s="11" t="str">
        <f>+IF($B$3="esp","Resultados Reportados","Reported Results")</f>
        <v>Reported Results</v>
      </c>
      <c r="AB9" s="13"/>
      <c r="AC9" s="13"/>
      <c r="AD9" s="13"/>
      <c r="AF9" s="13"/>
      <c r="AG9" s="13"/>
      <c r="AH9" s="13"/>
      <c r="AK9" s="11" t="str">
        <f>+IF($B$3="esp","Resultados Reportados","Reported Results")</f>
        <v>Reported Results</v>
      </c>
      <c r="AM9" s="13"/>
      <c r="AN9" s="13"/>
      <c r="AO9" s="13"/>
      <c r="AQ9" s="13"/>
      <c r="AR9" s="13"/>
      <c r="AS9" s="13"/>
    </row>
    <row r="10" spans="1:46" s="14" customFormat="1" ht="15" customHeight="1">
      <c r="D10" s="14" t="str">
        <f>+IF($B$3="esp","Ingresos de Explotación","Operating Revenues")</f>
        <v>Operating Revenues</v>
      </c>
      <c r="F10" s="15">
        <f>+[1]GRUPO!K10</f>
        <v>392.79505977231901</v>
      </c>
      <c r="G10" s="16">
        <f>+[1]GRUPO!L10</f>
        <v>485.66755224943199</v>
      </c>
      <c r="H10" s="17">
        <f t="shared" ref="H10:H24" si="0">IF(G10=0,"---",IF(OR(ABS((F10-G10)/ABS(G10))&gt;2,(F10*G10)&lt;0),"---",IF(G10="0","---",((F10-G10)/ABS(G10))*100)))</f>
        <v>-19.122647178499374</v>
      </c>
      <c r="J10" s="15">
        <f>+[1]GRUPO!O10</f>
        <v>130.269078631453</v>
      </c>
      <c r="K10" s="16">
        <f>+[1]GRUPO!P10</f>
        <v>212.64324493993996</v>
      </c>
      <c r="L10" s="17">
        <f t="shared" ref="L10:L24" si="1">IF(K10=0,"---",IF(OR(ABS((J10-K10)/ABS(K10))&gt;2,(J10*K10)&lt;0),"---",IF(K10="0","---",((J10-K10)/ABS(K10))*100)))</f>
        <v>-38.738200374882894</v>
      </c>
      <c r="O10" s="14" t="str">
        <f>+IF($B$3="esp","Ingresos de Explotación","Operating Revenues")</f>
        <v>Operating Revenues</v>
      </c>
      <c r="Q10" s="15">
        <f>+[1]SANTILLANA!K10</f>
        <v>244.54487357987901</v>
      </c>
      <c r="R10" s="16">
        <f>+[1]SANTILLANA!L10</f>
        <v>255.97954345540199</v>
      </c>
      <c r="S10" s="17">
        <f t="shared" ref="S10:S27" si="2">IF(R10=0,"---",IF(OR(ABS((Q10-R10)/ABS(R10))&gt;2,(Q10*R10)&lt;0),"---",IF(R10="0","---",((Q10-R10)/ABS(R10))*100)))</f>
        <v>-4.4670248728352737</v>
      </c>
      <c r="U10" s="15">
        <f>+[1]SANTILLANA!O10</f>
        <v>66.557535276668006</v>
      </c>
      <c r="V10" s="16">
        <f>+[1]SANTILLANA!P10</f>
        <v>87.063109187520013</v>
      </c>
      <c r="W10" s="17">
        <f t="shared" ref="W10:W27" si="3">IF(V10=0,"---",IF(OR(ABS((U10-V10)/ABS(V10))&gt;2,(U10*V10)&lt;0),"---",IF(V10="0","---",((U10-V10)/ABS(V10))*100)))</f>
        <v>-23.552540337936108</v>
      </c>
      <c r="Z10" s="14" t="str">
        <f>+IF($B$3="esp","Ingresos de Explotación","Operating Revenues")</f>
        <v>Operating Revenues</v>
      </c>
      <c r="AB10" s="15">
        <f>+[1]RADIO!K10</f>
        <v>81.409019257958107</v>
      </c>
      <c r="AC10" s="16">
        <f>+[1]RADIO!L10</f>
        <v>134.50011651550599</v>
      </c>
      <c r="AD10" s="17">
        <f>IF(AC10=0,"---",IF(OR(ABS((AB10-AC10)/ABS(AC10))&gt;2,(AB10*AC10)&lt;0),"---",IF(AC10="0","---",((AB10-AC10)/ABS(AC10))*100)))</f>
        <v>-39.47290056914354</v>
      </c>
      <c r="AF10" s="15">
        <f>+[1]RADIO!O10</f>
        <v>34.054356911139003</v>
      </c>
      <c r="AG10" s="16">
        <f>+[1]RADIO!P10</f>
        <v>74.439254966843492</v>
      </c>
      <c r="AH10" s="17">
        <f t="shared" ref="AH10:AH21" si="4">IF(AG10=0,"---",IF(OR(ABS((AF10-AG10)/ABS(AG10))&gt;2,(AF10*AG10)&lt;0),"---",IF(AG10="0","---",((AF10-AG10)/ABS(AG10))*100)))</f>
        <v>-54.252152407614254</v>
      </c>
      <c r="AK10" s="18" t="str">
        <f>+IF($B$3="esp","Ingresos de Explotación Noticias Gestión","Total Press Operating Revenues")</f>
        <v>Total Press Operating Revenues</v>
      </c>
      <c r="AM10" s="19">
        <f>+[1]NOTICIAS!K10</f>
        <v>75.57989474642801</v>
      </c>
      <c r="AN10" s="20">
        <f>+[1]NOTICIAS!L10</f>
        <v>104.53132133614</v>
      </c>
      <c r="AO10" s="21">
        <f t="shared" ref="AO10:AO28" si="5">IF(AN10=0,"---",IF(OR(ABS((AM10-AN10)/ABS(AN10))&gt;2,(AM10*AN10)&lt;0),"---",IF(AN10="0","---",((AM10-AN10)/ABS(AN10))*100)))</f>
        <v>-27.696413112978131</v>
      </c>
      <c r="AQ10" s="19">
        <f>+[1]NOTICIAS!O10</f>
        <v>33.884859971802214</v>
      </c>
      <c r="AR10" s="20">
        <f>+[1]NOTICIAS!P10</f>
        <v>55.473781448534794</v>
      </c>
      <c r="AS10" s="21">
        <f t="shared" ref="AS10:AS28" si="6">IF(AR10=0,"---",IF(OR(ABS((AQ10-AR10)/ABS(AR10))&gt;2,(AQ10*AR10)&lt;0),"---",IF(AR10="0","---",((AQ10-AR10)/ABS(AR10))*100)))</f>
        <v>-38.917342414743203</v>
      </c>
    </row>
    <row r="11" spans="1:46" ht="15" customHeight="1">
      <c r="D11" s="22" t="str">
        <f>+IF($B$3="esp","España","Spain")</f>
        <v>Spain</v>
      </c>
      <c r="F11" s="23">
        <f>+[1]GRUPO!K11</f>
        <v>165.73727184346183</v>
      </c>
      <c r="G11" s="24">
        <f>+[1]GRUPO!L11</f>
        <v>233.97248504252053</v>
      </c>
      <c r="H11" s="25">
        <f t="shared" si="0"/>
        <v>-29.16377675206472</v>
      </c>
      <c r="J11" s="23">
        <f>+[1]GRUPO!O11</f>
        <v>93.476823680105468</v>
      </c>
      <c r="K11" s="24">
        <f>+[1]GRUPO!P11</f>
        <v>146.32077269773984</v>
      </c>
      <c r="L11" s="25">
        <f t="shared" si="1"/>
        <v>-36.115138024042594</v>
      </c>
      <c r="O11" s="22" t="str">
        <f>+IF($B$3="esp","Negocio España","Spain business")</f>
        <v>Spain business</v>
      </c>
      <c r="Q11" s="23">
        <f>+[1]SANTILLANA!K11</f>
        <v>39.744683209999998</v>
      </c>
      <c r="R11" s="24">
        <f>+[1]SANTILLANA!L11</f>
        <v>45.362771290000005</v>
      </c>
      <c r="S11" s="25">
        <f t="shared" si="2"/>
        <v>-12.384799076943711</v>
      </c>
      <c r="U11" s="23">
        <f>+[1]SANTILLANA!O11</f>
        <v>38.340233739999995</v>
      </c>
      <c r="V11" s="24">
        <f>+[1]SANTILLANA!P11</f>
        <v>43.130839530000003</v>
      </c>
      <c r="W11" s="25">
        <f t="shared" si="3"/>
        <v>-11.107147095219103</v>
      </c>
      <c r="Z11" s="22" t="str">
        <f>+IF($B$3="esp","España","Spain")</f>
        <v>Spain</v>
      </c>
      <c r="AB11" s="23">
        <f>+[1]RADIO!K11</f>
        <v>60.852808519999996</v>
      </c>
      <c r="AC11" s="24">
        <f>+[1]RADIO!L11</f>
        <v>96.001446800000011</v>
      </c>
      <c r="AD11" s="25">
        <f>IF(AC11=0,"---",IF(OR(ABS((AB11-AC11)/ABS(AC11))&gt;2,(AB11*AC11)&lt;0),"---",IF(AC11="0","---",((AB11-AC11)/ABS(AC11))*100)))</f>
        <v>-36.612613092410193</v>
      </c>
      <c r="AF11" s="23">
        <f>+[1]RADIO!O11</f>
        <v>26.338815009999998</v>
      </c>
      <c r="AG11" s="24">
        <f>+[1]RADIO!P11</f>
        <v>52.887086470000007</v>
      </c>
      <c r="AH11" s="25">
        <f t="shared" si="4"/>
        <v>-50.198022299941613</v>
      </c>
      <c r="AK11" s="26" t="str">
        <f>+IF($B$3="esp","Ingresos de Explotación PRENSA","PRESS Operating Revenues")</f>
        <v>PRESS Operating Revenues</v>
      </c>
      <c r="AL11" s="14"/>
      <c r="AM11" s="15">
        <f>+[1]NOTICIAS!K11</f>
        <v>66.499560406513496</v>
      </c>
      <c r="AN11" s="16">
        <f>+[1]NOTICIAS!L11</f>
        <v>94.209325238749003</v>
      </c>
      <c r="AO11" s="17">
        <f t="shared" si="5"/>
        <v>-29.412974524562536</v>
      </c>
      <c r="AP11" s="14"/>
      <c r="AQ11" s="15">
        <f>+[1]NOTICIAS!O11</f>
        <v>29.32860506075</v>
      </c>
      <c r="AR11" s="16">
        <f>+[1]NOTICIAS!P11</f>
        <v>50.366360149835707</v>
      </c>
      <c r="AS11" s="17">
        <f t="shared" si="6"/>
        <v>-41.769456888486971</v>
      </c>
    </row>
    <row r="12" spans="1:46" ht="15" customHeight="1">
      <c r="D12" s="22" t="str">
        <f>+IF($B$3="esp","Internacional","International")</f>
        <v>International</v>
      </c>
      <c r="F12" s="23">
        <f>+[1]GRUPO!K12</f>
        <v>227.05778792885718</v>
      </c>
      <c r="G12" s="24">
        <f>+[1]GRUPO!L12</f>
        <v>251.69506720691146</v>
      </c>
      <c r="H12" s="25">
        <f t="shared" si="0"/>
        <v>-9.7885427598788262</v>
      </c>
      <c r="J12" s="23">
        <f>+[1]GRUPO!O12</f>
        <v>36.79225495134753</v>
      </c>
      <c r="K12" s="24">
        <f>+[1]GRUPO!P12</f>
        <v>66.322472242200121</v>
      </c>
      <c r="L12" s="25">
        <f t="shared" si="1"/>
        <v>-44.525205850307401</v>
      </c>
      <c r="O12" s="22" t="str">
        <f>+IF($B$3="esp","Negocio Internacional","International business")</f>
        <v>International business</v>
      </c>
      <c r="Q12" s="23">
        <f>+[1]SANTILLANA!K12</f>
        <v>204.04345804987901</v>
      </c>
      <c r="R12" s="24">
        <f>+[1]SANTILLANA!L12</f>
        <v>209.378516195402</v>
      </c>
      <c r="S12" s="25">
        <f t="shared" si="2"/>
        <v>-2.5480446812146011</v>
      </c>
      <c r="U12" s="23">
        <f>+[1]SANTILLANA!O12</f>
        <v>27.742909016667994</v>
      </c>
      <c r="V12" s="24">
        <f>+[1]SANTILLANA!P12</f>
        <v>42.922894577519997</v>
      </c>
      <c r="W12" s="25">
        <f t="shared" si="3"/>
        <v>-35.365707998645121</v>
      </c>
      <c r="Z12" s="22" t="str">
        <f>+IF($B$3="esp","Latam","Latam")</f>
        <v>Latam</v>
      </c>
      <c r="AB12" s="23">
        <f>+[1]RADIO!K12</f>
        <v>22.478095251301799</v>
      </c>
      <c r="AC12" s="24">
        <f>+[1]RADIO!L12</f>
        <v>40.532819250521499</v>
      </c>
      <c r="AD12" s="25">
        <f>IF(AC12=0,"---",IF(OR(ABS((AB12-AC12)/ABS(AC12))&gt;2,(AB12*AC12)&lt;0),"---",IF(AC12="0","---",((AB12-AC12)/ABS(AC12))*100)))</f>
        <v>-44.543469546563571</v>
      </c>
      <c r="AF12" s="23">
        <f>+[1]RADIO!O12</f>
        <v>8.6314028763422979</v>
      </c>
      <c r="AG12" s="24">
        <f>+[1]RADIO!P12</f>
        <v>22.640151380459198</v>
      </c>
      <c r="AH12" s="25">
        <f t="shared" si="4"/>
        <v>-61.875683906459678</v>
      </c>
      <c r="AK12" s="27" t="str">
        <f>+IF($B$3="esp","Publicidad","Advertising")</f>
        <v>Advertising</v>
      </c>
      <c r="AL12" s="28"/>
      <c r="AM12" s="29">
        <f>+[1]NOTICIAS!K12</f>
        <v>35.149595652215801</v>
      </c>
      <c r="AN12" s="30">
        <f>+[1]NOTICIAS!L12</f>
        <v>51.4288907278384</v>
      </c>
      <c r="AO12" s="31">
        <f t="shared" si="5"/>
        <v>-31.653988342413609</v>
      </c>
      <c r="AP12" s="28"/>
      <c r="AQ12" s="29">
        <f>+[1]NOTICIAS!O12</f>
        <v>15.881036489480703</v>
      </c>
      <c r="AR12" s="30">
        <f>+[1]NOTICIAS!P12</f>
        <v>27.845975706348799</v>
      </c>
      <c r="AS12" s="31">
        <f t="shared" si="6"/>
        <v>-42.968288642656994</v>
      </c>
    </row>
    <row r="13" spans="1:46" ht="15" customHeight="1" thickBot="1">
      <c r="D13" s="32" t="str">
        <f>+IF($B$3="esp","Latam","Latam")</f>
        <v>Latam</v>
      </c>
      <c r="F13" s="23">
        <f>+[1]GRUPO!K13</f>
        <v>226.26171192885718</v>
      </c>
      <c r="G13" s="24">
        <f>+[1]GRUPO!L13</f>
        <v>251.47547820691145</v>
      </c>
      <c r="H13" s="25">
        <f t="shared" si="0"/>
        <v>-10.02633197393053</v>
      </c>
      <c r="J13" s="23">
        <f>+[1]GRUPO!O13</f>
        <v>36.006943951347523</v>
      </c>
      <c r="K13" s="24">
        <f>+[1]GRUPO!P13</f>
        <v>66.302722242200105</v>
      </c>
      <c r="L13" s="25">
        <f t="shared" si="1"/>
        <v>-45.693113746044709</v>
      </c>
      <c r="O13" s="32" t="str">
        <f>+IF($B$3="esp","Latam","Latam")</f>
        <v>Latam</v>
      </c>
      <c r="Q13" s="23">
        <f>+[1]SANTILLANA!K13</f>
        <v>203.24738204987901</v>
      </c>
      <c r="R13" s="24">
        <f>+[1]SANTILLANA!L13</f>
        <v>209.15892719540199</v>
      </c>
      <c r="S13" s="25">
        <f>IF(R13=0,"---",IF(OR(ABS((Q13-R13)/ABS(R13))&gt;2,(Q13*R13)&lt;0),"---",IF(R13="0","---",((Q13-R13)/ABS(R13))*100)))</f>
        <v>-2.8263413017032031</v>
      </c>
      <c r="U13" s="23">
        <f>+[1]SANTILLANA!O13</f>
        <v>26.957598016667987</v>
      </c>
      <c r="V13" s="24">
        <f>+[1]SANTILLANA!P13</f>
        <v>42.903144577519981</v>
      </c>
      <c r="W13" s="25">
        <f t="shared" si="3"/>
        <v>-37.166381900143989</v>
      </c>
      <c r="Z13" s="22" t="str">
        <f>+IF($B$3="esp","Ajustes y Otros","Adjustments &amp; others")</f>
        <v>Adjustments &amp; others</v>
      </c>
      <c r="AB13" s="23">
        <f>+AB10-AB11-AB12</f>
        <v>-1.9218845133436879</v>
      </c>
      <c r="AC13" s="24">
        <f>+AC10-AC11-AC12</f>
        <v>-2.0341495350155157</v>
      </c>
      <c r="AD13" s="25">
        <f t="shared" ref="AD13:AD21" si="7">IF(AC13=0,"---",IF(OR(ABS((AB13-AC13)/ABS(AC13))&gt;2,(AB13*AC13)&lt;0),"---",IF(AC13="0","---",((AB13-AC13)/ABS(AC13))*100)))</f>
        <v>5.5190151824787748</v>
      </c>
      <c r="AF13" s="23">
        <f>+AF10-AF11-AF12</f>
        <v>-0.91586097520329268</v>
      </c>
      <c r="AG13" s="24">
        <f>+AG10-AG11-AG12</f>
        <v>-1.0879828836157124</v>
      </c>
      <c r="AH13" s="25">
        <f t="shared" si="4"/>
        <v>15.820277230870028</v>
      </c>
      <c r="AK13" s="33" t="str">
        <f>+IF($B$3="esp","Digital","Digital")</f>
        <v>Digital</v>
      </c>
      <c r="AL13" s="28"/>
      <c r="AM13" s="29">
        <f>+[1]NOTICIAS!K13</f>
        <v>24.171374805028499</v>
      </c>
      <c r="AN13" s="30">
        <f>+[1]NOTICIAS!L13</f>
        <v>28.480728038104001</v>
      </c>
      <c r="AO13" s="31">
        <f t="shared" si="5"/>
        <v>-15.130769225105739</v>
      </c>
      <c r="AP13" s="28"/>
      <c r="AQ13" s="29">
        <f>+[1]NOTICIAS!O13</f>
        <v>11.409593714218099</v>
      </c>
      <c r="AR13" s="30">
        <f>+[1]NOTICIAS!P13</f>
        <v>14.778394969812</v>
      </c>
      <c r="AS13" s="31">
        <f t="shared" si="6"/>
        <v>-22.795447424942903</v>
      </c>
    </row>
    <row r="14" spans="1:46" ht="15" customHeight="1" thickTop="1">
      <c r="D14" s="32" t="str">
        <f>+IF($B$3="esp","Portugal","Portugal")</f>
        <v>Portugal</v>
      </c>
      <c r="F14" s="23">
        <f>+[1]GRUPO!K14</f>
        <v>0.79607600000000001</v>
      </c>
      <c r="G14" s="24">
        <f>+[1]GRUPO!L14</f>
        <v>0.21958900000000001</v>
      </c>
      <c r="H14" s="25" t="str">
        <f t="shared" si="0"/>
        <v>---</v>
      </c>
      <c r="J14" s="23">
        <f>+[1]GRUPO!O14</f>
        <v>0.78531099999999976</v>
      </c>
      <c r="K14" s="24">
        <f>+[1]GRUPO!P14</f>
        <v>1.9750000000000018E-2</v>
      </c>
      <c r="L14" s="25" t="str">
        <f t="shared" si="1"/>
        <v>---</v>
      </c>
      <c r="O14" s="32" t="str">
        <f>+IF($B$3="esp","Portugal","Portugal")</f>
        <v>Portugal</v>
      </c>
      <c r="Q14" s="23">
        <f>+[1]SANTILLANA!K14</f>
        <v>0.79607600000000001</v>
      </c>
      <c r="R14" s="24">
        <f>+[1]SANTILLANA!L14</f>
        <v>0.21958900000000001</v>
      </c>
      <c r="S14" s="25" t="str">
        <f t="shared" si="2"/>
        <v>---</v>
      </c>
      <c r="U14" s="23">
        <f>+[1]SANTILLANA!O14</f>
        <v>0.78531099999999998</v>
      </c>
      <c r="V14" s="24">
        <f>+[1]SANTILLANA!P14</f>
        <v>1.9750000000000018E-2</v>
      </c>
      <c r="W14" s="25" t="str">
        <f t="shared" si="3"/>
        <v>---</v>
      </c>
      <c r="Z14" s="14" t="str">
        <f>+IF($B$3="esp","Gastos de Explotación Contables","Reported Expenses")</f>
        <v>Reported Expenses</v>
      </c>
      <c r="AA14" s="14"/>
      <c r="AB14" s="15">
        <f t="shared" ref="AB14:AC16" si="8">+AB10-AB18</f>
        <v>86.591767701984708</v>
      </c>
      <c r="AC14" s="16">
        <f t="shared" si="8"/>
        <v>106.35492913621179</v>
      </c>
      <c r="AD14" s="34">
        <f t="shared" si="7"/>
        <v>-18.582271263531041</v>
      </c>
      <c r="AE14" s="14"/>
      <c r="AF14" s="15">
        <f t="shared" ref="AF14:AG16" si="9">+AF10-AF18</f>
        <v>39.909469086128659</v>
      </c>
      <c r="AG14" s="16">
        <f t="shared" si="9"/>
        <v>54.338945606756681</v>
      </c>
      <c r="AH14" s="34">
        <f t="shared" si="4"/>
        <v>-26.554575837838513</v>
      </c>
      <c r="AK14" s="35" t="s">
        <v>5</v>
      </c>
      <c r="AL14" s="28"/>
      <c r="AM14" s="29">
        <f>+[1]NOTICIAS!K14</f>
        <v>15.09243039318922</v>
      </c>
      <c r="AN14" s="30">
        <f>+[1]NOTICIAS!L14</f>
        <v>17.573433689553863</v>
      </c>
      <c r="AO14" s="31">
        <f t="shared" si="5"/>
        <v>-14.117919925002589</v>
      </c>
      <c r="AP14" s="28"/>
      <c r="AQ14" s="29">
        <f>+[1]NOTICIAS!O14</f>
        <v>7.0482270867261434</v>
      </c>
      <c r="AR14" s="30">
        <f>+[1]NOTICIAS!P14</f>
        <v>9.1341677908001984</v>
      </c>
      <c r="AS14" s="31">
        <f t="shared" si="6"/>
        <v>-22.836680383460706</v>
      </c>
    </row>
    <row r="15" spans="1:46" s="14" customFormat="1" ht="15" customHeight="1">
      <c r="D15" s="14" t="str">
        <f>+IF($B$3="esp","Gastos de Explotación Contables","Reported Expenses")</f>
        <v>Reported Expenses</v>
      </c>
      <c r="F15" s="15">
        <f>+[1]GRUPO!K15</f>
        <v>360.69017407600461</v>
      </c>
      <c r="G15" s="16">
        <f>+[1]GRUPO!L15</f>
        <v>451.0149591408732</v>
      </c>
      <c r="H15" s="17">
        <f t="shared" si="0"/>
        <v>-20.027004256560794</v>
      </c>
      <c r="J15" s="15">
        <f>+[1]GRUPO!O15</f>
        <v>153.9873060374473</v>
      </c>
      <c r="K15" s="16">
        <f>+[1]GRUPO!P15</f>
        <v>195.71969666251627</v>
      </c>
      <c r="L15" s="17">
        <f t="shared" si="1"/>
        <v>-21.322529789645568</v>
      </c>
      <c r="O15" s="22" t="str">
        <f>+IF($B$3="esp","Tecnología Educativa global y Centro Corpor.","Global Educational IT &amp; HQ")</f>
        <v>Global Educational IT &amp; HQ</v>
      </c>
      <c r="P15" s="1"/>
      <c r="Q15" s="23">
        <f>+[1]SANTILLANA!K15</f>
        <v>0.75673232000000035</v>
      </c>
      <c r="R15" s="24">
        <f>+[1]SANTILLANA!L15</f>
        <v>1.2382559700000002</v>
      </c>
      <c r="S15" s="25">
        <f t="shared" si="2"/>
        <v>-38.887246390582696</v>
      </c>
      <c r="T15" s="1"/>
      <c r="U15" s="23">
        <f>+[1]SANTILLANA!O15</f>
        <v>0.47439252000000026</v>
      </c>
      <c r="V15" s="24">
        <f>+[1]SANTILLANA!P15</f>
        <v>1.0093750800000003</v>
      </c>
      <c r="W15" s="25">
        <f t="shared" si="3"/>
        <v>-53.001363972647297</v>
      </c>
      <c r="Z15" s="22" t="str">
        <f>+IF($B$3="esp","España","Spain")</f>
        <v>Spain</v>
      </c>
      <c r="AA15" s="1"/>
      <c r="AB15" s="23">
        <f t="shared" si="8"/>
        <v>62.318450670000004</v>
      </c>
      <c r="AC15" s="24">
        <f t="shared" si="8"/>
        <v>74.452807229999905</v>
      </c>
      <c r="AD15" s="25">
        <f t="shared" si="7"/>
        <v>-16.298051089617612</v>
      </c>
      <c r="AE15" s="1"/>
      <c r="AF15" s="23">
        <f t="shared" si="9"/>
        <v>29.180693980000029</v>
      </c>
      <c r="AG15" s="24">
        <f t="shared" si="9"/>
        <v>37.592139299999872</v>
      </c>
      <c r="AH15" s="25">
        <f t="shared" si="4"/>
        <v>-22.375543069983973</v>
      </c>
      <c r="AK15" s="35" t="s">
        <v>6</v>
      </c>
      <c r="AL15" s="28"/>
      <c r="AM15" s="29">
        <f>+[1]NOTICIAS!K15</f>
        <v>8.26075891018926</v>
      </c>
      <c r="AN15" s="30">
        <f>+[1]NOTICIAS!L15</f>
        <v>9.774179875300149</v>
      </c>
      <c r="AO15" s="31">
        <f t="shared" si="5"/>
        <v>-15.483866517899687</v>
      </c>
      <c r="AP15" s="28"/>
      <c r="AQ15" s="29">
        <f>+[1]NOTICIAS!O15</f>
        <v>3.9265402556219193</v>
      </c>
      <c r="AR15" s="30">
        <f>+[1]NOTICIAS!P15</f>
        <v>5.1079821974618298</v>
      </c>
      <c r="AS15" s="31">
        <f t="shared" si="6"/>
        <v>-23.129327710401419</v>
      </c>
    </row>
    <row r="16" spans="1:46" ht="15" customHeight="1">
      <c r="D16" s="22" t="str">
        <f>+IF($B$3="esp","España","Spain")</f>
        <v>Spain</v>
      </c>
      <c r="F16" s="23">
        <f>+[1]GRUPO!K16</f>
        <v>181.95342093198789</v>
      </c>
      <c r="G16" s="24">
        <f>+[1]GRUPO!L16</f>
        <v>261.54050001252074</v>
      </c>
      <c r="H16" s="25">
        <f t="shared" si="0"/>
        <v>-30.43011658872059</v>
      </c>
      <c r="J16" s="23">
        <f>+[1]GRUPO!O16</f>
        <v>90.718367232631266</v>
      </c>
      <c r="K16" s="24">
        <f>+[1]GRUPO!P16</f>
        <v>110.31714961773963</v>
      </c>
      <c r="L16" s="25">
        <f t="shared" si="1"/>
        <v>-17.765852773589764</v>
      </c>
      <c r="O16" s="14" t="str">
        <f>+IF($B$3="esp","Gastos de Explotación","Expenses")</f>
        <v>Expenses</v>
      </c>
      <c r="P16" s="14"/>
      <c r="Q16" s="15">
        <f>+[1]SANTILLANA!K16</f>
        <v>189.999654262457</v>
      </c>
      <c r="R16" s="16">
        <f>+[1]SANTILLANA!L16</f>
        <v>194.1270699577527</v>
      </c>
      <c r="S16" s="17">
        <f t="shared" si="2"/>
        <v>-2.1261412415043059</v>
      </c>
      <c r="T16" s="14"/>
      <c r="U16" s="15">
        <f>+[1]SANTILLANA!O16</f>
        <v>74.173322984327299</v>
      </c>
      <c r="V16" s="16">
        <f>+[1]SANTILLANA!P16</f>
        <v>91.457106884368514</v>
      </c>
      <c r="W16" s="17">
        <f t="shared" si="3"/>
        <v>-18.898240376107164</v>
      </c>
      <c r="Z16" s="22" t="str">
        <f>+IF($B$3="esp","Latam","Latam")</f>
        <v>Latam</v>
      </c>
      <c r="AB16" s="23">
        <f t="shared" si="8"/>
        <v>26.536076005328329</v>
      </c>
      <c r="AC16" s="24">
        <f t="shared" si="8"/>
        <v>33.824881311227315</v>
      </c>
      <c r="AD16" s="25">
        <f t="shared" si="7"/>
        <v>-21.548650056843364</v>
      </c>
      <c r="AF16" s="23">
        <f t="shared" si="9"/>
        <v>11.640177071331857</v>
      </c>
      <c r="AG16" s="24">
        <f t="shared" si="9"/>
        <v>17.763433100372467</v>
      </c>
      <c r="AH16" s="25">
        <f t="shared" si="4"/>
        <v>-34.471129507686307</v>
      </c>
      <c r="AI16" s="14"/>
      <c r="AK16" s="35" t="str">
        <f>+IF($B$3="esp","Otros","Others")</f>
        <v>Others</v>
      </c>
      <c r="AL16" s="28"/>
      <c r="AM16" s="29">
        <f>+[1]NOTICIAS!K16</f>
        <v>0.81818550165001902</v>
      </c>
      <c r="AN16" s="30">
        <f>+[1]NOTICIAS!L16</f>
        <v>1.1331144732499894</v>
      </c>
      <c r="AO16" s="31">
        <f t="shared" si="5"/>
        <v>-27.79321763463966</v>
      </c>
      <c r="AP16" s="28"/>
      <c r="AQ16" s="29">
        <f>+[1]NOTICIAS!O16</f>
        <v>0.43482637187003625</v>
      </c>
      <c r="AR16" s="30">
        <f>+[1]NOTICIAS!P16</f>
        <v>0.53624498154997191</v>
      </c>
      <c r="AS16" s="31">
        <f t="shared" si="6"/>
        <v>-18.91273823892832</v>
      </c>
    </row>
    <row r="17" spans="4:45" ht="15" customHeight="1" thickBot="1">
      <c r="D17" s="22" t="str">
        <f>+IF($B$3="esp","Internacional","International")</f>
        <v>International</v>
      </c>
      <c r="F17" s="23">
        <f>+[1]GRUPO!K17</f>
        <v>178.73675314401672</v>
      </c>
      <c r="G17" s="24">
        <f>+[1]GRUPO!L17</f>
        <v>189.47445912835244</v>
      </c>
      <c r="H17" s="25">
        <f t="shared" si="0"/>
        <v>-5.6670994252908029</v>
      </c>
      <c r="J17" s="23">
        <f>+[1]GRUPO!O17</f>
        <v>63.268938804816031</v>
      </c>
      <c r="K17" s="24">
        <f>+[1]GRUPO!P17</f>
        <v>85.402547044776611</v>
      </c>
      <c r="L17" s="25">
        <f t="shared" si="1"/>
        <v>-25.916801085986247</v>
      </c>
      <c r="O17" s="22" t="str">
        <f>+IF($B$3="esp","Negocio España","Spain business")</f>
        <v>Spain business</v>
      </c>
      <c r="Q17" s="23">
        <f>+[1]SANTILLANA!K17</f>
        <v>28.418076208525733</v>
      </c>
      <c r="R17" s="24">
        <f>+[1]SANTILLANA!L17</f>
        <v>31.576120360000004</v>
      </c>
      <c r="S17" s="25">
        <f t="shared" si="2"/>
        <v>-10.001368488178233</v>
      </c>
      <c r="U17" s="23">
        <f>+[1]SANTILLANA!O17</f>
        <v>17.647789452525735</v>
      </c>
      <c r="V17" s="24">
        <f>+[1]SANTILLANA!P17</f>
        <v>20.607690220000009</v>
      </c>
      <c r="W17" s="25">
        <f t="shared" si="3"/>
        <v>-14.363088419301134</v>
      </c>
      <c r="Z17" s="22" t="str">
        <f>+IF($B$3="esp","Ajustes y Otros","Adjustments &amp; others")</f>
        <v>Adjustments &amp; others</v>
      </c>
      <c r="AB17" s="23">
        <f>+AB14-AB15-AB16</f>
        <v>-2.262758973343626</v>
      </c>
      <c r="AC17" s="24">
        <f>+AC14-AC15-AC16</f>
        <v>-1.9227594050154266</v>
      </c>
      <c r="AD17" s="25">
        <f t="shared" si="7"/>
        <v>-17.682897165465768</v>
      </c>
      <c r="AF17" s="23">
        <f>+AF14-AF15-AF16</f>
        <v>-0.91140196520322725</v>
      </c>
      <c r="AG17" s="24">
        <f>+AG14-AG15-AG16</f>
        <v>-1.0166267936156572</v>
      </c>
      <c r="AH17" s="25">
        <f t="shared" si="4"/>
        <v>10.350389058525144</v>
      </c>
      <c r="AK17" s="33" t="str">
        <f>+IF($B$3="esp","Papel","Print")</f>
        <v>Print</v>
      </c>
      <c r="AL17" s="28"/>
      <c r="AM17" s="29">
        <f>+[1]NOTICIAS!K17</f>
        <v>10.978220847187302</v>
      </c>
      <c r="AN17" s="30">
        <f>+[1]NOTICIAS!L17</f>
        <v>22.948162689734399</v>
      </c>
      <c r="AO17" s="31">
        <f t="shared" si="5"/>
        <v>-52.160785176504412</v>
      </c>
      <c r="AP17" s="28"/>
      <c r="AQ17" s="29">
        <f>+[1]NOTICIAS!O17</f>
        <v>4.471442775262604</v>
      </c>
      <c r="AR17" s="30">
        <f>+[1]NOTICIAS!P17</f>
        <v>13.067580736536799</v>
      </c>
      <c r="AS17" s="31">
        <f t="shared" si="6"/>
        <v>-65.782168364489195</v>
      </c>
    </row>
    <row r="18" spans="4:45" ht="15" customHeight="1" thickTop="1">
      <c r="D18" s="32" t="str">
        <f>+IF($B$3="esp","Latam","Latam")</f>
        <v>Latam</v>
      </c>
      <c r="F18" s="23">
        <f>+[1]GRUPO!K18</f>
        <v>178.09676855401671</v>
      </c>
      <c r="G18" s="24">
        <f>+[1]GRUPO!L18</f>
        <v>189.02217412835242</v>
      </c>
      <c r="H18" s="25">
        <f t="shared" si="0"/>
        <v>-5.7799597453137928</v>
      </c>
      <c r="J18" s="23">
        <f>+[1]GRUPO!O18</f>
        <v>62.850202894816007</v>
      </c>
      <c r="K18" s="24">
        <f>+[1]GRUPO!P18</f>
        <v>85.217808044776575</v>
      </c>
      <c r="L18" s="25">
        <f t="shared" si="1"/>
        <v>-26.247571561812293</v>
      </c>
      <c r="O18" s="22" t="str">
        <f>+IF($B$3="esp","Negocio Internacional","International business")</f>
        <v>International business</v>
      </c>
      <c r="Q18" s="23">
        <f>+[1]SANTILLANA!K18</f>
        <v>150.30826839393126</v>
      </c>
      <c r="R18" s="24">
        <f>+[1]SANTILLANA!L18</f>
        <v>150.54823824775269</v>
      </c>
      <c r="S18" s="25">
        <f t="shared" si="2"/>
        <v>-0.15939731783943167</v>
      </c>
      <c r="U18" s="23">
        <f>+[1]SANTILLANA!O18</f>
        <v>51.449891181801547</v>
      </c>
      <c r="V18" s="24">
        <f>+[1]SANTILLANA!P18</f>
        <v>65.279407294368497</v>
      </c>
      <c r="W18" s="25">
        <f t="shared" si="3"/>
        <v>-21.185112864466817</v>
      </c>
      <c r="Z18" s="14" t="str">
        <f>+IF($B$3="esp","EBITDA","EBITDA")</f>
        <v>EBITDA</v>
      </c>
      <c r="AA18" s="14"/>
      <c r="AB18" s="15">
        <f>+[1]RADIO!K20</f>
        <v>-5.1827484440265996</v>
      </c>
      <c r="AC18" s="16">
        <f>+[1]RADIO!L20</f>
        <v>28.1451873792942</v>
      </c>
      <c r="AD18" s="34" t="str">
        <f t="shared" si="7"/>
        <v>---</v>
      </c>
      <c r="AE18" s="14"/>
      <c r="AF18" s="15">
        <f>+[1]RADIO!O20</f>
        <v>-5.8551121749896584</v>
      </c>
      <c r="AG18" s="16">
        <f>+[1]RADIO!P20</f>
        <v>20.100309360086811</v>
      </c>
      <c r="AH18" s="34" t="str">
        <f t="shared" si="4"/>
        <v>---</v>
      </c>
      <c r="AK18" s="35" t="s">
        <v>5</v>
      </c>
      <c r="AL18" s="28"/>
      <c r="AM18" s="29">
        <f>+[1]NOTICIAS!K18</f>
        <v>8.5717363656945782</v>
      </c>
      <c r="AN18" s="30">
        <f>+[1]NOTICIAS!L18</f>
        <v>18.136322833652837</v>
      </c>
      <c r="AO18" s="31">
        <f t="shared" si="5"/>
        <v>-52.737186891108379</v>
      </c>
      <c r="AP18" s="28"/>
      <c r="AQ18" s="29">
        <f>+[1]NOTICIAS!O18</f>
        <v>3.4879742967128546</v>
      </c>
      <c r="AR18" s="30">
        <f>+[1]NOTICIAS!P18</f>
        <v>10.206270016525803</v>
      </c>
      <c r="AS18" s="31">
        <f t="shared" si="6"/>
        <v>-65.825181079226866</v>
      </c>
    </row>
    <row r="19" spans="4:45" ht="15" customHeight="1">
      <c r="D19" s="32" t="str">
        <f>+IF($B$3="esp","Portugal","Portugal")</f>
        <v>Portugal</v>
      </c>
      <c r="F19" s="23">
        <f>+[1]GRUPO!K19</f>
        <v>0.63998459000000796</v>
      </c>
      <c r="G19" s="24">
        <f>+[1]GRUPO!L19</f>
        <v>0.45228499999999999</v>
      </c>
      <c r="H19" s="25">
        <f t="shared" si="0"/>
        <v>41.500290745881017</v>
      </c>
      <c r="J19" s="23">
        <f>+[1]GRUPO!O19</f>
        <v>0.41873591000000665</v>
      </c>
      <c r="K19" s="24">
        <f>+[1]GRUPO!P19</f>
        <v>0.18473900000000004</v>
      </c>
      <c r="L19" s="25">
        <f t="shared" si="1"/>
        <v>126.66351447177182</v>
      </c>
      <c r="O19" s="32" t="str">
        <f>+IF($B$3="esp","Latam","Latam")</f>
        <v>Latam</v>
      </c>
      <c r="Q19" s="23">
        <f>+[1]SANTILLANA!K19</f>
        <v>149.71587039393125</v>
      </c>
      <c r="R19" s="24">
        <f>+[1]SANTILLANA!L19</f>
        <v>150.0959532477527</v>
      </c>
      <c r="S19" s="25">
        <f>IF(R19=0,"---",IF(OR(ABS((Q19-R19)/ABS(R19))&gt;2,(Q19*R19)&lt;0),"---",IF(R19="0","---",((Q19-R19)/ABS(R19))*100)))</f>
        <v>-0.25322658312717677</v>
      </c>
      <c r="U19" s="23">
        <f>+[1]SANTILLANA!O19</f>
        <v>51.067859181801538</v>
      </c>
      <c r="V19" s="24">
        <f>+[1]SANTILLANA!P19</f>
        <v>65.094668294368503</v>
      </c>
      <c r="W19" s="25">
        <f t="shared" si="3"/>
        <v>-21.548322589394711</v>
      </c>
      <c r="Z19" s="22" t="str">
        <f>+IF($B$3="esp","España","Spain")</f>
        <v>Spain</v>
      </c>
      <c r="AB19" s="23">
        <f>+[1]RADIO!K21</f>
        <v>-1.4656421500000101</v>
      </c>
      <c r="AC19" s="24">
        <f>+[1]RADIO!L21</f>
        <v>21.548639570000102</v>
      </c>
      <c r="AD19" s="25" t="str">
        <f t="shared" si="7"/>
        <v>---</v>
      </c>
      <c r="AF19" s="23">
        <f>+[1]RADIO!O21</f>
        <v>-2.84187897000003</v>
      </c>
      <c r="AG19" s="24">
        <f>+[1]RADIO!P21</f>
        <v>15.294947170000132</v>
      </c>
      <c r="AH19" s="25" t="str">
        <f t="shared" si="4"/>
        <v>---</v>
      </c>
      <c r="AK19" s="35" t="s">
        <v>6</v>
      </c>
      <c r="AL19" s="28"/>
      <c r="AM19" s="29">
        <f>+[1]NOTICIAS!K19</f>
        <v>1.29867205314277</v>
      </c>
      <c r="AN19" s="30">
        <f>+[1]NOTICIAS!L19</f>
        <v>2.9610625393315519</v>
      </c>
      <c r="AO19" s="31">
        <f t="shared" si="5"/>
        <v>-56.141687793060257</v>
      </c>
      <c r="AP19" s="28"/>
      <c r="AQ19" s="29">
        <f>+[1]NOTICIAS!O19</f>
        <v>0.46329570041980084</v>
      </c>
      <c r="AR19" s="30">
        <f>+[1]NOTICIAS!P19</f>
        <v>1.5355582515609614</v>
      </c>
      <c r="AS19" s="31">
        <f t="shared" si="6"/>
        <v>-69.828842380362914</v>
      </c>
    </row>
    <row r="20" spans="4:45" s="28" customFormat="1" ht="15" customHeight="1">
      <c r="D20" s="14" t="str">
        <f>+IF($B$3="esp","EBITDA Contable","Reported EBITDA")</f>
        <v>Reported EBITDA</v>
      </c>
      <c r="E20" s="14"/>
      <c r="F20" s="15">
        <f>+[1]GRUPO!K20</f>
        <v>32.104885696314398</v>
      </c>
      <c r="G20" s="16">
        <f>+[1]GRUPO!L20</f>
        <v>34.652593108558804</v>
      </c>
      <c r="H20" s="17">
        <f t="shared" si="0"/>
        <v>-7.3521407308913673</v>
      </c>
      <c r="I20" s="14"/>
      <c r="J20" s="15">
        <f>+[1]GRUPO!O20</f>
        <v>-23.718227405994305</v>
      </c>
      <c r="K20" s="16">
        <f>+[1]GRUPO!P20</f>
        <v>16.923548277423706</v>
      </c>
      <c r="L20" s="17" t="str">
        <f t="shared" si="1"/>
        <v>---</v>
      </c>
      <c r="O20" s="32" t="str">
        <f>+IF($B$3="esp","Portugal","Portugal")</f>
        <v>Portugal</v>
      </c>
      <c r="P20" s="1"/>
      <c r="Q20" s="23">
        <f>+[1]SANTILLANA!K20</f>
        <v>0.59239799999999998</v>
      </c>
      <c r="R20" s="24">
        <f>+[1]SANTILLANA!L20</f>
        <v>0.45228499999999999</v>
      </c>
      <c r="S20" s="25">
        <f>IF(R20=0,"---",IF(OR(ABS((Q20-R20)/ABS(R20))&gt;2,(Q20*R20)&lt;0),"---",IF(R20="0","---",((Q20-R20)/ABS(R20))*100)))</f>
        <v>30.978918160009727</v>
      </c>
      <c r="T20" s="1"/>
      <c r="U20" s="23">
        <f>+[1]SANTILLANA!O20</f>
        <v>0.38203199999999998</v>
      </c>
      <c r="V20" s="24">
        <f>+[1]SANTILLANA!P20</f>
        <v>0.18473900000000004</v>
      </c>
      <c r="W20" s="25">
        <f t="shared" si="3"/>
        <v>106.79553315758984</v>
      </c>
      <c r="Z20" s="22" t="str">
        <f>+IF($B$3="esp","Latam","Latam")</f>
        <v>Latam</v>
      </c>
      <c r="AA20" s="1"/>
      <c r="AB20" s="23">
        <f>+[1]RADIO!K22</f>
        <v>-4.0579807540265298</v>
      </c>
      <c r="AC20" s="24">
        <f>+[1]RADIO!L22</f>
        <v>6.7079379392941805</v>
      </c>
      <c r="AD20" s="25" t="str">
        <f t="shared" si="7"/>
        <v>---</v>
      </c>
      <c r="AE20" s="1"/>
      <c r="AF20" s="23">
        <f>+[1]RADIO!O22</f>
        <v>-3.0087741949895599</v>
      </c>
      <c r="AG20" s="24">
        <f>+[1]RADIO!P22</f>
        <v>4.876718280086731</v>
      </c>
      <c r="AH20" s="25" t="str">
        <f t="shared" si="4"/>
        <v>---</v>
      </c>
      <c r="AI20" s="1"/>
      <c r="AK20" s="35" t="str">
        <f>+IF($B$3="esp","Otros","Others")</f>
        <v>Others</v>
      </c>
      <c r="AM20" s="29">
        <f>+[1]NOTICIAS!K20</f>
        <v>1.1078124283499537</v>
      </c>
      <c r="AN20" s="30">
        <f>+[1]NOTICIAS!L20</f>
        <v>1.8507773167500101</v>
      </c>
      <c r="AO20" s="31">
        <f t="shared" si="5"/>
        <v>-40.143397137842207</v>
      </c>
      <c r="AQ20" s="29">
        <f>+[1]NOTICIAS!O20</f>
        <v>0.52017277812994855</v>
      </c>
      <c r="AR20" s="30">
        <f>+[1]NOTICIAS!P20</f>
        <v>1.3257524684500348</v>
      </c>
      <c r="AS20" s="31">
        <f t="shared" si="6"/>
        <v>-60.763959297915285</v>
      </c>
    </row>
    <row r="21" spans="4:45" s="14" customFormat="1" ht="15" customHeight="1">
      <c r="D21" s="22" t="str">
        <f>+IF($B$3="esp","España","Spain")</f>
        <v>Spain</v>
      </c>
      <c r="E21" s="1"/>
      <c r="F21" s="23">
        <f>+[1]GRUPO!K21</f>
        <v>-16.216149088526073</v>
      </c>
      <c r="G21" s="24">
        <f>+[1]GRUPO!L21</f>
        <v>-27.568014970000227</v>
      </c>
      <c r="H21" s="25">
        <f t="shared" si="0"/>
        <v>41.177668736132652</v>
      </c>
      <c r="I21" s="1"/>
      <c r="J21" s="23">
        <f>+[1]GRUPO!O21</f>
        <v>2.7584564474741882</v>
      </c>
      <c r="K21" s="24">
        <f>+[1]GRUPO!P21</f>
        <v>36.003623080000189</v>
      </c>
      <c r="L21" s="25">
        <f t="shared" si="1"/>
        <v>-92.338392051975191</v>
      </c>
      <c r="O21" s="22" t="str">
        <f>+IF($B$3="esp","Tecnología Educativa global y Centro Corpor.","Global Educational IT &amp; HQ")</f>
        <v>Global Educational IT &amp; HQ</v>
      </c>
      <c r="P21" s="1"/>
      <c r="Q21" s="23">
        <f>+[1]SANTILLANA!K21</f>
        <v>11.273309659999997</v>
      </c>
      <c r="R21" s="24">
        <f>+[1]SANTILLANA!L21</f>
        <v>12.00271135</v>
      </c>
      <c r="S21" s="25">
        <f t="shared" si="2"/>
        <v>-6.0769743496331197</v>
      </c>
      <c r="T21" s="1"/>
      <c r="U21" s="23">
        <f>+[1]SANTILLANA!O21</f>
        <v>5.0756423499999972</v>
      </c>
      <c r="V21" s="24">
        <f>+[1]SANTILLANA!P21</f>
        <v>5.5700093700000011</v>
      </c>
      <c r="W21" s="25">
        <f t="shared" si="3"/>
        <v>-8.875515051422683</v>
      </c>
      <c r="Z21" s="22" t="str">
        <f>+IF($B$3="esp","Ajustes y Otros","Adjustments &amp; others")</f>
        <v>Adjustments &amp; others</v>
      </c>
      <c r="AA21" s="1"/>
      <c r="AB21" s="23">
        <f>+AB18-AB19-AB20</f>
        <v>0.34087445999994026</v>
      </c>
      <c r="AC21" s="24">
        <f>+AC18-AC19-AC20</f>
        <v>-0.1113901300000828</v>
      </c>
      <c r="AD21" s="25" t="str">
        <f t="shared" si="7"/>
        <v>---</v>
      </c>
      <c r="AE21" s="1"/>
      <c r="AF21" s="23">
        <f>+AF18-AF19-AF20</f>
        <v>-4.4590100000685418E-3</v>
      </c>
      <c r="AG21" s="24">
        <f>+AG18-AG19-AG20</f>
        <v>-7.1356090000051609E-2</v>
      </c>
      <c r="AH21" s="25">
        <f t="shared" si="4"/>
        <v>93.751044935246156</v>
      </c>
      <c r="AI21" s="28"/>
      <c r="AK21" s="27" t="str">
        <f>+IF($B$3="esp","Circulación","Circulation")</f>
        <v>Circulation</v>
      </c>
      <c r="AL21" s="28"/>
      <c r="AM21" s="29">
        <f>+[1]NOTICIAS!K21</f>
        <v>23.026383030649804</v>
      </c>
      <c r="AN21" s="30">
        <f>+[1]NOTICIAS!L21</f>
        <v>30.714250829344298</v>
      </c>
      <c r="AO21" s="31">
        <f t="shared" si="5"/>
        <v>-25.030295680692721</v>
      </c>
      <c r="AP21" s="28"/>
      <c r="AQ21" s="29">
        <f>+[1]NOTICIAS!O21</f>
        <v>9.8046286872344037</v>
      </c>
      <c r="AR21" s="30">
        <f>+[1]NOTICIAS!P21</f>
        <v>15.494425023075399</v>
      </c>
      <c r="AS21" s="31">
        <f t="shared" si="6"/>
        <v>-36.721571322377862</v>
      </c>
    </row>
    <row r="22" spans="4:45" ht="15" customHeight="1" thickBot="1">
      <c r="D22" s="22" t="str">
        <f>+IF($B$3="esp","Internacional","International")</f>
        <v>International</v>
      </c>
      <c r="F22" s="23">
        <f>+[1]GRUPO!K22</f>
        <v>48.321034784840471</v>
      </c>
      <c r="G22" s="24">
        <f>+[1]GRUPO!L22</f>
        <v>62.220608078559032</v>
      </c>
      <c r="H22" s="25">
        <f t="shared" si="0"/>
        <v>-22.339179450270105</v>
      </c>
      <c r="J22" s="23">
        <f>+[1]GRUPO!O22</f>
        <v>-26.476683853468494</v>
      </c>
      <c r="K22" s="24">
        <f>+[1]GRUPO!P22</f>
        <v>-19.080074802576483</v>
      </c>
      <c r="L22" s="25">
        <f t="shared" si="1"/>
        <v>-38.766142834477812</v>
      </c>
      <c r="O22" s="14" t="str">
        <f>+IF($B$3="esp","EBITDA","EBITDA")</f>
        <v>EBITDA</v>
      </c>
      <c r="P22" s="14"/>
      <c r="Q22" s="15">
        <f>+[1]SANTILLANA!K22</f>
        <v>54.545219317422003</v>
      </c>
      <c r="R22" s="16">
        <f>+[1]SANTILLANA!L22</f>
        <v>61.852473497649299</v>
      </c>
      <c r="S22" s="17">
        <f t="shared" si="2"/>
        <v>-11.814004787545009</v>
      </c>
      <c r="T22" s="14"/>
      <c r="U22" s="15">
        <f>+[1]SANTILLANA!O22</f>
        <v>-7.615787707659301</v>
      </c>
      <c r="V22" s="16">
        <f>+[1]SANTILLANA!P22</f>
        <v>-4.3939976968485013</v>
      </c>
      <c r="W22" s="17">
        <f t="shared" si="3"/>
        <v>-73.322523885744374</v>
      </c>
      <c r="Z22" s="27" t="str">
        <f>+IF($B$3="esp","Margen EBITDA","EBITDA Margin")</f>
        <v>EBITDA Margin</v>
      </c>
      <c r="AA22" s="28"/>
      <c r="AB22" s="36">
        <f>+AB18/AB10</f>
        <v>-6.366307432846223E-2</v>
      </c>
      <c r="AC22" s="37">
        <f>+AC18/AC10</f>
        <v>0.20925771745372021</v>
      </c>
      <c r="AD22" s="38"/>
      <c r="AE22" s="28"/>
      <c r="AF22" s="36">
        <f>+AF18/AF10</f>
        <v>-0.17193430462562873</v>
      </c>
      <c r="AG22" s="37">
        <f>+AG18/AG10</f>
        <v>0.27002297872325337</v>
      </c>
      <c r="AH22" s="38"/>
      <c r="AI22" s="14"/>
      <c r="AK22" s="27" t="str">
        <f>+IF($B$3="esp","Promociones y Otros","Add-ons and Others")</f>
        <v>Add-ons and Others</v>
      </c>
      <c r="AL22" s="28"/>
      <c r="AM22" s="29">
        <f>+[1]NOTICIAS!K22</f>
        <v>8.3235817236478908</v>
      </c>
      <c r="AN22" s="30">
        <f>+[1]NOTICIAS!L22</f>
        <v>12.066183681566304</v>
      </c>
      <c r="AO22" s="31">
        <f t="shared" si="5"/>
        <v>-31.017279835015643</v>
      </c>
      <c r="AP22" s="28"/>
      <c r="AQ22" s="29">
        <f>+[1]NOTICIAS!O22</f>
        <v>3.6429398840348934</v>
      </c>
      <c r="AR22" s="30">
        <f>+[1]NOTICIAS!P22</f>
        <v>7.0259594204115086</v>
      </c>
      <c r="AS22" s="31">
        <f t="shared" si="6"/>
        <v>-48.150285732485379</v>
      </c>
    </row>
    <row r="23" spans="4:45" ht="15" customHeight="1" thickTop="1" thickBot="1">
      <c r="D23" s="32" t="str">
        <f>+IF($B$3="esp","Latam","Latam")</f>
        <v>Latam</v>
      </c>
      <c r="F23" s="23">
        <f>+[1]GRUPO!K23</f>
        <v>48.164943374840476</v>
      </c>
      <c r="G23" s="24">
        <f>+[1]GRUPO!L23</f>
        <v>62.453304078559036</v>
      </c>
      <c r="H23" s="25">
        <f t="shared" si="0"/>
        <v>-22.87847042607298</v>
      </c>
      <c r="J23" s="23">
        <f>+[1]GRUPO!O23</f>
        <v>-26.843258943468484</v>
      </c>
      <c r="K23" s="24">
        <f>+[1]GRUPO!P23</f>
        <v>-18.915085802576463</v>
      </c>
      <c r="L23" s="25">
        <f t="shared" si="1"/>
        <v>-41.914550235939757</v>
      </c>
      <c r="O23" s="22" t="str">
        <f>+IF($B$3="esp","Negocio España","Spain business")</f>
        <v>Spain business</v>
      </c>
      <c r="Q23" s="23">
        <f>+[1]SANTILLANA!K23</f>
        <v>11.326607001474263</v>
      </c>
      <c r="R23" s="24">
        <f>+[1]SANTILLANA!L23</f>
        <v>13.786650929999999</v>
      </c>
      <c r="S23" s="25">
        <f t="shared" si="2"/>
        <v>-17.843665883877829</v>
      </c>
      <c r="U23" s="23">
        <f>+[1]SANTILLANA!O23</f>
        <v>20.692444287474263</v>
      </c>
      <c r="V23" s="24">
        <f>+[1]SANTILLANA!P23</f>
        <v>22.523149309999994</v>
      </c>
      <c r="W23" s="25">
        <f t="shared" si="3"/>
        <v>-8.1281041000466168</v>
      </c>
      <c r="Z23" s="14" t="str">
        <f>+IF($B$3="esp","EBIT","EBIT")</f>
        <v>EBIT</v>
      </c>
      <c r="AA23" s="14"/>
      <c r="AB23" s="15">
        <f>+[1]RADIO!K26</f>
        <v>-33.808912967646798</v>
      </c>
      <c r="AC23" s="16">
        <f>+[1]RADIO!L26</f>
        <v>19.008089320751001</v>
      </c>
      <c r="AD23" s="34" t="str">
        <f>IF(AC23=0,"---",IF(OR(ABS((AB23-AC23)/ABS(AC23))&gt;2,(AB23*AC23)&lt;0),"---",IF(AC23="0","---",((AB23-AC23)/ABS(AC23))*100)))</f>
        <v>---</v>
      </c>
      <c r="AE23" s="14"/>
      <c r="AF23" s="15">
        <f>+[1]RADIO!O26</f>
        <v>-29.733937840584616</v>
      </c>
      <c r="AG23" s="16">
        <f>+[1]RADIO!P26</f>
        <v>15.405782231817811</v>
      </c>
      <c r="AH23" s="34" t="str">
        <f>IF(AG23=0,"---",IF(OR(ABS((AF23-AG23)/ABS(AG23))&gt;2,(AF23*AG23)&lt;0),"---",IF(AG23="0","---",((AF23-AG23)/ABS(AG23))*100)))</f>
        <v>---</v>
      </c>
      <c r="AI23" s="14"/>
      <c r="AK23" s="26" t="str">
        <f>+IF($B$3="esp","PBS y Prisa Tecnología","PBS &amp; IT")</f>
        <v>PBS &amp; IT</v>
      </c>
      <c r="AL23" s="14"/>
      <c r="AM23" s="15">
        <f>+[1]NOTICIAS!K23</f>
        <v>9.0803343399145149</v>
      </c>
      <c r="AN23" s="16">
        <f>+[1]NOTICIAS!L23</f>
        <v>10.321996097390993</v>
      </c>
      <c r="AO23" s="17">
        <f t="shared" si="5"/>
        <v>-12.029279470376116</v>
      </c>
      <c r="AP23" s="14"/>
      <c r="AQ23" s="15">
        <f>+[1]NOTICIAS!O23</f>
        <v>4.5562549110522141</v>
      </c>
      <c r="AR23" s="16">
        <f>+[1]NOTICIAS!P23</f>
        <v>5.1074212986990872</v>
      </c>
      <c r="AS23" s="17">
        <f t="shared" si="6"/>
        <v>-10.791480776948259</v>
      </c>
    </row>
    <row r="24" spans="4:45" ht="15" customHeight="1" thickTop="1">
      <c r="D24" s="32" t="str">
        <f>+IF($B$3="esp","Portugal","Portugal")</f>
        <v>Portugal</v>
      </c>
      <c r="F24" s="23">
        <f>+[1]GRUPO!K24</f>
        <v>0.15609140999999202</v>
      </c>
      <c r="G24" s="24">
        <f>+[1]GRUPO!L24</f>
        <v>-0.23269599999999999</v>
      </c>
      <c r="H24" s="25" t="str">
        <f t="shared" si="0"/>
        <v>---</v>
      </c>
      <c r="J24" s="23">
        <f>+[1]GRUPO!O24</f>
        <v>0.366575089999993</v>
      </c>
      <c r="K24" s="24">
        <f>+[1]GRUPO!P24</f>
        <v>-0.164989</v>
      </c>
      <c r="L24" s="25" t="str">
        <f t="shared" si="1"/>
        <v>---</v>
      </c>
      <c r="O24" s="22" t="str">
        <f>+IF($B$3="esp","Negocio Internacional","International business")</f>
        <v>International business</v>
      </c>
      <c r="Q24" s="23">
        <f>+[1]SANTILLANA!K24</f>
        <v>53.735189655947735</v>
      </c>
      <c r="R24" s="24">
        <f>+[1]SANTILLANA!L24</f>
        <v>58.8302779476493</v>
      </c>
      <c r="S24" s="25">
        <f t="shared" si="2"/>
        <v>-8.6606565011225669</v>
      </c>
      <c r="U24" s="23">
        <f>+[1]SANTILLANA!O24</f>
        <v>-23.706982165133567</v>
      </c>
      <c r="V24" s="24">
        <f>+[1]SANTILLANA!P24</f>
        <v>-22.356512716848506</v>
      </c>
      <c r="W24" s="25">
        <f t="shared" si="3"/>
        <v>-6.0406086825308343</v>
      </c>
      <c r="Z24" s="22" t="str">
        <f>+IF($B$3="esp","España","Spain")</f>
        <v>Spain</v>
      </c>
      <c r="AB24" s="23">
        <f>+[1]RADIO!K27</f>
        <v>-7.3570408900000199</v>
      </c>
      <c r="AC24" s="24">
        <f>+[1]RADIO!L27</f>
        <v>15.890000290000097</v>
      </c>
      <c r="AD24" s="25" t="str">
        <f>IF(AC24=0,"---",IF(OR(ABS((AB24-AC24)/ABS(AC24))&gt;2,(AB24*AC24)&lt;0),"---",IF(AC24="0","---",((AB24-AC24)/ABS(AC24))*100)))</f>
        <v>---</v>
      </c>
      <c r="AF24" s="23">
        <f>+[1]RADIO!O27</f>
        <v>-5.7114019200000525</v>
      </c>
      <c r="AG24" s="24">
        <f>+[1]RADIO!P27</f>
        <v>12.553592210000108</v>
      </c>
      <c r="AH24" s="25" t="str">
        <f>IF(AG24=0,"---",IF(OR(ABS((AF24-AG24)/ABS(AG24))&gt;2,(AF24*AG24)&lt;0),"---",IF(AG24="0","---",((AF24-AG24)/ABS(AG24))*100)))</f>
        <v>---</v>
      </c>
      <c r="AK24" s="39" t="str">
        <f>+IF($B$3="esp","Gastos de Explotación Contables Noticias Gestión","Total Press Reported Expenses")</f>
        <v>Total Press Reported Expenses</v>
      </c>
      <c r="AL24" s="40"/>
      <c r="AM24" s="41">
        <f>+[1]NOTICIAS!K24</f>
        <v>89.218954313508704</v>
      </c>
      <c r="AN24" s="42">
        <f>+[1]NOTICIAS!L24</f>
        <v>102.88654024339557</v>
      </c>
      <c r="AO24" s="43">
        <f t="shared" si="5"/>
        <v>-13.284134054419436</v>
      </c>
      <c r="AP24" s="40"/>
      <c r="AQ24" s="41">
        <f>+[1]NOTICIAS!O24</f>
        <v>41.556885785147585</v>
      </c>
      <c r="AR24" s="42">
        <f>+[1]NOTICIAS!P24</f>
        <v>50.757289920327402</v>
      </c>
      <c r="AS24" s="43">
        <f t="shared" si="6"/>
        <v>-18.126271417606198</v>
      </c>
    </row>
    <row r="25" spans="4:45" ht="15" customHeight="1">
      <c r="D25" s="27" t="str">
        <f>+IF($B$3="esp","Margen EBITDA ","EBITDA Margin")</f>
        <v>EBITDA Margin</v>
      </c>
      <c r="E25" s="28"/>
      <c r="F25" s="36">
        <f>+F20/F10</f>
        <v>8.173444369418438E-2</v>
      </c>
      <c r="G25" s="37">
        <f>+G20/G10</f>
        <v>7.1350439097816687E-2</v>
      </c>
      <c r="H25" s="38"/>
      <c r="I25" s="28"/>
      <c r="J25" s="36">
        <f>+J20/J10</f>
        <v>-0.18207104598548704</v>
      </c>
      <c r="K25" s="37">
        <f>+K20/K10</f>
        <v>7.9586578366050043E-2</v>
      </c>
      <c r="L25" s="38"/>
      <c r="O25" s="32" t="str">
        <f>+IF($B$3="esp","Latam","Latam")</f>
        <v>Latam</v>
      </c>
      <c r="Q25" s="23">
        <f>+[1]SANTILLANA!K25</f>
        <v>53.531511655947739</v>
      </c>
      <c r="R25" s="24">
        <f>+[1]SANTILLANA!L25</f>
        <v>59.062973947649297</v>
      </c>
      <c r="S25" s="25">
        <f>IF(R25=0,"---",IF(OR(ABS((Q25-R25)/ABS(R25))&gt;2,(Q25*R25)&lt;0),"---",IF(R25="0","---",((Q25-R25)/ABS(R25))*100)))</f>
        <v>-9.3653636483059444</v>
      </c>
      <c r="U25" s="23">
        <f>+[1]SANTILLANA!O25</f>
        <v>-24.110261165133565</v>
      </c>
      <c r="V25" s="24">
        <f>+[1]SANTILLANA!P25</f>
        <v>-22.191523716848508</v>
      </c>
      <c r="W25" s="25">
        <f t="shared" si="3"/>
        <v>-8.6462627477368361</v>
      </c>
      <c r="Z25" s="22" t="str">
        <f>+IF($B$3="esp","Latam","Latam")</f>
        <v>Latam</v>
      </c>
      <c r="AB25" s="23">
        <f>+[1]RADIO!K28</f>
        <v>-23.2347465376466</v>
      </c>
      <c r="AC25" s="24">
        <f>+[1]RADIO!L28</f>
        <v>3.22947916075083</v>
      </c>
      <c r="AD25" s="25" t="str">
        <f>IF(AC25=0,"---",IF(OR(ABS((AB25-AC25)/ABS(AC25))&gt;2,(AB25*AC25)&lt;0),"---",IF(AC25="0","---",((AB25-AC25)/ABS(AC25))*100)))</f>
        <v>---</v>
      </c>
      <c r="AF25" s="23">
        <f>+[1]RADIO!O28</f>
        <v>-20.460076910584462</v>
      </c>
      <c r="AG25" s="24">
        <f>+[1]RADIO!P28</f>
        <v>2.9235461118175441</v>
      </c>
      <c r="AH25" s="25" t="str">
        <f>IF(AG25=0,"---",IF(OR(ABS((AF25-AG25)/ABS(AG25))&gt;2,(AF25*AG25)&lt;0),"---",IF(AG25="0","---",((AF25-AG25)/ABS(AG25))*100)))</f>
        <v>---</v>
      </c>
      <c r="AK25" s="26" t="str">
        <f>+IF($B$3="esp","Gastos de Explotación Contables PRENSA","PRESS Reported Expenses")</f>
        <v>PRESS Reported Expenses</v>
      </c>
      <c r="AL25" s="14"/>
      <c r="AM25" s="15">
        <f>+[1]NOTICIAS!K25</f>
        <v>79.788417363813991</v>
      </c>
      <c r="AN25" s="16">
        <f>+[1]NOTICIAS!L25</f>
        <v>91.536458222787005</v>
      </c>
      <c r="AO25" s="17">
        <f t="shared" si="5"/>
        <v>-12.834275093296615</v>
      </c>
      <c r="AP25" s="14"/>
      <c r="AQ25" s="15">
        <f>+[1]NOTICIAS!O25</f>
        <v>37.073949509422803</v>
      </c>
      <c r="AR25" s="16">
        <f>+[1]NOTICIAS!P25</f>
        <v>45.609634588094622</v>
      </c>
      <c r="AS25" s="17">
        <f t="shared" si="6"/>
        <v>-18.714653506344618</v>
      </c>
    </row>
    <row r="26" spans="4:45" s="28" customFormat="1" ht="15" customHeight="1" thickBot="1">
      <c r="D26" s="14" t="str">
        <f>+IF($B$3="esp","EBIT Contable","Reported EBIT")</f>
        <v>Reported EBIT</v>
      </c>
      <c r="E26" s="14"/>
      <c r="F26" s="15">
        <f>+[1]GRUPO!K26</f>
        <v>-27.820831035868739</v>
      </c>
      <c r="G26" s="16">
        <f>+[1]GRUPO!L26</f>
        <v>-7.3375485431209952</v>
      </c>
      <c r="H26" s="17" t="str">
        <f>IF(G26=0,"---",IF(OR(ABS((F26-G26)/ABS(G26))&gt;2,(F26*G26)&lt;0),"---",IF(G26="0","---",((F26-G26)/ABS(G26))*100)))</f>
        <v>---</v>
      </c>
      <c r="I26" s="14"/>
      <c r="J26" s="15">
        <f>+[1]GRUPO!O26</f>
        <v>-59.992963399429939</v>
      </c>
      <c r="K26" s="16">
        <f>+[1]GRUPO!P26</f>
        <v>-3.1888730039154893</v>
      </c>
      <c r="L26" s="17" t="str">
        <f>IF(K26=0,"---",IF(OR(ABS((J26-K26)/ABS(K26))&gt;2,(J26*K26)&lt;0),"---",IF(K26="0","---",((J26-K26)/ABS(K26))*100)))</f>
        <v>---</v>
      </c>
      <c r="O26" s="32" t="str">
        <f>+IF($B$3="esp","Portugal","Portugal")</f>
        <v>Portugal</v>
      </c>
      <c r="P26" s="1"/>
      <c r="Q26" s="23">
        <f>+[1]SANTILLANA!K26</f>
        <v>0.203678</v>
      </c>
      <c r="R26" s="24">
        <f>+[1]SANTILLANA!L26</f>
        <v>-0.23269599999999999</v>
      </c>
      <c r="S26" s="25" t="str">
        <f t="shared" si="2"/>
        <v>---</v>
      </c>
      <c r="T26" s="1"/>
      <c r="U26" s="23">
        <f>+[1]SANTILLANA!O26</f>
        <v>0.403279</v>
      </c>
      <c r="V26" s="24">
        <f>+[1]SANTILLANA!P26</f>
        <v>-0.164989</v>
      </c>
      <c r="W26" s="25" t="str">
        <f t="shared" si="3"/>
        <v>---</v>
      </c>
      <c r="Z26" s="22" t="str">
        <f>+IF($B$3="esp","Ajustes y Otros","Adjustments &amp; others")</f>
        <v>Adjustments &amp; others</v>
      </c>
      <c r="AB26" s="23">
        <f>+AB23-AB24-AB25</f>
        <v>-3.2171255400001755</v>
      </c>
      <c r="AC26" s="24">
        <f>+AC23-AC24-AC25</f>
        <v>-0.11139012999992648</v>
      </c>
      <c r="AD26" s="25" t="str">
        <f>IF(AC26=0,"---",IF(OR(ABS((AB26-AC26)/ABS(AC26))&gt;2,(AB26*AC26)&lt;0),"---",IF(AC26="0","---",((AB26-AC26)/ABS(AC26))*100)))</f>
        <v>---</v>
      </c>
      <c r="AF26" s="23">
        <f>+AF23-AF24-AF25</f>
        <v>-3.5624590100001008</v>
      </c>
      <c r="AG26" s="24">
        <f>+AG23-AG24-AG25</f>
        <v>-7.1356089999840666E-2</v>
      </c>
      <c r="AH26" s="25" t="str">
        <f>IF(AG26=0,"---",IF(OR(ABS((AF26-AG26)/ABS(AG26))&gt;2,(AF26*AG26)&lt;0),"---",IF(AG26="0","---",((AF26-AG26)/ABS(AG26))*100)))</f>
        <v>---</v>
      </c>
      <c r="AI26" s="1"/>
      <c r="AK26" s="44" t="str">
        <f>+IF($B$3="esp","Gastos de Explotación Contables PBS y Tecnología","PBS &amp; IT Reported Expenses")</f>
        <v>PBS &amp; IT Reported Expenses</v>
      </c>
      <c r="AL26" s="14"/>
      <c r="AM26" s="15">
        <f>+[1]NOTICIAS!K26</f>
        <v>9.4305369496947122</v>
      </c>
      <c r="AN26" s="16">
        <f>+[1]NOTICIAS!L26</f>
        <v>11.350082020608568</v>
      </c>
      <c r="AO26" s="17">
        <f t="shared" si="5"/>
        <v>-16.912169158147929</v>
      </c>
      <c r="AP26" s="14"/>
      <c r="AQ26" s="15">
        <f>+[1]NOTICIAS!O26</f>
        <v>4.4829362757247821</v>
      </c>
      <c r="AR26" s="16">
        <f>+[1]NOTICIAS!P26</f>
        <v>5.1476553322327803</v>
      </c>
      <c r="AS26" s="17">
        <f t="shared" si="6"/>
        <v>-12.913045136215018</v>
      </c>
    </row>
    <row r="27" spans="4:45" ht="13.5" thickTop="1">
      <c r="D27" s="22" t="str">
        <f>+IF($B$3="esp","España","Spain")</f>
        <v>Spain</v>
      </c>
      <c r="F27" s="23">
        <f>+[1]GRUPO!K27</f>
        <v>-32.968861172758324</v>
      </c>
      <c r="G27" s="24">
        <f>+[1]GRUPO!L27</f>
        <v>-42.927514551011434</v>
      </c>
      <c r="H27" s="25">
        <f>IF(G27=0,"---",IF(OR(ABS((F27-G27)/ABS(G27))&gt;2,(F27*G27)&lt;0),"---",IF(G27="0","---",((F27-G27)/ABS(G27))*100)))</f>
        <v>23.198765366252658</v>
      </c>
      <c r="J27" s="23">
        <f>+[1]GRUPO!O27</f>
        <v>-6.2144257236424494</v>
      </c>
      <c r="K27" s="24">
        <f>+[1]GRUPO!P27</f>
        <v>28.355957464753793</v>
      </c>
      <c r="L27" s="25" t="str">
        <f>IF(K27=0,"---",IF(OR(ABS((J27-K27)/ABS(K27))&gt;2,(J27*K27)&lt;0),"---",IF(K27="0","---",((J27-K27)/ABS(K27))*100)))</f>
        <v>---</v>
      </c>
      <c r="O27" s="22" t="str">
        <f>+IF($B$3="esp","Tecnología Educativa global y Centro Corpor.","Global Educational IT &amp; HQ")</f>
        <v>Global Educational IT &amp; HQ</v>
      </c>
      <c r="Q27" s="23">
        <f>+[1]SANTILLANA!K27</f>
        <v>-10.516577339999996</v>
      </c>
      <c r="R27" s="24">
        <f>+[1]SANTILLANA!L27</f>
        <v>-10.764455379999999</v>
      </c>
      <c r="S27" s="25">
        <f t="shared" si="2"/>
        <v>2.3027457613931173</v>
      </c>
      <c r="U27" s="23">
        <f>+[1]SANTILLANA!O27</f>
        <v>-4.601249829999996</v>
      </c>
      <c r="V27" s="24">
        <f>+[1]SANTILLANA!P27</f>
        <v>-4.5606342900000003</v>
      </c>
      <c r="W27" s="25">
        <f t="shared" si="3"/>
        <v>-0.89056778985880203</v>
      </c>
      <c r="Z27" s="45" t="str">
        <f>+IF($B$3="esp","Margen EBIT","EBIT Margin")</f>
        <v>EBIT Margin</v>
      </c>
      <c r="AB27" s="46">
        <f>+AB23/AB10</f>
        <v>-0.41529689555057281</v>
      </c>
      <c r="AC27" s="47">
        <f>+AC23/AC10</f>
        <v>0.14132396174214193</v>
      </c>
      <c r="AD27" s="48"/>
      <c r="AF27" s="46">
        <f>+AF23/AF10</f>
        <v>-0.87313167939632419</v>
      </c>
      <c r="AG27" s="47">
        <f>+AG23/AG10</f>
        <v>0.20695777031459825</v>
      </c>
      <c r="AH27" s="48"/>
      <c r="AK27" s="18" t="str">
        <f>+IF($B$3="esp","EBITDA Contable Noticias Gestión","Total Press Reported EBITDA")</f>
        <v>Total Press Reported EBITDA</v>
      </c>
      <c r="AL27" s="40"/>
      <c r="AM27" s="41">
        <f>+[1]NOTICIAS!K27</f>
        <v>-13.6390595670807</v>
      </c>
      <c r="AN27" s="42">
        <f>+[1]NOTICIAS!L27</f>
        <v>1.64478109274442</v>
      </c>
      <c r="AO27" s="43" t="str">
        <f t="shared" si="5"/>
        <v>---</v>
      </c>
      <c r="AP27" s="40"/>
      <c r="AQ27" s="41">
        <f>+[1]NOTICIAS!O27</f>
        <v>-7.67202581334538</v>
      </c>
      <c r="AR27" s="42">
        <f>+[1]NOTICIAS!P27</f>
        <v>4.7164915282073903</v>
      </c>
      <c r="AS27" s="43" t="str">
        <f t="shared" si="6"/>
        <v>---</v>
      </c>
    </row>
    <row r="28" spans="4:45">
      <c r="D28" s="22" t="str">
        <f>+IF($B$3="esp","Internacional","International")</f>
        <v>International</v>
      </c>
      <c r="F28" s="23">
        <f>+[1]GRUPO!K28</f>
        <v>5.1480301368895827</v>
      </c>
      <c r="G28" s="24">
        <f>+[1]GRUPO!L28</f>
        <v>35.589966007890439</v>
      </c>
      <c r="H28" s="25">
        <f>IF(G28=0,"---",IF(OR(ABS((F28-G28)/ABS(G28))&gt;2,(F28*G28)&lt;0),"---",IF(G28="0","---",((F28-G28)/ABS(G28))*100)))</f>
        <v>-85.535164220869888</v>
      </c>
      <c r="J28" s="23">
        <f>+[1]GRUPO!O28</f>
        <v>-53.77853767578749</v>
      </c>
      <c r="K28" s="24">
        <f>+[1]GRUPO!P28</f>
        <v>-31.544830468669275</v>
      </c>
      <c r="L28" s="25">
        <f>IF(K28=0,"---",IF(OR(ABS((J28-K28)/ABS(K28))&gt;2,(J28*K28)&lt;0),"---",IF(K28="0","---",((J28-K28)/ABS(K28))*100)))</f>
        <v>-70.482886979535408</v>
      </c>
      <c r="O28" s="27" t="str">
        <f>+IF($B$3="esp","Margen EBITDA","EBITDA Margin")</f>
        <v>EBITDA Margin</v>
      </c>
      <c r="P28" s="28"/>
      <c r="Q28" s="36">
        <f>+Q22/Q10</f>
        <v>0.22304789513244552</v>
      </c>
      <c r="R28" s="37">
        <f>+R22/R10</f>
        <v>0.24163053290399175</v>
      </c>
      <c r="S28" s="38"/>
      <c r="T28" s="28"/>
      <c r="U28" s="36">
        <f>+U22/U10</f>
        <v>-0.11442412457134728</v>
      </c>
      <c r="V28" s="37">
        <f>+V22/V10</f>
        <v>-5.0469110715820324E-2</v>
      </c>
      <c r="W28" s="38"/>
      <c r="AI28" s="28"/>
      <c r="AK28" s="26" t="str">
        <f>+IF($B$3="esp","EBITDA Contable PRENSA","PRESS Reported EBITDA")</f>
        <v>PRESS Reported EBITDA</v>
      </c>
      <c r="AL28" s="14"/>
      <c r="AM28" s="15">
        <f>+[1]NOTICIAS!K28</f>
        <v>-13.288856957300501</v>
      </c>
      <c r="AN28" s="16">
        <f>+[1]NOTICIAS!L28</f>
        <v>2.6728670159620003</v>
      </c>
      <c r="AO28" s="17" t="str">
        <f t="shared" si="5"/>
        <v>---</v>
      </c>
      <c r="AP28" s="14"/>
      <c r="AQ28" s="15">
        <f>+[1]NOTICIAS!O28</f>
        <v>-7.7453444486728111</v>
      </c>
      <c r="AR28" s="16">
        <f>+[1]NOTICIAS!P28</f>
        <v>4.7567255617410904</v>
      </c>
      <c r="AS28" s="17" t="str">
        <f t="shared" si="6"/>
        <v>---</v>
      </c>
    </row>
    <row r="29" spans="4:45" ht="15.75" customHeight="1">
      <c r="D29" s="32" t="str">
        <f>+IF($B$3="esp","Latam","Latam")</f>
        <v>Latam</v>
      </c>
      <c r="F29" s="23">
        <f>+[1]GRUPO!K29</f>
        <v>5.0002257268895951</v>
      </c>
      <c r="G29" s="24">
        <f>+[1]GRUPO!L29</f>
        <v>35.639126007890447</v>
      </c>
      <c r="H29" s="25">
        <f>IF(G29=0,"---",IF(OR(ABS((F29-G29)/ABS(G29))&gt;2,(F29*G29)&lt;0),"---",IF(G29="0","---",((F29-G29)/ABS(G29))*100)))</f>
        <v>-85.969841892916918</v>
      </c>
      <c r="J29" s="23">
        <f>+[1]GRUPO!O29</f>
        <v>-54.140970765787479</v>
      </c>
      <c r="K29" s="24">
        <f>+[1]GRUPO!P29</f>
        <v>-31.567892468669264</v>
      </c>
      <c r="L29" s="25">
        <f>IF(K29=0,"---",IF(OR(ABS((J29-K29)/ABS(K29))&gt;2,(J29*K29)&lt;0),"---",IF(K29="0","---",((J29-K29)/ABS(K29))*100)))</f>
        <v>-71.50644699997541</v>
      </c>
      <c r="O29" s="14" t="str">
        <f>+IF($B$3="esp","EBIT","EBIT")</f>
        <v>EBIT</v>
      </c>
      <c r="P29" s="14"/>
      <c r="Q29" s="15">
        <f>+[1]SANTILLANA!K29</f>
        <v>30.439670563910898</v>
      </c>
      <c r="R29" s="16">
        <f>+[1]SANTILLANA!L29</f>
        <v>34.529992609979999</v>
      </c>
      <c r="S29" s="17">
        <f t="shared" ref="S29:S34" si="10">IF(R29=0,"---",IF(OR(ABS((Q29-R29)/ABS(R29))&gt;2,(Q29*R29)&lt;0),"---",IF(R29="0","---",((Q29-R29)/ABS(R29))*100)))</f>
        <v>-11.845707852502985</v>
      </c>
      <c r="T29" s="14"/>
      <c r="U29" s="15">
        <f>+[1]SANTILLANA!O29</f>
        <v>-15.7113329261778</v>
      </c>
      <c r="V29" s="16">
        <f>+[1]SANTILLANA!P29</f>
        <v>-16.963152060353302</v>
      </c>
      <c r="W29" s="17">
        <f t="shared" ref="W29:W34" si="11">IF(V29=0,"---",IF(OR(ABS((U29-V29)/ABS(V29))&gt;2,(U29*V29)&lt;0),"---",IF(V29="0","---",((U29-V29)/ABS(V29))*100)))</f>
        <v>7.3796375209138443</v>
      </c>
      <c r="AI29" s="14"/>
      <c r="AK29" s="27" t="str">
        <f>+IF($B$3="esp","Margen EBITDA ","EBITDA Margin")</f>
        <v>EBITDA Margin</v>
      </c>
      <c r="AL29" s="28"/>
      <c r="AM29" s="36">
        <f>+AM28/AM11</f>
        <v>-0.19983375643486034</v>
      </c>
      <c r="AN29" s="37">
        <f>+AN28/AN11</f>
        <v>2.8371575841227126E-2</v>
      </c>
      <c r="AO29" s="38"/>
      <c r="AP29" s="28"/>
      <c r="AQ29" s="36">
        <f>+AQ28/AQ11</f>
        <v>-0.26408840218037782</v>
      </c>
      <c r="AR29" s="37">
        <f>+AR28/AR11</f>
        <v>9.4442511779493893E-2</v>
      </c>
      <c r="AS29" s="38"/>
    </row>
    <row r="30" spans="4:45" s="14" customFormat="1" ht="15" customHeight="1" thickBot="1">
      <c r="D30" s="32" t="str">
        <f>+IF($B$3="esp","Portugal","Portugal")</f>
        <v>Portugal</v>
      </c>
      <c r="E30" s="1"/>
      <c r="F30" s="23">
        <f>+[1]GRUPO!K30</f>
        <v>0.14780440999998701</v>
      </c>
      <c r="G30" s="24">
        <f>+[1]GRUPO!L30</f>
        <v>-4.9159999999999898E-2</v>
      </c>
      <c r="H30" s="25" t="str">
        <f>IF(G30=0,"---",IF(OR(ABS((F30-G30)/ABS(G30))&gt;2,(F30*G30)&lt;0),"---",IF(G30="0","---",((F30-G30)/ABS(G30))*100)))</f>
        <v>---</v>
      </c>
      <c r="I30" s="1"/>
      <c r="J30" s="23">
        <f>+[1]GRUPO!O30</f>
        <v>0.36243308999999002</v>
      </c>
      <c r="K30" s="24">
        <f>+[1]GRUPO!P30</f>
        <v>2.3062000000000096E-2</v>
      </c>
      <c r="L30" s="25" t="str">
        <f>IF(K30=0,"---",IF(OR(ABS((J30-K30)/ABS(K30))&gt;2,(J30*K30)&lt;0),"---",IF(K30="0","---",((J30-K30)/ABS(K30))*100)))</f>
        <v>---</v>
      </c>
      <c r="O30" s="22" t="str">
        <f>+IF($B$3="esp","Negocio España","Spain business")</f>
        <v>Spain business</v>
      </c>
      <c r="P30" s="1"/>
      <c r="Q30" s="23">
        <f>+[1]SANTILLANA!K30</f>
        <v>9.2845842855728513</v>
      </c>
      <c r="R30" s="24">
        <f>+[1]SANTILLANA!L30</f>
        <v>11.533579958989074</v>
      </c>
      <c r="S30" s="25">
        <f t="shared" si="10"/>
        <v>-19.499545513302611</v>
      </c>
      <c r="T30" s="1"/>
      <c r="U30" s="23">
        <f>+[1]SANTILLANA!O30</f>
        <v>19.732639424730863</v>
      </c>
      <c r="V30" s="24">
        <f>+[1]SANTILLANA!P30</f>
        <v>21.390843365689427</v>
      </c>
      <c r="W30" s="25">
        <f t="shared" si="11"/>
        <v>-7.7519334446546297</v>
      </c>
      <c r="AI30" s="1"/>
      <c r="AK30" s="44" t="str">
        <f>+IF($B$3="esp","PBS y Prisa Tecnología","PBS &amp; IT")</f>
        <v>PBS &amp; IT</v>
      </c>
      <c r="AM30" s="15">
        <f>+[1]NOTICIAS!K30</f>
        <v>-0.35020260978019913</v>
      </c>
      <c r="AN30" s="16">
        <f>+[1]NOTICIAS!L30</f>
        <v>-1.0280859232175803</v>
      </c>
      <c r="AO30" s="17">
        <f>IF(AN30=0,"---",IF(OR(ABS((AM30-AN30)/ABS(AN30))&gt;2,(AM30*AN30)&lt;0),"---",IF(AN30="0","---",((AM30-AN30)/ABS(AN30))*100)))</f>
        <v>65.936445400966406</v>
      </c>
      <c r="AQ30" s="15">
        <f>+[1]NOTICIAS!O30</f>
        <v>7.3318635327431103E-2</v>
      </c>
      <c r="AR30" s="16">
        <f>+[1]NOTICIAS!P30</f>
        <v>-4.0234033533700364E-2</v>
      </c>
      <c r="AS30" s="17" t="str">
        <f>IF(AR30=0,"---",IF(OR(ABS((AQ30-AR30)/ABS(AR30))&gt;2,(AQ30*AR30)&lt;0),"---",IF(AR30="0","---",((AQ30-AR30)/ABS(AR30))*100)))</f>
        <v>---</v>
      </c>
    </row>
    <row r="31" spans="4:45" ht="15" customHeight="1" thickTop="1">
      <c r="D31" s="27" t="str">
        <f>+IF($B$3="esp","Margen EBIT ","EBIT Margin")</f>
        <v>EBIT Margin</v>
      </c>
      <c r="E31" s="28"/>
      <c r="F31" s="36">
        <f>+F26/F10</f>
        <v>-7.0827853720957928E-2</v>
      </c>
      <c r="G31" s="37">
        <f>+G26/G10</f>
        <v>-1.5108171235933287E-2</v>
      </c>
      <c r="H31" s="38"/>
      <c r="I31" s="28"/>
      <c r="J31" s="36">
        <f>+J26/J10</f>
        <v>-0.46053111014285514</v>
      </c>
      <c r="K31" s="37">
        <f>+K26/K10</f>
        <v>-1.4996352246299529E-2</v>
      </c>
      <c r="L31" s="38"/>
      <c r="O31" s="22" t="str">
        <f>+IF($B$3="esp","Negocio Internacional","International business")</f>
        <v>International business</v>
      </c>
      <c r="Q31" s="23">
        <f>+[1]SANTILLANA!K31</f>
        <v>33.137145926669419</v>
      </c>
      <c r="R31" s="24">
        <f>+[1]SANTILLANA!L31</f>
        <v>35.812776940990922</v>
      </c>
      <c r="S31" s="25">
        <f t="shared" si="10"/>
        <v>-7.4711632072826069</v>
      </c>
      <c r="U31" s="23">
        <f>+[1]SANTILLANA!O31</f>
        <v>-30.230842352534836</v>
      </c>
      <c r="V31" s="24">
        <f>+[1]SANTILLANA!P31</f>
        <v>-32.766651085107192</v>
      </c>
      <c r="W31" s="25">
        <f t="shared" si="11"/>
        <v>7.7389926910318554</v>
      </c>
      <c r="AK31" s="18" t="str">
        <f>+IF($B$3="esp","EBIT Contable Noticias Gestión","Total Press Reported EBIT")</f>
        <v>Total Press Reported EBIT</v>
      </c>
      <c r="AL31" s="40"/>
      <c r="AM31" s="41">
        <f>+[1]NOTICIAS!K31</f>
        <v>-20.184625392133139</v>
      </c>
      <c r="AN31" s="42">
        <f>+[1]NOTICIAS!L31</f>
        <v>-3.2178184927224303</v>
      </c>
      <c r="AO31" s="43" t="str">
        <f>IF(AN31=0,"---",IF(OR(ABS((AM31-AN31)/ABS(AN31))&gt;2,(AM31*AN31)&lt;0),"---",IF(AN31="0","---",((AM31-AN31)/ABS(AN31))*100)))</f>
        <v>---</v>
      </c>
      <c r="AP31" s="40"/>
      <c r="AQ31" s="41">
        <f>+[1]NOTICIAS!O31</f>
        <v>-11.75760183266811</v>
      </c>
      <c r="AR31" s="42">
        <f>+[1]NOTICIAS!P31</f>
        <v>2.2010069286425793</v>
      </c>
      <c r="AS31" s="43" t="str">
        <f>IF(AR31=0,"---",IF(OR(ABS((AQ31-AR31)/ABS(AR31))&gt;2,(AQ31*AR31)&lt;0),"---",IF(AR31="0","---",((AQ31-AR31)/ABS(AR31))*100)))</f>
        <v>---</v>
      </c>
    </row>
    <row r="32" spans="4:45" ht="15" customHeight="1">
      <c r="D32" s="14" t="str">
        <f>+IF($B$3="esp","Resultado Financiero","Financial Result")</f>
        <v>Financial Result</v>
      </c>
      <c r="E32" s="14"/>
      <c r="F32" s="15">
        <f>+[1]GRUPO!K32</f>
        <v>-37.746153891478201</v>
      </c>
      <c r="G32" s="16">
        <f>+[1]GRUPO!L32</f>
        <v>-39.458848204048905</v>
      </c>
      <c r="H32" s="17">
        <f t="shared" ref="H32:H45" si="12">IF(G32=0,"---",IF(OR(ABS((F32-G32)/ABS(G32))&gt;2,(F32*G32)&lt;0),"---",IF(G32="0","---",((F32-G32)/ABS(G32))*100)))</f>
        <v>4.3404569330408469</v>
      </c>
      <c r="I32" s="14"/>
      <c r="J32" s="15">
        <f>+[1]GRUPO!O32</f>
        <v>-22.056852680818402</v>
      </c>
      <c r="K32" s="16">
        <f>+[1]GRUPO!P32</f>
        <v>-19.742925292143205</v>
      </c>
      <c r="L32" s="17">
        <f t="shared" ref="L32:L40" si="13">IF(K32=0,"---",IF(OR(ABS((J32-K32)/ABS(K32))&gt;2,(J32*K32)&lt;0),"---",IF(K32="0","---",((J32-K32)/ABS(K32))*100)))</f>
        <v>-11.720286403535322</v>
      </c>
      <c r="O32" s="32" t="str">
        <f>+IF($B$3="esp","Latam","Latam")</f>
        <v>Latam</v>
      </c>
      <c r="Q32" s="23">
        <f>+[1]SANTILLANA!K32</f>
        <v>32.941754926669418</v>
      </c>
      <c r="R32" s="24">
        <f>+[1]SANTILLANA!L32</f>
        <v>35.861936940990923</v>
      </c>
      <c r="S32" s="25">
        <f t="shared" si="10"/>
        <v>-8.1428452097457047</v>
      </c>
      <c r="U32" s="23">
        <f>+[1]SANTILLANA!O32</f>
        <v>-30.629979352534839</v>
      </c>
      <c r="V32" s="24">
        <f>+[1]SANTILLANA!P32</f>
        <v>-32.789713085107188</v>
      </c>
      <c r="W32" s="25">
        <f t="shared" si="11"/>
        <v>6.5866197943442257</v>
      </c>
      <c r="AK32" s="26" t="str">
        <f>+IF($B$3="esp","EBIT Contable PRENSA","PRESS Reported EBIT")</f>
        <v>PRESS Reported EBIT</v>
      </c>
      <c r="AL32" s="14"/>
      <c r="AM32" s="15">
        <f>+[1]NOTICIAS!K32</f>
        <v>-18.881597389141699</v>
      </c>
      <c r="AN32" s="16">
        <f>+[1]NOTICIAS!L32</f>
        <v>-1.2584619106254498</v>
      </c>
      <c r="AO32" s="17" t="str">
        <f>IF(AN32=0,"---",IF(OR(ABS((AM32-AN32)/ABS(AN32))&gt;2,(AM32*AN32)&lt;0),"---",IF(AN32="0","---",((AM32-AN32)/ABS(AN32))*100)))</f>
        <v>---</v>
      </c>
      <c r="AP32" s="14"/>
      <c r="AQ32" s="15">
        <f>+[1]NOTICIAS!O32</f>
        <v>-11.365296284089389</v>
      </c>
      <c r="AR32" s="16">
        <f>+[1]NOTICIAS!P32</f>
        <v>2.7411846502580102</v>
      </c>
      <c r="AS32" s="17" t="str">
        <f>IF(AR32=0,"---",IF(OR(ABS((AQ32-AR32)/ABS(AR32))&gt;2,(AQ32*AR32)&lt;0),"---",IF(AR32="0","---",((AQ32-AR32)/ABS(AR32))*100)))</f>
        <v>---</v>
      </c>
    </row>
    <row r="33" spans="4:46" ht="15" customHeight="1">
      <c r="D33" s="22" t="str">
        <f>+IF($B$3="esp","Gastos por intereses de financiación","Interests on debt")</f>
        <v>Interests on debt</v>
      </c>
      <c r="F33" s="23">
        <f>+[1]GRUPO!K33</f>
        <v>-33.883569742595604</v>
      </c>
      <c r="G33" s="24">
        <f>+[1]GRUPO!L33</f>
        <v>-28.506890221697397</v>
      </c>
      <c r="H33" s="25">
        <f t="shared" si="12"/>
        <v>-18.860982306677091</v>
      </c>
      <c r="J33" s="23">
        <f>+[1]GRUPO!O33</f>
        <v>-19.082409018571504</v>
      </c>
      <c r="K33" s="24">
        <f>+[1]GRUPO!P33</f>
        <v>-14.356012958899797</v>
      </c>
      <c r="L33" s="25">
        <f t="shared" si="13"/>
        <v>-32.922762560907607</v>
      </c>
      <c r="O33" s="32" t="str">
        <f>+IF($B$3="esp","Portugal","Portugal")</f>
        <v>Portugal</v>
      </c>
      <c r="Q33" s="23">
        <f>+[1]SANTILLANA!K33</f>
        <v>0.19539099999999998</v>
      </c>
      <c r="R33" s="24">
        <f>+[1]SANTILLANA!L33</f>
        <v>-4.9159999999999995E-2</v>
      </c>
      <c r="S33" s="25" t="str">
        <f t="shared" si="10"/>
        <v>---</v>
      </c>
      <c r="U33" s="23">
        <f>+[1]SANTILLANA!O33</f>
        <v>0.39913699999999996</v>
      </c>
      <c r="V33" s="24">
        <f>+[1]SANTILLANA!P33</f>
        <v>2.3061999999999999E-2</v>
      </c>
      <c r="W33" s="25" t="str">
        <f t="shared" si="11"/>
        <v>---</v>
      </c>
      <c r="Z33" s="49"/>
      <c r="AA33" s="50"/>
      <c r="AB33" s="51"/>
      <c r="AC33" s="51"/>
      <c r="AD33" s="51"/>
      <c r="AE33" s="50"/>
      <c r="AF33" s="51"/>
      <c r="AG33" s="51"/>
      <c r="AH33" s="51"/>
      <c r="AI33" s="14"/>
      <c r="AK33" s="27" t="str">
        <f>+IF($B$3="esp","Margen EBIT ","EBIT Margin")</f>
        <v>EBIT Margin</v>
      </c>
      <c r="AL33" s="28"/>
      <c r="AM33" s="36">
        <f>+AM32/AM11</f>
        <v>-0.28393567226186184</v>
      </c>
      <c r="AN33" s="37">
        <f>+AN32/AN11</f>
        <v>-1.3358145888808839E-2</v>
      </c>
      <c r="AO33" s="38"/>
      <c r="AP33" s="28"/>
      <c r="AQ33" s="36">
        <f>+AQ32/AQ11</f>
        <v>-0.38751574650576825</v>
      </c>
      <c r="AR33" s="37">
        <f>+AR32/AR11</f>
        <v>5.4424910636846006E-2</v>
      </c>
      <c r="AS33" s="38"/>
    </row>
    <row r="34" spans="4:46" ht="15" customHeight="1">
      <c r="D34" s="22" t="str">
        <f>+IF($B$3="esp","Otros resultados financieros","Other financial results")</f>
        <v>Other financial results</v>
      </c>
      <c r="F34" s="23">
        <f>+[1]GRUPO!K34</f>
        <v>-3.8625841488825969</v>
      </c>
      <c r="G34" s="24">
        <f>+[1]GRUPO!L34</f>
        <v>-10.951957982351509</v>
      </c>
      <c r="H34" s="25">
        <f t="shared" si="12"/>
        <v>64.731565304515016</v>
      </c>
      <c r="J34" s="23">
        <f>+[1]GRUPO!O34</f>
        <v>-2.9744436622468964</v>
      </c>
      <c r="K34" s="24">
        <f>+[1]GRUPO!P34</f>
        <v>-5.3869123332434086</v>
      </c>
      <c r="L34" s="25">
        <f t="shared" si="13"/>
        <v>44.783885865541599</v>
      </c>
      <c r="O34" s="22" t="str">
        <f>+IF($B$3="esp","Tecnología Educativa global y Centro Corpor.","Global Educational IT &amp; HQ")</f>
        <v>Global Educational IT &amp; HQ</v>
      </c>
      <c r="Q34" s="23">
        <f>+[1]SANTILLANA!K34</f>
        <v>-11.982059648331376</v>
      </c>
      <c r="R34" s="24">
        <f>+[1]SANTILLANA!L34</f>
        <v>-12.816364290000001</v>
      </c>
      <c r="S34" s="25">
        <f t="shared" si="10"/>
        <v>6.5096826431470385</v>
      </c>
      <c r="U34" s="23">
        <f>+[1]SANTILLANA!O34</f>
        <v>-5.2131299983738302</v>
      </c>
      <c r="V34" s="24">
        <f>+[1]SANTILLANA!P34</f>
        <v>-5.5873443409355286</v>
      </c>
      <c r="W34" s="25">
        <f t="shared" si="11"/>
        <v>6.6975349956512806</v>
      </c>
      <c r="Z34" s="52"/>
      <c r="AA34" s="50"/>
      <c r="AB34" s="50"/>
      <c r="AC34" s="50"/>
      <c r="AD34" s="50"/>
      <c r="AE34" s="50"/>
      <c r="AF34" s="50"/>
      <c r="AG34" s="50"/>
      <c r="AH34" s="50"/>
      <c r="AK34" s="26" t="str">
        <f>+IF($B$3="esp","PBS y Prisa Tecnología","PBS &amp; IT")</f>
        <v>PBS &amp; IT</v>
      </c>
      <c r="AL34" s="14"/>
      <c r="AM34" s="15">
        <f>+[1]NOTICIAS!K34</f>
        <v>-1.3030280029914394</v>
      </c>
      <c r="AN34" s="16">
        <f>+[1]NOTICIAS!L34</f>
        <v>-1.9593565820969805</v>
      </c>
      <c r="AO34" s="17">
        <f>IF(AN34=0,"---",IF(OR(ABS((AM34-AN34)/ABS(AN34))&gt;2,(AM34*AN34)&lt;0),"---",IF(AN34="0","---",((AM34-AN34)/ABS(AN34))*100)))</f>
        <v>33.497148252775531</v>
      </c>
      <c r="AP34" s="14"/>
      <c r="AQ34" s="15">
        <f>+[1]NOTICIAS!O34</f>
        <v>-0.39230554857872058</v>
      </c>
      <c r="AR34" s="16">
        <f>+[1]NOTICIAS!P34</f>
        <v>-0.54017772161543087</v>
      </c>
      <c r="AS34" s="17">
        <f>IF(AR34=0,"---",IF(OR(ABS((AQ34-AR34)/ABS(AR34))&gt;2,(AQ34*AR34)&lt;0),"---",IF(AR34="0","---",((AQ34-AR34)/ABS(AR34))*100)))</f>
        <v>27.374726339044585</v>
      </c>
    </row>
    <row r="35" spans="4:46" s="14" customFormat="1" ht="15" customHeight="1">
      <c r="D35" s="14" t="str">
        <f>+IF($B$3="esp","Resultado puesta en equivalencia","Result from associates")</f>
        <v>Result from associates</v>
      </c>
      <c r="F35" s="15">
        <f>+[1]GRUPO!K35</f>
        <v>-6.9411877612081598</v>
      </c>
      <c r="G35" s="16">
        <f>+[1]GRUPO!L35</f>
        <v>0.59615163651938596</v>
      </c>
      <c r="H35" s="17" t="str">
        <f t="shared" si="12"/>
        <v>---</v>
      </c>
      <c r="J35" s="15">
        <f>+[1]GRUPO!O35</f>
        <v>-8.442110296110549</v>
      </c>
      <c r="K35" s="16">
        <f>+[1]GRUPO!P35</f>
        <v>0.24758809737724496</v>
      </c>
      <c r="L35" s="17" t="str">
        <f t="shared" si="13"/>
        <v>---</v>
      </c>
      <c r="O35" s="53" t="str">
        <f>+IF($B$3="esp","Margen EBIT","EBIT Margin")</f>
        <v>EBIT Margin</v>
      </c>
      <c r="P35" s="28"/>
      <c r="Q35" s="54">
        <f>+Q29/Q10</f>
        <v>0.12447478500900971</v>
      </c>
      <c r="R35" s="55">
        <f>+R29/R10</f>
        <v>0.13489356275844747</v>
      </c>
      <c r="S35" s="56"/>
      <c r="T35" s="28"/>
      <c r="U35" s="54">
        <f>+U29/U10</f>
        <v>-0.23605641135700928</v>
      </c>
      <c r="V35" s="55">
        <f>+V29/V10</f>
        <v>-0.19483742561751827</v>
      </c>
      <c r="W35" s="56"/>
      <c r="Z35" s="57"/>
      <c r="AA35" s="57"/>
      <c r="AB35" s="58"/>
      <c r="AC35" s="58"/>
      <c r="AD35" s="59"/>
      <c r="AE35" s="57"/>
      <c r="AF35" s="58"/>
      <c r="AG35" s="58"/>
      <c r="AH35" s="59"/>
      <c r="AI35" s="1"/>
    </row>
    <row r="36" spans="4:46" ht="15" customHeight="1">
      <c r="D36" s="14" t="str">
        <f>+IF($B$3="esp","Resultado antes de impuestos","Profit before tax")</f>
        <v>Profit before tax</v>
      </c>
      <c r="E36" s="14"/>
      <c r="F36" s="15">
        <f>+[1]GRUPO!K36</f>
        <v>-72.508172688555092</v>
      </c>
      <c r="G36" s="16">
        <f>+[1]GRUPO!L36</f>
        <v>-46.200245110650513</v>
      </c>
      <c r="H36" s="17">
        <f t="shared" si="12"/>
        <v>-56.943264077704704</v>
      </c>
      <c r="I36" s="14"/>
      <c r="J36" s="15">
        <f>+[1]GRUPO!O36</f>
        <v>-90.491926376358876</v>
      </c>
      <c r="K36" s="16">
        <f>+[1]GRUPO!P36</f>
        <v>-22.684210198681448</v>
      </c>
      <c r="L36" s="17" t="str">
        <f t="shared" si="13"/>
        <v>---</v>
      </c>
      <c r="Z36" s="60"/>
      <c r="AA36" s="50"/>
      <c r="AB36" s="61"/>
      <c r="AC36" s="61"/>
      <c r="AD36" s="62"/>
      <c r="AE36" s="50"/>
      <c r="AF36" s="61"/>
      <c r="AG36" s="61"/>
      <c r="AH36" s="62"/>
    </row>
    <row r="37" spans="4:46" ht="15" customHeight="1">
      <c r="D37" s="22" t="str">
        <f>+IF($B$3="esp","Impuesto sobre sociedades","Income tax expense")</f>
        <v>Income tax expense</v>
      </c>
      <c r="F37" s="23">
        <f>+[1]GRUPO!K37</f>
        <v>75.978019819535163</v>
      </c>
      <c r="G37" s="24">
        <f>+[1]GRUPO!L37</f>
        <v>13.116858965815959</v>
      </c>
      <c r="H37" s="25" t="str">
        <f t="shared" si="12"/>
        <v>---</v>
      </c>
      <c r="J37" s="23">
        <f>+[1]GRUPO!O37</f>
        <v>55.612328866728646</v>
      </c>
      <c r="K37" s="24">
        <f>+[1]GRUPO!P37</f>
        <v>-8.0177565589776076</v>
      </c>
      <c r="L37" s="25" t="str">
        <f t="shared" si="13"/>
        <v>---</v>
      </c>
      <c r="Z37" s="60"/>
      <c r="AA37" s="50"/>
      <c r="AB37" s="61"/>
      <c r="AC37" s="61"/>
      <c r="AD37" s="62"/>
      <c r="AE37" s="50"/>
      <c r="AF37" s="61"/>
      <c r="AG37" s="61"/>
      <c r="AH37" s="62"/>
    </row>
    <row r="38" spans="4:46" ht="15" customHeight="1">
      <c r="D38" s="14" t="str">
        <f>+IF($B$3="esp","Resultado operaciones en discontinuación","Results from discontinued activities")</f>
        <v>Results from discontinued activities</v>
      </c>
      <c r="E38" s="14"/>
      <c r="F38" s="15">
        <f>+[1]GRUPO!K38</f>
        <v>-75.143366670083509</v>
      </c>
      <c r="G38" s="16">
        <f>+[1]GRUPO!L38</f>
        <v>7.0113210246942197</v>
      </c>
      <c r="H38" s="17" t="str">
        <f t="shared" si="12"/>
        <v>---</v>
      </c>
      <c r="I38" s="14"/>
      <c r="J38" s="15">
        <f>+[1]GRUPO!O38</f>
        <v>-50.141100158837006</v>
      </c>
      <c r="K38" s="16">
        <f>+[1]GRUPO!P38</f>
        <v>7.74683696131597</v>
      </c>
      <c r="L38" s="17" t="str">
        <f t="shared" si="13"/>
        <v>---</v>
      </c>
      <c r="Z38" s="60"/>
      <c r="AA38" s="50"/>
      <c r="AB38" s="61"/>
      <c r="AC38" s="61"/>
      <c r="AD38" s="62"/>
      <c r="AE38" s="50"/>
      <c r="AF38" s="61"/>
      <c r="AG38" s="61"/>
      <c r="AH38" s="62"/>
      <c r="AI38" s="14"/>
    </row>
    <row r="39" spans="4:46" ht="15" customHeight="1">
      <c r="D39" s="14" t="str">
        <f>+IF($B$3="esp","Resultado atribuido a socios externos","Minority interest")</f>
        <v>Minority interest</v>
      </c>
      <c r="E39" s="14"/>
      <c r="F39" s="15">
        <f>+[1]GRUPO!K39</f>
        <v>-11.5787647254216</v>
      </c>
      <c r="G39" s="16">
        <f>+[1]GRUPO!L39</f>
        <v>-0.75772584072498717</v>
      </c>
      <c r="H39" s="17" t="str">
        <f t="shared" si="12"/>
        <v>---</v>
      </c>
      <c r="I39" s="14"/>
      <c r="J39" s="15">
        <f>+[1]GRUPO!O39</f>
        <v>-10.330659655714181</v>
      </c>
      <c r="K39" s="16">
        <f>+[1]GRUPO!P39</f>
        <v>4.0389778952587037</v>
      </c>
      <c r="L39" s="17" t="str">
        <f t="shared" si="13"/>
        <v>---</v>
      </c>
      <c r="Z39" s="60"/>
      <c r="AA39" s="50"/>
      <c r="AB39" s="61"/>
      <c r="AC39" s="61"/>
      <c r="AD39" s="62"/>
      <c r="AE39" s="50"/>
      <c r="AF39" s="61"/>
      <c r="AG39" s="61"/>
      <c r="AH39" s="62"/>
      <c r="AI39" s="14"/>
    </row>
    <row r="40" spans="4:46" s="28" customFormat="1" ht="15" customHeight="1">
      <c r="D40" s="14" t="str">
        <f>+IF($B$3="esp","Resultado Neto","Net Profit")</f>
        <v>Net Profit</v>
      </c>
      <c r="E40" s="14"/>
      <c r="F40" s="15">
        <f>+[1]GRUPO!K40</f>
        <v>-212.05079445275217</v>
      </c>
      <c r="G40" s="16">
        <f>+[1]GRUPO!L40</f>
        <v>-51.548057211047265</v>
      </c>
      <c r="H40" s="17" t="str">
        <f t="shared" si="12"/>
        <v>---</v>
      </c>
      <c r="I40" s="14"/>
      <c r="J40" s="15">
        <f>+[1]GRUPO!O40</f>
        <v>-185.91469574621036</v>
      </c>
      <c r="K40" s="16">
        <f>+[1]GRUPO!P40</f>
        <v>-10.958594573646572</v>
      </c>
      <c r="L40" s="17" t="str">
        <f t="shared" si="13"/>
        <v>---</v>
      </c>
      <c r="Z40" s="57"/>
      <c r="AA40" s="57"/>
      <c r="AB40" s="58"/>
      <c r="AC40" s="58"/>
      <c r="AD40" s="59"/>
      <c r="AE40" s="57"/>
      <c r="AF40" s="58"/>
      <c r="AG40" s="58"/>
      <c r="AH40" s="59"/>
      <c r="AI40" s="1"/>
    </row>
    <row r="41" spans="4:46" s="14" customFormat="1" ht="15" customHeight="1">
      <c r="D41" s="22" t="str">
        <f>+IF($A$1="esp","Deterioro por venta MC","MC impairment")</f>
        <v>MC impairment</v>
      </c>
      <c r="E41" s="1"/>
      <c r="F41" s="23">
        <f>+[1]GRUPO!K41</f>
        <v>77.290000000000006</v>
      </c>
      <c r="G41" s="24">
        <f>+[1]GRUPO!L41</f>
        <v>0</v>
      </c>
      <c r="H41" s="25"/>
      <c r="I41" s="1"/>
      <c r="J41" s="23">
        <f>+[1]GRUPO!O41</f>
        <v>48.522000000000006</v>
      </c>
      <c r="K41" s="24">
        <f>+[1]GRUPO!P41</f>
        <v>0</v>
      </c>
      <c r="L41" s="25"/>
      <c r="Z41" s="57"/>
      <c r="AA41" s="57"/>
      <c r="AB41" s="58"/>
      <c r="AC41" s="58"/>
      <c r="AD41" s="59"/>
      <c r="AE41" s="57"/>
      <c r="AF41" s="58"/>
      <c r="AG41" s="58"/>
      <c r="AH41" s="59"/>
      <c r="AI41" s="1"/>
    </row>
    <row r="42" spans="4:46" ht="15" customHeight="1">
      <c r="D42" s="22" t="str">
        <f>+IF($A$1="esp","Sentencia Mediapro","Mediapro ruling")</f>
        <v>Mediapro ruling</v>
      </c>
      <c r="F42" s="23"/>
      <c r="G42" s="24">
        <f>+[1]GRUPO!L42</f>
        <v>40.828660400000004</v>
      </c>
      <c r="H42" s="25"/>
      <c r="J42" s="23"/>
      <c r="K42" s="24">
        <f>+[1]GRUPO!P42</f>
        <v>0</v>
      </c>
      <c r="L42" s="25"/>
      <c r="Z42" s="60"/>
      <c r="AA42" s="50"/>
      <c r="AB42" s="61"/>
      <c r="AC42" s="61"/>
      <c r="AD42" s="62"/>
      <c r="AE42" s="50"/>
      <c r="AF42" s="61"/>
      <c r="AG42" s="61"/>
      <c r="AH42" s="62"/>
    </row>
    <row r="43" spans="4:46" ht="15" customHeight="1">
      <c r="D43" s="22" t="str">
        <f>+IF($B$3="esp","Deterioros fiscales","Tax impairments")</f>
        <v>Tax impairments</v>
      </c>
      <c r="F43" s="23">
        <f>+[1]GRUPO!K43</f>
        <v>64.486310131588951</v>
      </c>
      <c r="G43" s="24"/>
      <c r="H43" s="25"/>
      <c r="J43" s="23">
        <f>+[1]GRUPO!O43</f>
        <v>64.486310131588951</v>
      </c>
      <c r="K43" s="24"/>
      <c r="L43" s="25"/>
      <c r="Z43" s="60"/>
      <c r="AA43" s="50"/>
      <c r="AB43" s="61"/>
      <c r="AC43" s="61"/>
      <c r="AD43" s="62"/>
      <c r="AE43" s="50"/>
      <c r="AF43" s="61"/>
      <c r="AG43" s="61"/>
      <c r="AH43" s="62"/>
    </row>
    <row r="44" spans="4:46" ht="15" customHeight="1">
      <c r="D44" s="22" t="str">
        <f>+IF($B$3="esp","Deterioros Activos Radio","Radio Assests impairments")</f>
        <v>Radio Assests impairments</v>
      </c>
      <c r="F44" s="23">
        <f>+[1]GRUPO!K44</f>
        <v>21.921520523455278</v>
      </c>
      <c r="G44" s="24"/>
      <c r="H44" s="25"/>
      <c r="J44" s="23">
        <f>+[1]GRUPO!O44</f>
        <v>21.921520523455278</v>
      </c>
      <c r="K44" s="24"/>
      <c r="L44" s="25"/>
      <c r="Z44" s="60"/>
      <c r="AA44" s="50"/>
      <c r="AB44" s="61"/>
      <c r="AC44" s="61"/>
      <c r="AD44" s="62"/>
      <c r="AE44" s="50"/>
      <c r="AF44" s="61"/>
      <c r="AG44" s="61"/>
      <c r="AH44" s="62"/>
      <c r="AI44" s="28"/>
    </row>
    <row r="45" spans="4:46" ht="15" customHeight="1">
      <c r="D45" s="14" t="str">
        <f>+IF($B$3="esp","Resultado Neto Comparable","Comparable Net Profit")</f>
        <v>Comparable Net Profit</v>
      </c>
      <c r="F45" s="15">
        <f>+[1]GRUPO!K45</f>
        <v>-48.35296379770795</v>
      </c>
      <c r="G45" s="16">
        <f>+[1]GRUPO!L45</f>
        <v>-10.719396811047261</v>
      </c>
      <c r="H45" s="17" t="str">
        <f t="shared" si="12"/>
        <v>---</v>
      </c>
      <c r="J45" s="15">
        <f>+[1]GRUPO!O45</f>
        <v>-50.984865091166142</v>
      </c>
      <c r="K45" s="16">
        <f>+[1]GRUPO!P45</f>
        <v>-10.958594573646579</v>
      </c>
      <c r="L45" s="17" t="str">
        <f>IF(K45=0,"---",IF(OR(ABS((J45-K45)/ABS(K45))&gt;2,(J45*K45)&lt;0),"---",IF(K45="0","---",((J45-K45)/ABS(K45))*100)))</f>
        <v>---</v>
      </c>
      <c r="Z45" s="60"/>
      <c r="AA45" s="50"/>
      <c r="AB45" s="61"/>
      <c r="AC45" s="61"/>
      <c r="AD45" s="62"/>
      <c r="AE45" s="50"/>
      <c r="AF45" s="61"/>
      <c r="AG45" s="61"/>
      <c r="AH45" s="62"/>
      <c r="AI45" s="14"/>
    </row>
    <row r="46" spans="4:46" s="28" customFormat="1" ht="15" customHeight="1">
      <c r="D46" s="1"/>
      <c r="E46" s="1"/>
      <c r="F46" s="63"/>
      <c r="G46" s="63"/>
      <c r="H46" s="1"/>
      <c r="I46" s="1"/>
      <c r="J46" s="63"/>
      <c r="K46" s="63"/>
      <c r="L46" s="1"/>
      <c r="Z46" s="45"/>
      <c r="AA46" s="64"/>
      <c r="AB46" s="47"/>
      <c r="AC46" s="47"/>
      <c r="AD46" s="48"/>
      <c r="AE46" s="64"/>
      <c r="AF46" s="47"/>
      <c r="AG46" s="47"/>
      <c r="AH46" s="48"/>
      <c r="AI46" s="14"/>
    </row>
    <row r="47" spans="4:46">
      <c r="D47" s="9" t="str">
        <f>+IF($B$3="esp","Millones de €","€ Millions")</f>
        <v>€ Millions</v>
      </c>
      <c r="F47" s="10">
        <v>2020</v>
      </c>
      <c r="G47" s="10">
        <v>2019</v>
      </c>
      <c r="H47" s="10" t="str">
        <f>+IF($B$3="esp","Var.%","% Chg.")</f>
        <v>% Chg.</v>
      </c>
      <c r="J47" s="10">
        <v>2020</v>
      </c>
      <c r="K47" s="10">
        <v>2019</v>
      </c>
      <c r="L47" s="10" t="str">
        <f>+IF($B$3="esp","Var.%","% Chg.")</f>
        <v>% Chg.</v>
      </c>
      <c r="Z47" s="57"/>
      <c r="AA47" s="57"/>
      <c r="AB47" s="58"/>
      <c r="AC47" s="58"/>
      <c r="AD47" s="59"/>
      <c r="AE47" s="57"/>
      <c r="AF47" s="58"/>
      <c r="AG47" s="58"/>
      <c r="AH47" s="59"/>
    </row>
    <row r="48" spans="4:46">
      <c r="D48" s="11" t="str">
        <f>+IF($B$3="esp","Resultados Comparables","Comparable Results")</f>
        <v>Comparable Results</v>
      </c>
      <c r="F48" s="13"/>
      <c r="G48" s="13"/>
      <c r="H48" s="13"/>
      <c r="J48" s="13"/>
      <c r="K48" s="13"/>
      <c r="L48" s="13"/>
      <c r="X48" s="50"/>
      <c r="Y48" s="50"/>
      <c r="Z48" s="57"/>
      <c r="AA48" s="57"/>
      <c r="AB48" s="58"/>
      <c r="AC48" s="58"/>
      <c r="AD48" s="59"/>
      <c r="AE48" s="57"/>
      <c r="AF48" s="58"/>
      <c r="AG48" s="58"/>
      <c r="AH48" s="59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</row>
    <row r="49" spans="4:46" ht="15.75" customHeight="1">
      <c r="D49" s="14" t="str">
        <f>+IF($B$3="esp","Ingresos de Explotación","Operating Revenues")</f>
        <v>Operating Revenues</v>
      </c>
      <c r="E49" s="14"/>
      <c r="F49" s="15">
        <f>+[1]GRUPO!K49</f>
        <v>392.79505977231901</v>
      </c>
      <c r="G49" s="16">
        <f>+[1]GRUPO!L49</f>
        <v>485.66755224943199</v>
      </c>
      <c r="H49" s="17">
        <f t="shared" ref="H49:H58" si="14">IF(G49=0,"---",IF(OR(ABS((F49-G49)/ABS(G49))&gt;2,(F49*G49)&lt;0),"---",IF(G49="0","---",((F49-G49)/ABS(G49))*100)))</f>
        <v>-19.122647178499374</v>
      </c>
      <c r="I49" s="14"/>
      <c r="J49" s="15">
        <f>+[1]GRUPO!O49</f>
        <v>130.269078631453</v>
      </c>
      <c r="K49" s="16">
        <f>+[1]GRUPO!P49</f>
        <v>212.64324493993996</v>
      </c>
      <c r="L49" s="17">
        <f t="shared" ref="L49:L58" si="15">IF(K49=0,"---",IF(OR(ABS((J49-K49)/ABS(K49))&gt;2,(J49*K49)&lt;0),"---",IF(K49="0","---",((J49-K49)/ABS(K49))*100)))</f>
        <v>-38.738200374882894</v>
      </c>
      <c r="X49" s="50"/>
      <c r="Y49" s="50"/>
      <c r="Z49" s="60"/>
      <c r="AA49" s="50"/>
      <c r="AB49" s="61"/>
      <c r="AC49" s="61"/>
      <c r="AD49" s="62"/>
      <c r="AE49" s="50"/>
      <c r="AF49" s="61"/>
      <c r="AG49" s="61"/>
      <c r="AH49" s="62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</row>
    <row r="50" spans="4:46" s="14" customFormat="1" ht="15" customHeight="1">
      <c r="D50" s="22" t="str">
        <f>+IF($B$3="esp","España","Spain")</f>
        <v>Spain</v>
      </c>
      <c r="E50" s="1"/>
      <c r="F50" s="23">
        <f>+[1]GRUPO!K50</f>
        <v>165.73727184346183</v>
      </c>
      <c r="G50" s="24">
        <f>+[1]GRUPO!L50</f>
        <v>233.97248504252053</v>
      </c>
      <c r="H50" s="25">
        <f t="shared" si="14"/>
        <v>-29.16377675206472</v>
      </c>
      <c r="I50" s="1"/>
      <c r="J50" s="23">
        <f>+[1]GRUPO!O50</f>
        <v>93.476823680105468</v>
      </c>
      <c r="K50" s="24">
        <f>+[1]GRUPO!P50</f>
        <v>146.32077269773984</v>
      </c>
      <c r="L50" s="25">
        <f t="shared" si="15"/>
        <v>-36.115138024042594</v>
      </c>
      <c r="X50" s="57"/>
      <c r="Y50" s="57"/>
      <c r="Z50" s="60"/>
      <c r="AA50" s="50"/>
      <c r="AB50" s="61"/>
      <c r="AC50" s="61"/>
      <c r="AD50" s="62"/>
      <c r="AE50" s="50"/>
      <c r="AF50" s="61"/>
      <c r="AG50" s="61"/>
      <c r="AH50" s="62"/>
      <c r="AI50" s="50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</row>
    <row r="51" spans="4:46" ht="15" customHeight="1">
      <c r="D51" s="22" t="str">
        <f>+IF($B$3="esp","Internacional","International")</f>
        <v>International</v>
      </c>
      <c r="F51" s="23">
        <f>+[1]GRUPO!K51</f>
        <v>227.05778792885718</v>
      </c>
      <c r="G51" s="24">
        <f>+[1]GRUPO!L51</f>
        <v>251.69506720691146</v>
      </c>
      <c r="H51" s="25">
        <f t="shared" si="14"/>
        <v>-9.7885427598788262</v>
      </c>
      <c r="J51" s="23">
        <f>+[1]GRUPO!O51</f>
        <v>36.79225495134753</v>
      </c>
      <c r="K51" s="24">
        <f>+[1]GRUPO!P51</f>
        <v>66.322472242200121</v>
      </c>
      <c r="L51" s="25">
        <f t="shared" si="15"/>
        <v>-44.525205850307401</v>
      </c>
      <c r="X51" s="50"/>
      <c r="Y51" s="50"/>
      <c r="Z51" s="60"/>
      <c r="AA51" s="50"/>
      <c r="AB51" s="61"/>
      <c r="AC51" s="61"/>
      <c r="AD51" s="62"/>
      <c r="AE51" s="50"/>
      <c r="AF51" s="61"/>
      <c r="AG51" s="61"/>
      <c r="AH51" s="62"/>
      <c r="AI51" s="64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</row>
    <row r="52" spans="4:46" ht="15" customHeight="1">
      <c r="D52" s="32" t="str">
        <f>+IF($B$3="esp","Latam","Latam")</f>
        <v>Latam</v>
      </c>
      <c r="F52" s="23">
        <f>+[1]GRUPO!K52</f>
        <v>226.26171192885718</v>
      </c>
      <c r="G52" s="24">
        <f>+[1]GRUPO!L52</f>
        <v>251.47547820691145</v>
      </c>
      <c r="H52" s="25">
        <f t="shared" si="14"/>
        <v>-10.02633197393053</v>
      </c>
      <c r="J52" s="23">
        <f>+[1]GRUPO!O52</f>
        <v>36.006943951347523</v>
      </c>
      <c r="K52" s="24">
        <f>+[1]GRUPO!P52</f>
        <v>66.302722242200105</v>
      </c>
      <c r="L52" s="25">
        <f t="shared" si="15"/>
        <v>-45.693113746044709</v>
      </c>
      <c r="X52" s="50"/>
      <c r="Y52" s="50"/>
      <c r="Z52" s="60"/>
      <c r="AA52" s="50"/>
      <c r="AB52" s="61"/>
      <c r="AC52" s="61"/>
      <c r="AD52" s="62"/>
      <c r="AE52" s="50"/>
      <c r="AF52" s="61"/>
      <c r="AG52" s="61"/>
      <c r="AH52" s="62"/>
      <c r="AI52" s="57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</row>
    <row r="53" spans="4:46" ht="15" customHeight="1">
      <c r="D53" s="32" t="str">
        <f>+IF($B$3="esp","Portugal","Portugal")</f>
        <v>Portugal</v>
      </c>
      <c r="F53" s="23">
        <f>+[1]GRUPO!K53</f>
        <v>0.79607600000000001</v>
      </c>
      <c r="G53" s="24">
        <f>+[1]GRUPO!L53</f>
        <v>0.21958900000000001</v>
      </c>
      <c r="H53" s="25" t="str">
        <f t="shared" si="14"/>
        <v>---</v>
      </c>
      <c r="J53" s="23">
        <f>+[1]GRUPO!O53</f>
        <v>0.78531099999999976</v>
      </c>
      <c r="K53" s="24">
        <f>+[1]GRUPO!P53</f>
        <v>1.9750000000000018E-2</v>
      </c>
      <c r="L53" s="25" t="str">
        <f t="shared" si="15"/>
        <v>---</v>
      </c>
      <c r="X53" s="50"/>
      <c r="Y53" s="50"/>
      <c r="Z53" s="45"/>
      <c r="AA53" s="64"/>
      <c r="AB53" s="47"/>
      <c r="AC53" s="47"/>
      <c r="AD53" s="48"/>
      <c r="AE53" s="64"/>
      <c r="AF53" s="47"/>
      <c r="AG53" s="47"/>
      <c r="AH53" s="48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</row>
    <row r="54" spans="4:46" ht="15" customHeight="1">
      <c r="D54" s="14" t="str">
        <f>+IF($B$3="esp","EBITDA","EBITDA")</f>
        <v>EBITDA</v>
      </c>
      <c r="E54" s="14"/>
      <c r="F54" s="15">
        <f>+[1]GRUPO!K54</f>
        <v>32.104885696314398</v>
      </c>
      <c r="G54" s="16">
        <f>+[1]GRUPO!L54</f>
        <v>85.688418608558806</v>
      </c>
      <c r="H54" s="17">
        <f t="shared" si="14"/>
        <v>-62.53299311897014</v>
      </c>
      <c r="I54" s="14"/>
      <c r="J54" s="15">
        <f>+[1]GRUPO!O54</f>
        <v>-23.718227405994305</v>
      </c>
      <c r="K54" s="16">
        <f>+[1]GRUPO!P54</f>
        <v>16.923548277423706</v>
      </c>
      <c r="L54" s="17" t="str">
        <f t="shared" si="15"/>
        <v>---</v>
      </c>
      <c r="X54" s="50"/>
      <c r="Y54" s="50"/>
      <c r="Z54" s="57"/>
      <c r="AA54" s="57"/>
      <c r="AB54" s="58"/>
      <c r="AC54" s="58"/>
      <c r="AD54" s="59"/>
      <c r="AE54" s="57"/>
      <c r="AF54" s="58"/>
      <c r="AG54" s="58"/>
      <c r="AH54" s="59"/>
      <c r="AI54" s="50"/>
      <c r="AJ54" s="50"/>
      <c r="AK54" s="49"/>
      <c r="AL54" s="50"/>
      <c r="AM54" s="51"/>
      <c r="AN54" s="51"/>
      <c r="AO54" s="51"/>
      <c r="AP54" s="50"/>
      <c r="AQ54" s="51"/>
      <c r="AR54" s="51"/>
      <c r="AS54" s="51"/>
      <c r="AT54" s="50"/>
    </row>
    <row r="55" spans="4:46" s="14" customFormat="1" ht="15" customHeight="1">
      <c r="D55" s="22" t="str">
        <f>+IF($B$3="esp","España","Spain")</f>
        <v>Spain</v>
      </c>
      <c r="E55" s="1"/>
      <c r="F55" s="23">
        <f>+[1]GRUPO!K55</f>
        <v>-16.216149088526073</v>
      </c>
      <c r="G55" s="24">
        <f>+[1]GRUPO!L55</f>
        <v>23.467810529999774</v>
      </c>
      <c r="H55" s="25" t="str">
        <f t="shared" si="14"/>
        <v>---</v>
      </c>
      <c r="I55" s="1"/>
      <c r="J55" s="23">
        <f>+[1]GRUPO!O55</f>
        <v>2.7584564474741882</v>
      </c>
      <c r="K55" s="24">
        <f>+[1]GRUPO!P55</f>
        <v>36.003623080000189</v>
      </c>
      <c r="L55" s="25">
        <f t="shared" si="15"/>
        <v>-92.338392051975191</v>
      </c>
      <c r="X55" s="57"/>
      <c r="Y55" s="57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7"/>
      <c r="AK55" s="52"/>
      <c r="AL55" s="50"/>
      <c r="AM55" s="50"/>
      <c r="AN55" s="50"/>
      <c r="AO55" s="50"/>
      <c r="AP55" s="50"/>
      <c r="AQ55" s="50"/>
      <c r="AR55" s="50"/>
      <c r="AS55" s="50"/>
      <c r="AT55" s="57"/>
    </row>
    <row r="56" spans="4:46" ht="15" customHeight="1">
      <c r="D56" s="22" t="str">
        <f>+IF($B$3="esp","Internacional","International")</f>
        <v>International</v>
      </c>
      <c r="F56" s="23">
        <f>+[1]GRUPO!K56</f>
        <v>48.321034784840471</v>
      </c>
      <c r="G56" s="24">
        <f>+[1]GRUPO!L56</f>
        <v>62.220608078559032</v>
      </c>
      <c r="H56" s="25">
        <f t="shared" si="14"/>
        <v>-22.339179450270105</v>
      </c>
      <c r="J56" s="23">
        <f>+[1]GRUPO!O56</f>
        <v>-26.476683853468494</v>
      </c>
      <c r="K56" s="24">
        <f>+[1]GRUPO!P56</f>
        <v>-19.080074802576483</v>
      </c>
      <c r="L56" s="25">
        <f t="shared" si="15"/>
        <v>-38.766142834477812</v>
      </c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7"/>
      <c r="AJ56" s="50"/>
      <c r="AK56" s="57"/>
      <c r="AL56" s="57"/>
      <c r="AM56" s="58"/>
      <c r="AN56" s="58"/>
      <c r="AO56" s="59"/>
      <c r="AP56" s="57"/>
      <c r="AQ56" s="58"/>
      <c r="AR56" s="58"/>
      <c r="AS56" s="59"/>
      <c r="AT56" s="50"/>
    </row>
    <row r="57" spans="4:46" ht="15" customHeight="1">
      <c r="D57" s="32" t="str">
        <f>+IF($B$3="esp","Latam","Latam")</f>
        <v>Latam</v>
      </c>
      <c r="F57" s="23">
        <f>+[1]GRUPO!K57</f>
        <v>48.164943374840476</v>
      </c>
      <c r="G57" s="24">
        <f>+[1]GRUPO!L57</f>
        <v>62.453304078559036</v>
      </c>
      <c r="H57" s="25">
        <f t="shared" si="14"/>
        <v>-22.87847042607298</v>
      </c>
      <c r="J57" s="23">
        <f>+[1]GRUPO!O57</f>
        <v>-26.843258943468484</v>
      </c>
      <c r="K57" s="24">
        <f>+[1]GRUPO!P57</f>
        <v>-18.915085802576463</v>
      </c>
      <c r="L57" s="25">
        <f t="shared" si="15"/>
        <v>-41.914550235939757</v>
      </c>
      <c r="X57" s="50"/>
      <c r="Y57" s="50"/>
      <c r="Z57" s="60"/>
      <c r="AA57" s="50"/>
      <c r="AB57" s="61"/>
      <c r="AC57" s="61"/>
      <c r="AD57" s="62"/>
      <c r="AE57" s="50"/>
      <c r="AF57" s="61"/>
      <c r="AG57" s="61"/>
      <c r="AH57" s="62"/>
      <c r="AI57" s="50"/>
      <c r="AJ57" s="50"/>
      <c r="AK57" s="65"/>
      <c r="AL57" s="57"/>
      <c r="AM57" s="58"/>
      <c r="AN57" s="58"/>
      <c r="AO57" s="59"/>
      <c r="AP57" s="57"/>
      <c r="AQ57" s="58"/>
      <c r="AR57" s="58"/>
      <c r="AS57" s="59"/>
      <c r="AT57" s="50"/>
    </row>
    <row r="58" spans="4:46" ht="15" customHeight="1">
      <c r="D58" s="32" t="str">
        <f>+IF($B$3="esp","Portugal","Portugal")</f>
        <v>Portugal</v>
      </c>
      <c r="F58" s="23">
        <f>+[1]GRUPO!K58</f>
        <v>0.15609140999999202</v>
      </c>
      <c r="G58" s="24">
        <f>+[1]GRUPO!L58</f>
        <v>-0.23269599999999999</v>
      </c>
      <c r="H58" s="25" t="str">
        <f t="shared" si="14"/>
        <v>---</v>
      </c>
      <c r="J58" s="23">
        <f>+[1]GRUPO!O58</f>
        <v>0.366575089999993</v>
      </c>
      <c r="K58" s="24">
        <f>+[1]GRUPO!P58</f>
        <v>-0.164989</v>
      </c>
      <c r="L58" s="25" t="str">
        <f t="shared" si="15"/>
        <v>---</v>
      </c>
      <c r="X58" s="50"/>
      <c r="Y58" s="50"/>
      <c r="Z58" s="66"/>
      <c r="AA58" s="64"/>
      <c r="AB58" s="67"/>
      <c r="AC58" s="67"/>
      <c r="AD58" s="68"/>
      <c r="AE58" s="64"/>
      <c r="AF58" s="67"/>
      <c r="AG58" s="67"/>
      <c r="AH58" s="68"/>
      <c r="AI58" s="50"/>
      <c r="AJ58" s="50"/>
      <c r="AK58" s="45"/>
      <c r="AL58" s="64"/>
      <c r="AM58" s="67"/>
      <c r="AN58" s="67"/>
      <c r="AO58" s="68"/>
      <c r="AP58" s="64"/>
      <c r="AQ58" s="67"/>
      <c r="AR58" s="67"/>
      <c r="AS58" s="68"/>
      <c r="AT58" s="50"/>
    </row>
    <row r="59" spans="4:46" ht="15" customHeight="1">
      <c r="D59" s="27" t="str">
        <f>+IF($B$3="esp","Margen EBITDA","EBITDA Margin")</f>
        <v>EBITDA Margin</v>
      </c>
      <c r="E59" s="28"/>
      <c r="F59" s="36">
        <f>+F54/F49</f>
        <v>8.173444369418438E-2</v>
      </c>
      <c r="G59" s="37">
        <f>+G54/G49</f>
        <v>0.17643430822520845</v>
      </c>
      <c r="H59" s="38"/>
      <c r="I59" s="28"/>
      <c r="J59" s="36">
        <f>+J54/J49</f>
        <v>-0.18207104598548704</v>
      </c>
      <c r="K59" s="37">
        <f>+K54/K49</f>
        <v>7.9586578366050043E-2</v>
      </c>
      <c r="L59" s="38"/>
      <c r="O59" s="69"/>
      <c r="P59" s="50"/>
      <c r="Q59" s="61"/>
      <c r="R59" s="61"/>
      <c r="S59" s="62"/>
      <c r="T59" s="50"/>
      <c r="U59" s="61"/>
      <c r="V59" s="61"/>
      <c r="W59" s="62"/>
      <c r="X59" s="50"/>
      <c r="Y59" s="50"/>
      <c r="Z59" s="66"/>
      <c r="AA59" s="64"/>
      <c r="AB59" s="67"/>
      <c r="AC59" s="67"/>
      <c r="AD59" s="68"/>
      <c r="AE59" s="64"/>
      <c r="AF59" s="67"/>
      <c r="AG59" s="67"/>
      <c r="AH59" s="68"/>
      <c r="AI59" s="50"/>
      <c r="AJ59" s="50"/>
      <c r="AK59" s="45"/>
      <c r="AL59" s="64"/>
      <c r="AM59" s="67"/>
      <c r="AN59" s="67"/>
      <c r="AO59" s="68"/>
      <c r="AP59" s="64"/>
      <c r="AQ59" s="67"/>
      <c r="AR59" s="67"/>
      <c r="AS59" s="68"/>
      <c r="AT59" s="50"/>
    </row>
    <row r="60" spans="4:46" s="14" customFormat="1" ht="15" customHeight="1">
      <c r="D60" s="14" t="str">
        <f>+IF($B$3="esp","EBIT","EBIT")</f>
        <v>EBIT</v>
      </c>
      <c r="F60" s="15">
        <f>+[1]GRUPO!K60</f>
        <v>-8.8189303815496416</v>
      </c>
      <c r="G60" s="16">
        <f>+[1]GRUPO!L60</f>
        <v>43.698276956879006</v>
      </c>
      <c r="H60" s="17" t="str">
        <f>IF(G60=0,"---",IF(OR(ABS((F60-G60)/ABS(G60))&gt;2,(F60*G60)&lt;0),"---",IF(G60="0","---",((F60-G60)/ABS(G60))*100)))</f>
        <v>---</v>
      </c>
      <c r="J60" s="15">
        <f>+[1]GRUPO!O60</f>
        <v>-40.991062745110838</v>
      </c>
      <c r="K60" s="16">
        <f>+[1]GRUPO!P60</f>
        <v>-3.1888730039154893</v>
      </c>
      <c r="L60" s="17" t="str">
        <f>IF(K60=0,"---",IF(OR(ABS((J60-K60)/ABS(K60))&gt;2,(J60*K60)&lt;0),"---",IF(K60="0","---",((J60-K60)/ABS(K60))*100)))</f>
        <v>---</v>
      </c>
      <c r="O60" s="57"/>
      <c r="P60" s="57"/>
      <c r="Q60" s="58"/>
      <c r="R60" s="58"/>
      <c r="S60" s="59"/>
      <c r="T60" s="57"/>
      <c r="U60" s="58"/>
      <c r="V60" s="58"/>
      <c r="W60" s="59"/>
      <c r="X60" s="57"/>
      <c r="Y60" s="57"/>
      <c r="Z60" s="66"/>
      <c r="AA60" s="64"/>
      <c r="AB60" s="67"/>
      <c r="AC60" s="67"/>
      <c r="AD60" s="68"/>
      <c r="AE60" s="64"/>
      <c r="AF60" s="67"/>
      <c r="AG60" s="67"/>
      <c r="AH60" s="68"/>
      <c r="AI60" s="50"/>
      <c r="AJ60" s="57"/>
      <c r="AK60" s="45"/>
      <c r="AL60" s="64"/>
      <c r="AM60" s="67"/>
      <c r="AN60" s="67"/>
      <c r="AO60" s="68"/>
      <c r="AP60" s="64"/>
      <c r="AQ60" s="67"/>
      <c r="AR60" s="67"/>
      <c r="AS60" s="68"/>
      <c r="AT60" s="57"/>
    </row>
    <row r="61" spans="4:46" ht="15" customHeight="1">
      <c r="D61" s="22" t="str">
        <f>+IF($B$3="esp","España","Spain")</f>
        <v>Spain</v>
      </c>
      <c r="F61" s="23">
        <f>+[1]GRUPO!K61</f>
        <v>-32.968861172758324</v>
      </c>
      <c r="G61" s="24">
        <f>+[1]GRUPO!L61</f>
        <v>8.1083109489885672</v>
      </c>
      <c r="H61" s="25" t="str">
        <f>IF(G61=0,"---",IF(OR(ABS((F61-G61)/ABS(G61))&gt;2,(F61*G61)&lt;0),"---",IF(G61="0","---",((F61-G61)/ABS(G61))*100)))</f>
        <v>---</v>
      </c>
      <c r="J61" s="23">
        <f>+[1]GRUPO!O61</f>
        <v>-6.2144257236424494</v>
      </c>
      <c r="K61" s="24">
        <f>+[1]GRUPO!P61</f>
        <v>28.355957464753786</v>
      </c>
      <c r="L61" s="25" t="str">
        <f>IF(K61=0,"---",IF(OR(ABS((J61-K61)/ABS(K61))&gt;2,(J61*K61)&lt;0),"---",IF(K61="0","---",((J61-K61)/ABS(K61))*100)))</f>
        <v>---</v>
      </c>
      <c r="O61" s="60"/>
      <c r="P61" s="50"/>
      <c r="Q61" s="61"/>
      <c r="R61" s="61"/>
      <c r="S61" s="62"/>
      <c r="T61" s="50"/>
      <c r="U61" s="61"/>
      <c r="V61" s="61"/>
      <c r="W61" s="62"/>
      <c r="X61" s="50"/>
      <c r="Y61" s="50"/>
      <c r="Z61" s="60"/>
      <c r="AA61" s="50"/>
      <c r="AB61" s="61"/>
      <c r="AC61" s="61"/>
      <c r="AD61" s="62"/>
      <c r="AE61" s="50"/>
      <c r="AF61" s="61"/>
      <c r="AG61" s="61"/>
      <c r="AH61" s="62"/>
      <c r="AI61" s="57"/>
      <c r="AJ61" s="50"/>
      <c r="AK61" s="65"/>
      <c r="AL61" s="57"/>
      <c r="AM61" s="58"/>
      <c r="AN61" s="58"/>
      <c r="AO61" s="59"/>
      <c r="AP61" s="57"/>
      <c r="AQ61" s="58"/>
      <c r="AR61" s="58"/>
      <c r="AS61" s="59"/>
      <c r="AT61" s="50"/>
    </row>
    <row r="62" spans="4:46" ht="15" customHeight="1">
      <c r="D62" s="22" t="str">
        <f>+IF($B$3="esp","Internacional","International")</f>
        <v>International</v>
      </c>
      <c r="F62" s="23">
        <f>+[1]GRUPO!K62</f>
        <v>24.149930791208682</v>
      </c>
      <c r="G62" s="24">
        <f>+[1]GRUPO!L62</f>
        <v>35.589966007890439</v>
      </c>
      <c r="H62" s="25">
        <f>IF(G62=0,"---",IF(OR(ABS((F62-G62)/ABS(G62))&gt;2,(F62*G62)&lt;0),"---",IF(G62="0","---",((F62-G62)/ABS(G62))*100)))</f>
        <v>-32.143990286884382</v>
      </c>
      <c r="J62" s="23">
        <f>+[1]GRUPO!O62</f>
        <v>-34.776637021468389</v>
      </c>
      <c r="K62" s="24">
        <f>+[1]GRUPO!P62</f>
        <v>-31.544830468669275</v>
      </c>
      <c r="L62" s="25">
        <f>IF(K62=0,"---",IF(OR(ABS((J62-K62)/ABS(K62))&gt;2,(J62*K62)&lt;0),"---",IF(K62="0","---",((J62-K62)/ABS(K62))*100)))</f>
        <v>-10.245122591509835</v>
      </c>
      <c r="O62" s="60"/>
      <c r="P62" s="50"/>
      <c r="Q62" s="61"/>
      <c r="R62" s="61"/>
      <c r="S62" s="62"/>
      <c r="T62" s="50"/>
      <c r="U62" s="61"/>
      <c r="V62" s="61"/>
      <c r="W62" s="62"/>
      <c r="X62" s="50"/>
      <c r="Y62" s="50"/>
      <c r="Z62" s="57"/>
      <c r="AA62" s="57"/>
      <c r="AB62" s="58"/>
      <c r="AC62" s="58"/>
      <c r="AD62" s="59"/>
      <c r="AE62" s="57"/>
      <c r="AF62" s="58"/>
      <c r="AG62" s="58"/>
      <c r="AH62" s="59"/>
      <c r="AI62" s="50"/>
      <c r="AJ62" s="50"/>
      <c r="AK62" s="57"/>
      <c r="AL62" s="57"/>
      <c r="AM62" s="58"/>
      <c r="AN62" s="58"/>
      <c r="AO62" s="59"/>
      <c r="AP62" s="57"/>
      <c r="AQ62" s="58"/>
      <c r="AR62" s="58"/>
      <c r="AS62" s="59"/>
      <c r="AT62" s="50"/>
    </row>
    <row r="63" spans="4:46" ht="15" customHeight="1">
      <c r="D63" s="32" t="str">
        <f>+IF($B$3="esp","Latam","Latam")</f>
        <v>Latam</v>
      </c>
      <c r="F63" s="23">
        <f>+[1]GRUPO!K63</f>
        <v>24.002126381208694</v>
      </c>
      <c r="G63" s="24">
        <f>+[1]GRUPO!L63</f>
        <v>35.639126007890447</v>
      </c>
      <c r="H63" s="25">
        <f>IF(G63=0,"---",IF(OR(ABS((F63-G63)/ABS(G63))&gt;2,(F63*G63)&lt;0),"---",IF(G63="0","---",((F63-G63)/ABS(G63))*100)))</f>
        <v>-32.652314829789425</v>
      </c>
      <c r="J63" s="23">
        <f>+[1]GRUPO!O63</f>
        <v>-35.139070111468385</v>
      </c>
      <c r="K63" s="24">
        <f>+[1]GRUPO!P63</f>
        <v>-31.567892468669264</v>
      </c>
      <c r="L63" s="25">
        <f>IF(K63=0,"---",IF(OR(ABS((J63-K63)/ABS(K63))&gt;2,(J63*K63)&lt;0),"---",IF(K63="0","---",((J63-K63)/ABS(K63))*100)))</f>
        <v>-11.312689456046106</v>
      </c>
      <c r="O63" s="69"/>
      <c r="P63" s="50"/>
      <c r="Q63" s="61"/>
      <c r="R63" s="61"/>
      <c r="S63" s="62"/>
      <c r="T63" s="50"/>
      <c r="U63" s="61"/>
      <c r="V63" s="61"/>
      <c r="W63" s="62"/>
      <c r="X63" s="50"/>
      <c r="Y63" s="50"/>
      <c r="Z63" s="60"/>
      <c r="AA63" s="50"/>
      <c r="AB63" s="61"/>
      <c r="AC63" s="61"/>
      <c r="AD63" s="62"/>
      <c r="AE63" s="50"/>
      <c r="AF63" s="61"/>
      <c r="AG63" s="61"/>
      <c r="AH63" s="62"/>
      <c r="AI63" s="50"/>
      <c r="AJ63" s="50"/>
      <c r="AK63" s="65"/>
      <c r="AL63" s="57"/>
      <c r="AM63" s="58"/>
      <c r="AN63" s="58"/>
      <c r="AO63" s="59"/>
      <c r="AP63" s="57"/>
      <c r="AQ63" s="58"/>
      <c r="AR63" s="58"/>
      <c r="AS63" s="59"/>
      <c r="AT63" s="50"/>
    </row>
    <row r="64" spans="4:46" ht="15" customHeight="1">
      <c r="D64" s="32" t="str">
        <f>+IF($B$3="esp","Portugal","Portugal")</f>
        <v>Portugal</v>
      </c>
      <c r="F64" s="23">
        <f>+[1]GRUPO!K64</f>
        <v>0.14780440999998701</v>
      </c>
      <c r="G64" s="24">
        <f>+[1]GRUPO!L64</f>
        <v>-4.9159999999999898E-2</v>
      </c>
      <c r="H64" s="25" t="str">
        <f>IF(G64=0,"---",IF(OR(ABS((F64-G64)/ABS(G64))&gt;2,(F64*G64)&lt;0),"---",IF(G64="0","---",((F64-G64)/ABS(G64))*100)))</f>
        <v>---</v>
      </c>
      <c r="J64" s="23">
        <f>+[1]GRUPO!O64</f>
        <v>0.36243308999999002</v>
      </c>
      <c r="K64" s="24">
        <f>+[1]GRUPO!P64</f>
        <v>2.3062000000000096E-2</v>
      </c>
      <c r="L64" s="25" t="str">
        <f>IF(K64=0,"---",IF(OR(ABS((J64-K64)/ABS(K64))&gt;2,(J64*K64)&lt;0),"---",IF(K64="0","---",((J64-K64)/ABS(K64))*100)))</f>
        <v>---</v>
      </c>
      <c r="X64" s="50"/>
      <c r="Y64" s="50"/>
      <c r="Z64" s="60"/>
      <c r="AA64" s="50"/>
      <c r="AB64" s="61"/>
      <c r="AC64" s="61"/>
      <c r="AD64" s="62"/>
      <c r="AE64" s="50"/>
      <c r="AF64" s="61"/>
      <c r="AG64" s="61"/>
      <c r="AH64" s="62"/>
      <c r="AI64" s="50"/>
      <c r="AJ64" s="50"/>
      <c r="AK64" s="65"/>
      <c r="AL64" s="57"/>
      <c r="AM64" s="58"/>
      <c r="AN64" s="58"/>
      <c r="AO64" s="59"/>
      <c r="AP64" s="57"/>
      <c r="AQ64" s="58"/>
      <c r="AR64" s="58"/>
      <c r="AS64" s="59"/>
      <c r="AT64" s="50"/>
    </row>
    <row r="65" spans="4:46" s="28" customFormat="1" ht="15" customHeight="1">
      <c r="D65" s="53" t="str">
        <f>+IF($B$3="esp","Margen EBIT","EBIT Margin")</f>
        <v>EBIT Margin</v>
      </c>
      <c r="F65" s="54">
        <f>+F60/F49</f>
        <v>-2.2451734465961652E-2</v>
      </c>
      <c r="G65" s="55">
        <f>+G60/G49</f>
        <v>8.9975697891458456E-2</v>
      </c>
      <c r="H65" s="56"/>
      <c r="J65" s="54">
        <f>+J60/J49</f>
        <v>-0.31466456334645243</v>
      </c>
      <c r="K65" s="55">
        <f>+K60/K49</f>
        <v>-1.4996352246299529E-2</v>
      </c>
      <c r="L65" s="56"/>
      <c r="X65" s="64"/>
      <c r="Y65" s="64"/>
      <c r="Z65" s="60"/>
      <c r="AA65" s="50"/>
      <c r="AB65" s="61"/>
      <c r="AC65" s="61"/>
      <c r="AD65" s="62"/>
      <c r="AE65" s="50"/>
      <c r="AF65" s="61"/>
      <c r="AG65" s="61"/>
      <c r="AH65" s="62"/>
      <c r="AI65" s="50"/>
      <c r="AJ65" s="64"/>
      <c r="AK65" s="57"/>
      <c r="AL65" s="57"/>
      <c r="AM65" s="58"/>
      <c r="AN65" s="58"/>
      <c r="AO65" s="59"/>
      <c r="AP65" s="57"/>
      <c r="AQ65" s="58"/>
      <c r="AR65" s="58"/>
      <c r="AS65" s="59"/>
      <c r="AT65" s="64"/>
    </row>
    <row r="66" spans="4:46" s="14" customFormat="1" ht="15" customHeight="1">
      <c r="D66" s="1"/>
      <c r="E66" s="1"/>
      <c r="F66" s="1"/>
      <c r="G66" s="1"/>
      <c r="H66" s="1"/>
      <c r="I66" s="1"/>
      <c r="J66" s="1"/>
      <c r="K66" s="1"/>
      <c r="L66" s="1"/>
      <c r="X66" s="57"/>
      <c r="Y66" s="57"/>
      <c r="Z66" s="60"/>
      <c r="AA66" s="50"/>
      <c r="AB66" s="61"/>
      <c r="AC66" s="61"/>
      <c r="AD66" s="62"/>
      <c r="AE66" s="50"/>
      <c r="AF66" s="61"/>
      <c r="AG66" s="61"/>
      <c r="AH66" s="62"/>
      <c r="AI66" s="57"/>
      <c r="AJ66" s="57"/>
      <c r="AK66" s="65"/>
      <c r="AL66" s="57"/>
      <c r="AM66" s="58"/>
      <c r="AN66" s="58"/>
      <c r="AO66" s="59"/>
      <c r="AP66" s="57"/>
      <c r="AQ66" s="58"/>
      <c r="AR66" s="58"/>
      <c r="AS66" s="59"/>
      <c r="AT66" s="57"/>
    </row>
    <row r="67" spans="4:46" ht="15" customHeight="1">
      <c r="D67" s="9"/>
      <c r="F67" s="10">
        <v>2020</v>
      </c>
      <c r="G67" s="10">
        <v>2019</v>
      </c>
      <c r="H67" s="10" t="str">
        <f>+IF($B$3="esp","Var.%","% Chg.")</f>
        <v>% Chg.</v>
      </c>
      <c r="J67" s="10">
        <v>2020</v>
      </c>
      <c r="K67" s="10">
        <v>2019</v>
      </c>
      <c r="L67" s="10" t="str">
        <f>+IF($B$3="esp","Var.%","% Chg.")</f>
        <v>% Chg.</v>
      </c>
      <c r="O67" s="9"/>
      <c r="Q67" s="10">
        <v>2020</v>
      </c>
      <c r="R67" s="10">
        <v>2019</v>
      </c>
      <c r="S67" s="10" t="str">
        <f>+IF($B$3="esp","Var.%","% Chg.")</f>
        <v>% Chg.</v>
      </c>
      <c r="U67" s="10">
        <v>2020</v>
      </c>
      <c r="V67" s="10">
        <v>2019</v>
      </c>
      <c r="W67" s="10" t="str">
        <f>+IF($B$3="esp","Var.%","% Chg.")</f>
        <v>% Chg.</v>
      </c>
      <c r="X67" s="50"/>
      <c r="Y67" s="50"/>
      <c r="Z67" s="9"/>
      <c r="AB67" s="10">
        <v>2020</v>
      </c>
      <c r="AC67" s="10">
        <v>2019</v>
      </c>
      <c r="AD67" s="10" t="str">
        <f>+IF($B$3="esp","Var.%","% Chg.")</f>
        <v>% Chg.</v>
      </c>
      <c r="AF67" s="10">
        <v>2020</v>
      </c>
      <c r="AG67" s="10">
        <v>2019</v>
      </c>
      <c r="AH67" s="10" t="str">
        <f>+IF($B$3="esp","Var.%","% Chg.")</f>
        <v>% Chg.</v>
      </c>
      <c r="AI67" s="50"/>
      <c r="AJ67" s="50"/>
      <c r="AK67" s="45"/>
      <c r="AL67" s="64"/>
      <c r="AM67" s="47"/>
      <c r="AN67" s="47"/>
      <c r="AO67" s="48"/>
      <c r="AP67" s="64"/>
      <c r="AQ67" s="47"/>
      <c r="AR67" s="47"/>
      <c r="AS67" s="48"/>
      <c r="AT67" s="50"/>
    </row>
    <row r="68" spans="4:46" ht="15" customHeight="1">
      <c r="D68" s="11" t="str">
        <f>+IF($B$3="esp","Resultados Comparables a tipo constante","Comparable Results at constant currency")</f>
        <v>Comparable Results at constant currency</v>
      </c>
      <c r="F68" s="13"/>
      <c r="G68" s="13"/>
      <c r="H68" s="13"/>
      <c r="J68" s="13"/>
      <c r="K68" s="13"/>
      <c r="L68" s="13"/>
      <c r="O68" s="11" t="str">
        <f>+IF($B$3="esp","Resultados a tipo constante","Results at constant currency")</f>
        <v>Results at constant currency</v>
      </c>
      <c r="Q68" s="13"/>
      <c r="R68" s="13"/>
      <c r="S68" s="13"/>
      <c r="U68" s="13"/>
      <c r="V68" s="13"/>
      <c r="W68" s="13"/>
      <c r="X68" s="50"/>
      <c r="Y68" s="50"/>
      <c r="Z68" s="11" t="str">
        <f>+IF($B$3="esp","Resultados a tipo constante","Results at constant currency")</f>
        <v>Results at constant currency</v>
      </c>
      <c r="AB68" s="13"/>
      <c r="AC68" s="13"/>
      <c r="AD68" s="13"/>
      <c r="AF68" s="13"/>
      <c r="AG68" s="13"/>
      <c r="AH68" s="13"/>
      <c r="AI68" s="50"/>
      <c r="AJ68" s="50"/>
      <c r="AK68" s="65"/>
      <c r="AL68" s="57"/>
      <c r="AM68" s="58"/>
      <c r="AN68" s="58"/>
      <c r="AO68" s="59"/>
      <c r="AP68" s="57"/>
      <c r="AQ68" s="58"/>
      <c r="AR68" s="58"/>
      <c r="AS68" s="59"/>
      <c r="AT68" s="50"/>
    </row>
    <row r="69" spans="4:46" ht="15" customHeight="1">
      <c r="D69" s="14" t="str">
        <f>+IF($B$3="esp","Ingresos de Explotación a tipo constante","Operating Revenues on constant currency")</f>
        <v>Operating Revenues on constant currency</v>
      </c>
      <c r="E69" s="14"/>
      <c r="F69" s="15">
        <f>+[1]GRUPO!K69</f>
        <v>421.38787701643088</v>
      </c>
      <c r="G69" s="16">
        <f>+[1]GRUPO!L69</f>
        <v>485.66755224943199</v>
      </c>
      <c r="H69" s="17">
        <f t="shared" ref="H69:H78" si="16">IF(G69=0,"---",IF(OR(ABS((F69-G69)/ABS(G69))&gt;2,(F69*G69)&lt;0),"---",IF(G69="0","---",((F69-G69)/ABS(G69))*100)))</f>
        <v>-13.23532423265287</v>
      </c>
      <c r="I69" s="14"/>
      <c r="J69" s="15">
        <f>+[1]GRUPO!O69</f>
        <v>140.6175791751424</v>
      </c>
      <c r="K69" s="16">
        <f>+[1]GRUPO!P69</f>
        <v>212.64324493993996</v>
      </c>
      <c r="L69" s="17">
        <f t="shared" ref="L69:L78" si="17">IF(K69=0,"---",IF(OR(ABS((J69-K69)/ABS(K69))&gt;2,(J69*K69)&lt;0),"---",IF(K69="0","---",((J69-K69)/ABS(K69))*100)))</f>
        <v>-33.871598312535561</v>
      </c>
      <c r="O69" s="14" t="str">
        <f>+IF($B$3="esp","Ingresos de Explotación a tipo constante","Operating Revenues on constant currency")</f>
        <v>Operating Revenues on constant currency</v>
      </c>
      <c r="P69" s="14"/>
      <c r="Q69" s="15">
        <f>+[1]SANTILLANA!K39</f>
        <v>269.71701991853934</v>
      </c>
      <c r="R69" s="16">
        <f>+[1]SANTILLANA!L39</f>
        <v>255.97954345540199</v>
      </c>
      <c r="S69" s="17">
        <f t="shared" ref="S69:S80" si="18">IF(R69=0,"---",IF(OR(ABS((Q69-R69)/ABS(R69))&gt;2,(Q69*R69)&lt;0),"---",IF(R69="0","---",((Q69-R69)/ABS(R69))*100)))</f>
        <v>5.3666305821546052</v>
      </c>
      <c r="T69" s="14"/>
      <c r="U69" s="15">
        <f>+[1]SANTILLANA!O39</f>
        <v>75.255469729121927</v>
      </c>
      <c r="V69" s="16">
        <f>+[1]SANTILLANA!P39</f>
        <v>87.063109187520013</v>
      </c>
      <c r="W69" s="17">
        <f t="shared" ref="W69:W80" si="19">IF(V69=0,"---",IF(OR(ABS((U69-V69)/ABS(V69))&gt;2,(U69*V69)&lt;0),"---",IF(V69="0","---",((U69-V69)/ABS(V69))*100)))</f>
        <v>-13.562161481008356</v>
      </c>
      <c r="X69" s="50"/>
      <c r="Y69" s="50"/>
      <c r="Z69" s="14" t="str">
        <f>+IF($B$3="esp","Ingresos de Explotación a tipo constante","Operating Revenues on constant currency")</f>
        <v>Operating Revenues on constant currency</v>
      </c>
      <c r="AA69" s="14"/>
      <c r="AB69" s="15">
        <f>+[1]RADIO!K35</f>
        <v>84.759526420643496</v>
      </c>
      <c r="AC69" s="16">
        <f>+[1]RADIO!L35</f>
        <v>134.50011651550599</v>
      </c>
      <c r="AD69" s="17">
        <f>IF(AC69=0,"---",IF(OR(ABS((AB69-AC69)/ABS(AC69))&gt;2,(AB69*AC69)&lt;0),"---",IF(AC69="0","---",((AB69-AC69)/ABS(AC69))*100)))</f>
        <v>-36.981819334801912</v>
      </c>
      <c r="AE69" s="14"/>
      <c r="AF69" s="15">
        <f>+[1]RADIO!O35</f>
        <v>35.650443539157202</v>
      </c>
      <c r="AG69" s="16">
        <f>+[1]RADIO!P35</f>
        <v>74.439254966843492</v>
      </c>
      <c r="AH69" s="17">
        <f>IF(AG69=0,"---",IF(OR(ABS((AF69-AG69)/ABS(AG69))&gt;2,(AF69*AG69)&lt;0),"---",IF(AG69="0","---",((AF69-AG69)/ABS(AG69))*100)))</f>
        <v>-52.108005977442261</v>
      </c>
      <c r="AI69" s="50"/>
      <c r="AJ69" s="50"/>
      <c r="AK69" s="57"/>
      <c r="AL69" s="57"/>
      <c r="AM69" s="58"/>
      <c r="AN69" s="58"/>
      <c r="AO69" s="59"/>
      <c r="AP69" s="57"/>
      <c r="AQ69" s="58"/>
      <c r="AR69" s="58"/>
      <c r="AS69" s="59"/>
      <c r="AT69" s="50"/>
    </row>
    <row r="70" spans="4:46" ht="15" customHeight="1">
      <c r="D70" s="22" t="str">
        <f>+IF($B$3="esp","España","Spain")</f>
        <v>Spain</v>
      </c>
      <c r="F70" s="23">
        <f>+[1]GRUPO!K70</f>
        <v>165.7372718434618</v>
      </c>
      <c r="G70" s="24">
        <f>+[1]GRUPO!L70</f>
        <v>233.97248504252053</v>
      </c>
      <c r="H70" s="25">
        <f t="shared" si="16"/>
        <v>-29.163776752064731</v>
      </c>
      <c r="J70" s="23">
        <f>+[1]GRUPO!O70</f>
        <v>93.476823680105468</v>
      </c>
      <c r="K70" s="24">
        <f>+[1]GRUPO!P70</f>
        <v>146.32077269773984</v>
      </c>
      <c r="L70" s="25">
        <f t="shared" si="17"/>
        <v>-36.115138024042594</v>
      </c>
      <c r="O70" s="22" t="str">
        <f>+IF($B$3="esp","Negocio España","Spain business")</f>
        <v>Spain business</v>
      </c>
      <c r="Q70" s="23">
        <f>+[1]SANTILLANA!K40</f>
        <v>39.744683209999998</v>
      </c>
      <c r="R70" s="24">
        <f>+[1]SANTILLANA!L40</f>
        <v>45.362771290000005</v>
      </c>
      <c r="S70" s="25">
        <f t="shared" si="18"/>
        <v>-12.384799076943711</v>
      </c>
      <c r="U70" s="23">
        <f>+[1]SANTILLANA!O40</f>
        <v>38.340233739999995</v>
      </c>
      <c r="V70" s="24">
        <f>+[1]SANTILLANA!P40</f>
        <v>43.130839530000003</v>
      </c>
      <c r="W70" s="25">
        <f t="shared" si="19"/>
        <v>-11.107147095219103</v>
      </c>
      <c r="X70" s="50"/>
      <c r="Y70" s="50"/>
      <c r="Z70" s="22" t="str">
        <f>+IF($B$3="esp","España","Spain")</f>
        <v>Spain</v>
      </c>
      <c r="AB70" s="23">
        <f>+[1]RADIO!K36</f>
        <v>60.852808519999996</v>
      </c>
      <c r="AC70" s="24">
        <f>+[1]RADIO!L36</f>
        <v>96.001446800000011</v>
      </c>
      <c r="AD70" s="25">
        <f>IF(AC70=0,"---",IF(OR(ABS((AB70-AC70)/ABS(AC70))&gt;2,(AB70*AC70)&lt;0),"---",IF(AC70="0","---",((AB70-AC70)/ABS(AC70))*100)))</f>
        <v>-36.612613092410193</v>
      </c>
      <c r="AF70" s="23">
        <f>+[1]RADIO!O36</f>
        <v>26.338815009999998</v>
      </c>
      <c r="AG70" s="24">
        <f>+[1]RADIO!P36</f>
        <v>52.887086470000007</v>
      </c>
      <c r="AH70" s="25">
        <f>IF(AG70=0,"---",IF(OR(ABS((AF70-AG70)/ABS(AG70))&gt;2,(AF70*AG70)&lt;0),"---",IF(AG70="0","---",((AF70-AG70)/ABS(AG70))*100)))</f>
        <v>-50.198022299941613</v>
      </c>
      <c r="AI70" s="50"/>
      <c r="AJ70" s="50"/>
      <c r="AK70" s="65"/>
      <c r="AL70" s="57"/>
      <c r="AM70" s="58"/>
      <c r="AN70" s="58"/>
      <c r="AO70" s="59"/>
      <c r="AP70" s="57"/>
      <c r="AQ70" s="58"/>
      <c r="AR70" s="58"/>
      <c r="AS70" s="59"/>
      <c r="AT70" s="50"/>
    </row>
    <row r="71" spans="4:46" s="28" customFormat="1" ht="15" customHeight="1">
      <c r="D71" s="22" t="str">
        <f>+IF($B$3="esp","Internacional","International")</f>
        <v>International</v>
      </c>
      <c r="E71" s="1"/>
      <c r="F71" s="23">
        <f>+[1]GRUPO!K71</f>
        <v>255.65060517296908</v>
      </c>
      <c r="G71" s="24">
        <f>+[1]GRUPO!L71</f>
        <v>251.69506720691146</v>
      </c>
      <c r="H71" s="25">
        <f t="shared" si="16"/>
        <v>1.5715595899246932</v>
      </c>
      <c r="I71" s="1"/>
      <c r="J71" s="23">
        <f>+[1]GRUPO!O71</f>
        <v>47.140755495036927</v>
      </c>
      <c r="K71" s="24">
        <f>+[1]GRUPO!P71</f>
        <v>66.322472242200121</v>
      </c>
      <c r="L71" s="25">
        <f t="shared" si="17"/>
        <v>-28.9218964533082</v>
      </c>
      <c r="O71" s="22" t="str">
        <f>+IF($B$3="esp","Negocio Internacional","International business")</f>
        <v>International business</v>
      </c>
      <c r="P71" s="1"/>
      <c r="Q71" s="23">
        <f>+[1]SANTILLANA!K41</f>
        <v>229.21560438853933</v>
      </c>
      <c r="R71" s="24">
        <f>+[1]SANTILLANA!L41</f>
        <v>209.378516195402</v>
      </c>
      <c r="S71" s="25">
        <f t="shared" si="18"/>
        <v>9.4742710730762933</v>
      </c>
      <c r="T71" s="1"/>
      <c r="U71" s="23">
        <f>+[1]SANTILLANA!O41</f>
        <v>36.440843469121916</v>
      </c>
      <c r="V71" s="24">
        <f>+[1]SANTILLANA!P41</f>
        <v>42.922894577519997</v>
      </c>
      <c r="W71" s="25">
        <f t="shared" si="19"/>
        <v>-15.101616916098957</v>
      </c>
      <c r="X71" s="64"/>
      <c r="Y71" s="64"/>
      <c r="Z71" s="22" t="str">
        <f>+IF($B$3="esp","Latam","Latam")</f>
        <v>Latam</v>
      </c>
      <c r="AA71" s="1"/>
      <c r="AB71" s="23">
        <f>+[1]RADIO!K37</f>
        <v>25.8196286763195</v>
      </c>
      <c r="AC71" s="24">
        <f>+[1]RADIO!L37</f>
        <v>40.532819250521499</v>
      </c>
      <c r="AD71" s="25">
        <f>IF(AC71=0,"---",IF(OR(ABS((AB71-AC71)/ABS(AC71))&gt;2,(AB71*AC71)&lt;0),"---",IF(AC71="0","---",((AB71-AC71)/ABS(AC71))*100)))</f>
        <v>-36.29945028808401</v>
      </c>
      <c r="AE71" s="1"/>
      <c r="AF71" s="23">
        <f>+[1]RADIO!O37</f>
        <v>10.2232947927215</v>
      </c>
      <c r="AG71" s="24">
        <f>+[1]RADIO!P37</f>
        <v>22.640151380459198</v>
      </c>
      <c r="AH71" s="25">
        <f>IF(AG71=0,"---",IF(OR(ABS((AF71-AG71)/ABS(AG71))&gt;2,(AF71*AG71)&lt;0),"---",IF(AG71="0","---",((AF71-AG71)/ABS(AG71))*100)))</f>
        <v>-54.844406201518311</v>
      </c>
      <c r="AI71" s="64"/>
      <c r="AJ71" s="64"/>
      <c r="AK71" s="45"/>
      <c r="AL71" s="64"/>
      <c r="AM71" s="47"/>
      <c r="AN71" s="47"/>
      <c r="AO71" s="48"/>
      <c r="AP71" s="64"/>
      <c r="AQ71" s="47"/>
      <c r="AR71" s="47"/>
      <c r="AS71" s="48"/>
      <c r="AT71" s="64"/>
    </row>
    <row r="72" spans="4:46" s="14" customFormat="1" ht="15" customHeight="1">
      <c r="D72" s="32" t="str">
        <f>+IF($B$3="esp","Latam","Latam")</f>
        <v>Latam</v>
      </c>
      <c r="E72" s="1"/>
      <c r="F72" s="23">
        <f>+[1]GRUPO!K72</f>
        <v>254.85452917296908</v>
      </c>
      <c r="G72" s="24">
        <f>+[1]GRUPO!L72</f>
        <v>251.47547820691145</v>
      </c>
      <c r="H72" s="25">
        <f t="shared" si="16"/>
        <v>1.3436900449106155</v>
      </c>
      <c r="I72" s="1"/>
      <c r="J72" s="23">
        <f>+[1]GRUPO!O72</f>
        <v>46.355444495036949</v>
      </c>
      <c r="K72" s="24">
        <f>+[1]GRUPO!P72</f>
        <v>66.302722242200105</v>
      </c>
      <c r="L72" s="25">
        <f t="shared" si="17"/>
        <v>-30.085156495229377</v>
      </c>
      <c r="O72" s="32" t="str">
        <f>+IF($B$3="esp","Latam","Latam")</f>
        <v>Latam</v>
      </c>
      <c r="P72" s="1"/>
      <c r="Q72" s="23">
        <f>+[1]SANTILLANA!K42</f>
        <v>228.41952838853933</v>
      </c>
      <c r="R72" s="24">
        <f>+[1]SANTILLANA!L42</f>
        <v>209.15892719540199</v>
      </c>
      <c r="S72" s="25">
        <f>IF(R72=0,"---",IF(OR(ABS((Q72-R72)/ABS(R72))&gt;2,(Q72*R72)&lt;0),"---",IF(R72="0","---",((Q72-R72)/ABS(R72))*100)))</f>
        <v>9.2085962819763214</v>
      </c>
      <c r="T72" s="1"/>
      <c r="U72" s="23">
        <f>+[1]SANTILLANA!O42</f>
        <v>35.655532469121908</v>
      </c>
      <c r="V72" s="24">
        <f>+[1]SANTILLANA!P42</f>
        <v>42.903144577519981</v>
      </c>
      <c r="W72" s="25">
        <f t="shared" si="19"/>
        <v>-16.892962461766999</v>
      </c>
      <c r="X72" s="57"/>
      <c r="Y72" s="57"/>
      <c r="Z72" s="22" t="str">
        <f>+IF($B$3="esp","Ajustes y Otros","Adjustments &amp; others")</f>
        <v>Adjustments &amp; others</v>
      </c>
      <c r="AA72" s="1"/>
      <c r="AB72" s="23">
        <f>+AB69-AB70-AB71</f>
        <v>-1.912910775676</v>
      </c>
      <c r="AC72" s="24">
        <f>+AC69-AC70-AC71</f>
        <v>-2.0341495350155157</v>
      </c>
      <c r="AD72" s="25">
        <f>IF(AC72=0,"---",IF(OR(ABS((AB72-AC72)/ABS(AC72))&gt;2,(AB72*AC72)&lt;0),"---",IF(AC72="0","---",((AB72-AC72)/ABS(AC72))*100)))</f>
        <v>5.9601694591538923</v>
      </c>
      <c r="AE72" s="1"/>
      <c r="AF72" s="23">
        <f>+AF69-AF70-AF71</f>
        <v>-0.91166626356429603</v>
      </c>
      <c r="AG72" s="24">
        <f>+AG69-AG70-AG71</f>
        <v>-1.0879828836157124</v>
      </c>
      <c r="AH72" s="25">
        <f>IF(AG72=0,"---",IF(OR(ABS((AF72-AG72)/ABS(AG72))&gt;2,(AF72*AG72)&lt;0),"---",IF(AG72="0","---",((AF72-AG72)/ABS(AG72))*100)))</f>
        <v>16.205826645494668</v>
      </c>
      <c r="AI72" s="57"/>
      <c r="AJ72" s="57"/>
      <c r="AK72" s="65"/>
      <c r="AL72" s="57"/>
      <c r="AM72" s="58"/>
      <c r="AN72" s="58"/>
      <c r="AO72" s="59"/>
      <c r="AP72" s="57"/>
      <c r="AQ72" s="58"/>
      <c r="AR72" s="58"/>
      <c r="AS72" s="59"/>
      <c r="AT72" s="57"/>
    </row>
    <row r="73" spans="4:46" ht="15" customHeight="1" thickBot="1">
      <c r="D73" s="32" t="str">
        <f>+IF($B$3="esp","Portugal","Portugal")</f>
        <v>Portugal</v>
      </c>
      <c r="F73" s="23">
        <f>+[1]GRUPO!K73</f>
        <v>0.79607600000000001</v>
      </c>
      <c r="G73" s="24">
        <f>+[1]GRUPO!L73</f>
        <v>0.21958900000000001</v>
      </c>
      <c r="H73" s="25" t="str">
        <f t="shared" si="16"/>
        <v>---</v>
      </c>
      <c r="J73" s="23">
        <f>+[1]GRUPO!O73</f>
        <v>0.78531099999999976</v>
      </c>
      <c r="K73" s="24">
        <f>+[1]GRUPO!P73</f>
        <v>1.9750000000000018E-2</v>
      </c>
      <c r="L73" s="25" t="str">
        <f t="shared" si="17"/>
        <v>---</v>
      </c>
      <c r="O73" s="32" t="str">
        <f>+IF($B$3="esp","Portugal","Portugal")</f>
        <v>Portugal</v>
      </c>
      <c r="Q73" s="23">
        <f>+[1]SANTILLANA!K43</f>
        <v>0.79607600000000001</v>
      </c>
      <c r="R73" s="24">
        <f>+[1]SANTILLANA!L43</f>
        <v>0.21958900000000001</v>
      </c>
      <c r="S73" s="25" t="str">
        <f t="shared" si="18"/>
        <v>---</v>
      </c>
      <c r="U73" s="23">
        <f>+[1]SANTILLANA!O43</f>
        <v>0.78531099999999998</v>
      </c>
      <c r="V73" s="24">
        <f>+[1]SANTILLANA!P43</f>
        <v>1.9750000000000018E-2</v>
      </c>
      <c r="W73" s="25" t="str">
        <f t="shared" si="19"/>
        <v>---</v>
      </c>
      <c r="X73" s="50"/>
      <c r="Y73" s="50"/>
      <c r="Z73" s="14"/>
      <c r="AA73" s="14"/>
      <c r="AB73" s="15"/>
      <c r="AC73" s="16"/>
      <c r="AD73" s="17"/>
      <c r="AE73" s="14"/>
      <c r="AF73" s="15"/>
      <c r="AG73" s="16"/>
      <c r="AH73" s="17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</row>
    <row r="74" spans="4:46" ht="15" customHeight="1" thickTop="1">
      <c r="D74" s="14" t="str">
        <f>+IF($B$3="esp","EBITDA a tipo constante","EBITDA on constant currency")</f>
        <v>EBITDA on constant currency</v>
      </c>
      <c r="E74" s="14"/>
      <c r="F74" s="15">
        <f>+[1]GRUPO!K74</f>
        <v>36.695148982365197</v>
      </c>
      <c r="G74" s="16">
        <f>+[1]GRUPO!L74</f>
        <v>85.688418608558806</v>
      </c>
      <c r="H74" s="17">
        <f t="shared" si="16"/>
        <v>-57.176069323912138</v>
      </c>
      <c r="I74" s="14"/>
      <c r="J74" s="15">
        <f>+[1]GRUPO!O74</f>
        <v>-27.50762595130459</v>
      </c>
      <c r="K74" s="16">
        <f>+[1]GRUPO!P74</f>
        <v>16.923548277423706</v>
      </c>
      <c r="L74" s="17" t="str">
        <f t="shared" si="17"/>
        <v>---</v>
      </c>
      <c r="O74" s="22" t="str">
        <f>+IF($B$3="esp","Tecnología Educativa global y Centro Corpor.","Global Educational IT &amp; HQ")</f>
        <v>Global Educational IT &amp; HQ</v>
      </c>
      <c r="Q74" s="23">
        <f>+[1]SANTILLANA!K44</f>
        <v>0.75673232000000035</v>
      </c>
      <c r="R74" s="24">
        <f>+[1]SANTILLANA!L44</f>
        <v>1.2382559700000002</v>
      </c>
      <c r="S74" s="25">
        <f t="shared" si="18"/>
        <v>-38.887246390582696</v>
      </c>
      <c r="U74" s="23">
        <f>+[1]SANTILLANA!O44</f>
        <v>0.47439252000000026</v>
      </c>
      <c r="V74" s="24">
        <f>+[1]SANTILLANA!P44</f>
        <v>1.0093750800000003</v>
      </c>
      <c r="W74" s="25">
        <f t="shared" si="19"/>
        <v>-53.001363972647297</v>
      </c>
      <c r="X74" s="50"/>
      <c r="Y74" s="50"/>
      <c r="Z74" s="14" t="str">
        <f>+IF($B$3="esp","EBITDA a tipo constante","EBITDA on constant currency")</f>
        <v>EBITDA on constant currency</v>
      </c>
      <c r="AA74" s="14"/>
      <c r="AB74" s="15">
        <f>+[1]RADIO!K41</f>
        <v>-6.2249911529744102</v>
      </c>
      <c r="AC74" s="70">
        <f>+[1]RADIO!L41</f>
        <v>28.1451873792942</v>
      </c>
      <c r="AD74" s="34" t="str">
        <f>IF(AC74=0,"---",IF(OR(ABS((AB74-AC74)/ABS(AC74))&gt;2,(AB74*AC74)&lt;0),"---",IF(AC74="0","---",((AB74-AC74)/ABS(AC74))*100)))</f>
        <v>---</v>
      </c>
      <c r="AE74" s="14"/>
      <c r="AF74" s="15">
        <f>+[1]RADIO!O41</f>
        <v>-6.7607374181889108</v>
      </c>
      <c r="AG74" s="70">
        <f>+[1]RADIO!P41</f>
        <v>20.100309360086811</v>
      </c>
      <c r="AH74" s="34" t="str">
        <f>IF(AG74=0,"---",IF(OR(ABS((AF74-AG74)/ABS(AG74))&gt;2,(AF74*AG74)&lt;0),"---",IF(AG74="0","---",((AF74-AG74)/ABS(AG74))*100)))</f>
        <v>---</v>
      </c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</row>
    <row r="75" spans="4:46" s="14" customFormat="1" ht="15" customHeight="1">
      <c r="D75" s="22" t="str">
        <f>+IF($B$3="esp","España","Spain")</f>
        <v>Spain</v>
      </c>
      <c r="E75" s="1"/>
      <c r="F75" s="23">
        <f>+[1]GRUPO!K75</f>
        <v>-16.216149088526066</v>
      </c>
      <c r="G75" s="24">
        <f>+[1]GRUPO!L75</f>
        <v>23.467810529999774</v>
      </c>
      <c r="H75" s="25" t="str">
        <f t="shared" si="16"/>
        <v>---</v>
      </c>
      <c r="I75" s="1"/>
      <c r="J75" s="23">
        <f>+[1]GRUPO!O75</f>
        <v>2.7584564474741882</v>
      </c>
      <c r="K75" s="24">
        <f>+[1]GRUPO!P75</f>
        <v>36.003623080000189</v>
      </c>
      <c r="L75" s="25">
        <f t="shared" si="17"/>
        <v>-92.338392051975191</v>
      </c>
      <c r="O75" s="14" t="str">
        <f>+IF($B$3="esp","EBITDA a tipo constante","EBITDA on constant currency")</f>
        <v>EBITDA on constant currency</v>
      </c>
      <c r="Q75" s="15">
        <f>+[1]SANTILLANA!K45</f>
        <v>60.107561569654422</v>
      </c>
      <c r="R75" s="16">
        <f>+[1]SANTILLANA!L45</f>
        <v>61.852473497649299</v>
      </c>
      <c r="S75" s="17">
        <f t="shared" si="18"/>
        <v>-2.8210867396615802</v>
      </c>
      <c r="U75" s="15">
        <f>+[1]SANTILLANA!O45</f>
        <v>-10.554040472987623</v>
      </c>
      <c r="V75" s="16">
        <f>+[1]SANTILLANA!P45</f>
        <v>-4.3939976968485013</v>
      </c>
      <c r="W75" s="17">
        <f t="shared" si="19"/>
        <v>-140.19221677237741</v>
      </c>
      <c r="X75" s="57"/>
      <c r="Y75" s="57"/>
      <c r="Z75" s="22" t="str">
        <f>+IF($B$3="esp","España","Spain")</f>
        <v>Spain</v>
      </c>
      <c r="AA75" s="1"/>
      <c r="AB75" s="23">
        <f>+[1]RADIO!K42</f>
        <v>-1.4656421500000101</v>
      </c>
      <c r="AC75" s="24">
        <f>+[1]RADIO!L42</f>
        <v>21.548639570000102</v>
      </c>
      <c r="AD75" s="25" t="str">
        <f>IF(AC75=0,"---",IF(OR(ABS((AB75-AC75)/ABS(AC75))&gt;2,(AB75*AC75)&lt;0),"---",IF(AC75="0","---",((AB75-AC75)/ABS(AC75))*100)))</f>
        <v>---</v>
      </c>
      <c r="AE75" s="1"/>
      <c r="AF75" s="23">
        <f>+[1]RADIO!O42</f>
        <v>-2.84187897000003</v>
      </c>
      <c r="AG75" s="24">
        <f>+[1]RADIO!P42</f>
        <v>15.294947170000132</v>
      </c>
      <c r="AH75" s="25" t="str">
        <f>IF(AG75=0,"---",IF(OR(ABS((AF75-AG75)/ABS(AG75))&gt;2,(AF75*AG75)&lt;0),"---",IF(AG75="0","---",((AF75-AG75)/ABS(AG75))*100)))</f>
        <v>---</v>
      </c>
      <c r="AI75" s="50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</row>
    <row r="76" spans="4:46" s="14" customFormat="1" ht="15" customHeight="1">
      <c r="D76" s="22" t="str">
        <f>+IF($B$3="esp","Internacional","International")</f>
        <v>International</v>
      </c>
      <c r="E76" s="1"/>
      <c r="F76" s="23">
        <f>+[1]GRUPO!K76</f>
        <v>52.911298070891263</v>
      </c>
      <c r="G76" s="24">
        <f>+[1]GRUPO!L76</f>
        <v>62.220608078559032</v>
      </c>
      <c r="H76" s="25">
        <f t="shared" si="16"/>
        <v>-14.961779216162496</v>
      </c>
      <c r="I76" s="1"/>
      <c r="J76" s="23">
        <f>+[1]GRUPO!O76</f>
        <v>-30.266082398778778</v>
      </c>
      <c r="K76" s="24">
        <f>+[1]GRUPO!P76</f>
        <v>-19.080074802576483</v>
      </c>
      <c r="L76" s="25">
        <f t="shared" si="17"/>
        <v>-58.626644349904687</v>
      </c>
      <c r="O76" s="22" t="str">
        <f>+IF($B$3="esp","Negocio España","Spain business")</f>
        <v>Spain business</v>
      </c>
      <c r="P76" s="1"/>
      <c r="Q76" s="23">
        <f>+[1]SANTILLANA!K46</f>
        <v>11.326607001474263</v>
      </c>
      <c r="R76" s="24">
        <f>+[1]SANTILLANA!L46</f>
        <v>13.786650929999999</v>
      </c>
      <c r="S76" s="25">
        <f t="shared" si="18"/>
        <v>-17.843665883877829</v>
      </c>
      <c r="T76" s="1"/>
      <c r="U76" s="23">
        <f>+[1]SANTILLANA!O46</f>
        <v>20.692444287474263</v>
      </c>
      <c r="V76" s="24">
        <f>+[1]SANTILLANA!P46</f>
        <v>22.523149309999994</v>
      </c>
      <c r="W76" s="25">
        <f t="shared" si="19"/>
        <v>-8.1281041000466168</v>
      </c>
      <c r="X76" s="57"/>
      <c r="Y76" s="57"/>
      <c r="Z76" s="22" t="str">
        <f>+IF($B$3="esp","Latam","Latam")</f>
        <v>Latam</v>
      </c>
      <c r="AA76" s="1"/>
      <c r="AB76" s="23">
        <f>+[1]RADIO!K43</f>
        <v>-5.1002234629743199</v>
      </c>
      <c r="AC76" s="24">
        <f>+[1]RADIO!L43</f>
        <v>6.7079379392941805</v>
      </c>
      <c r="AD76" s="25" t="str">
        <f>IF(AC76=0,"---",IF(OR(ABS((AB76-AC76)/ABS(AC76))&gt;2,(AB76*AC76)&lt;0),"---",IF(AC76="0","---",((AB76-AC76)/ABS(AC76))*100)))</f>
        <v>---</v>
      </c>
      <c r="AE76" s="1"/>
      <c r="AF76" s="23">
        <f>+[1]RADIO!O43</f>
        <v>-3.9143994381887799</v>
      </c>
      <c r="AG76" s="24">
        <f>+[1]RADIO!P43</f>
        <v>4.876718280086731</v>
      </c>
      <c r="AH76" s="25" t="str">
        <f>IF(AG76=0,"---",IF(OR(ABS((AF76-AG76)/ABS(AG76))&gt;2,(AF76*AG76)&lt;0),"---",IF(AG76="0","---",((AF76-AG76)/ABS(AG76))*100)))</f>
        <v>---</v>
      </c>
      <c r="AI76" s="50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</row>
    <row r="77" spans="4:46" ht="15" customHeight="1">
      <c r="D77" s="32" t="str">
        <f>+IF($B$3="esp","Latam","Latam")</f>
        <v>Latam</v>
      </c>
      <c r="F77" s="23">
        <f>+[1]GRUPO!K77</f>
        <v>52.755206660891275</v>
      </c>
      <c r="G77" s="24">
        <f>+[1]GRUPO!L77</f>
        <v>62.453304078559036</v>
      </c>
      <c r="H77" s="25">
        <f t="shared" si="16"/>
        <v>-15.528557793305339</v>
      </c>
      <c r="J77" s="23">
        <f>+[1]GRUPO!O77</f>
        <v>-30.632657488778761</v>
      </c>
      <c r="K77" s="24">
        <f>+[1]GRUPO!P77</f>
        <v>-18.915085802576463</v>
      </c>
      <c r="L77" s="25">
        <f t="shared" si="17"/>
        <v>-61.948287248087574</v>
      </c>
      <c r="O77" s="22" t="str">
        <f>+IF($B$3="esp","Negocio Internacional","International business")</f>
        <v>International business</v>
      </c>
      <c r="Q77" s="23">
        <f>+[1]SANTILLANA!K47</f>
        <v>59.297531908180147</v>
      </c>
      <c r="R77" s="24">
        <f>+[1]SANTILLANA!L47</f>
        <v>58.8302779476493</v>
      </c>
      <c r="S77" s="25">
        <f t="shared" si="18"/>
        <v>0.7942406135606529</v>
      </c>
      <c r="U77" s="23">
        <f>+[1]SANTILLANA!O47</f>
        <v>-26.645234930461896</v>
      </c>
      <c r="V77" s="24">
        <f>+[1]SANTILLANA!P47</f>
        <v>-22.356512716848506</v>
      </c>
      <c r="W77" s="25">
        <f t="shared" si="19"/>
        <v>-19.183323749688771</v>
      </c>
      <c r="X77" s="50"/>
      <c r="Y77" s="50"/>
      <c r="Z77" s="22" t="str">
        <f>+IF($B$3="esp","Ajustes y Otros","Adjustments &amp; others")</f>
        <v>Adjustments &amp; others</v>
      </c>
      <c r="AB77" s="23">
        <f>+AB74-AB75-AB76</f>
        <v>0.34087445999992028</v>
      </c>
      <c r="AC77" s="24">
        <f>+AC74-AC75-AC76</f>
        <v>-0.1113901300000828</v>
      </c>
      <c r="AD77" s="25" t="str">
        <f>IF(AC77=0,"---",IF(OR(ABS((AB77-AC77)/ABS(AC77))&gt;2,(AB77*AC77)&lt;0),"---",IF(AC77="0","---",((AB77-AC77)/ABS(AC77))*100)))</f>
        <v>---</v>
      </c>
      <c r="AF77" s="23">
        <f>+AF74-AF75-AF76</f>
        <v>-4.4590100001009603E-3</v>
      </c>
      <c r="AG77" s="24">
        <f>+AG74-AG75-AG76</f>
        <v>-7.1356090000051609E-2</v>
      </c>
      <c r="AH77" s="25">
        <f>IF(AG77=0,"---",IF(OR(ABS((AF77-AG77)/ABS(AG77))&gt;2,(AF77*AG77)&lt;0),"---",IF(AG77="0","---",((AF77-AG77)/ABS(AG77))*100)))</f>
        <v>93.75104493520071</v>
      </c>
      <c r="AI77" s="64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</row>
    <row r="78" spans="4:46" s="14" customFormat="1" ht="15" customHeight="1">
      <c r="D78" s="32" t="str">
        <f>+IF($B$3="esp","Portugal","Portugal")</f>
        <v>Portugal</v>
      </c>
      <c r="E78" s="1"/>
      <c r="F78" s="23">
        <f>+[1]GRUPO!K78</f>
        <v>0.15609140999999202</v>
      </c>
      <c r="G78" s="24">
        <f>+[1]GRUPO!L78</f>
        <v>-0.23269599999999999</v>
      </c>
      <c r="H78" s="25" t="str">
        <f t="shared" si="16"/>
        <v>---</v>
      </c>
      <c r="I78" s="1"/>
      <c r="J78" s="23">
        <f>+[1]GRUPO!O78</f>
        <v>0.366575089999993</v>
      </c>
      <c r="K78" s="24">
        <f>+[1]GRUPO!P78</f>
        <v>-0.164989</v>
      </c>
      <c r="L78" s="25" t="str">
        <f t="shared" si="17"/>
        <v>---</v>
      </c>
      <c r="O78" s="32" t="str">
        <f>+IF($B$3="esp","Latam","Latam")</f>
        <v>Latam</v>
      </c>
      <c r="P78" s="1"/>
      <c r="Q78" s="23">
        <f>+[1]SANTILLANA!K48</f>
        <v>59.093853908180151</v>
      </c>
      <c r="R78" s="24">
        <f>+[1]SANTILLANA!L48</f>
        <v>59.062973947649297</v>
      </c>
      <c r="S78" s="25">
        <f>IF(R78=0,"---",IF(OR(ABS((Q78-R78)/ABS(R78))&gt;2,(Q78*R78)&lt;0),"---",IF(R78="0","---",((Q78-R78)/ABS(R78))*100)))</f>
        <v>5.2283111511154515E-2</v>
      </c>
      <c r="T78" s="1"/>
      <c r="U78" s="23">
        <f>+[1]SANTILLANA!O48</f>
        <v>-27.048513930461894</v>
      </c>
      <c r="V78" s="24">
        <f>+[1]SANTILLANA!P48</f>
        <v>-22.191523716848508</v>
      </c>
      <c r="W78" s="25">
        <f t="shared" si="19"/>
        <v>-21.886690952752403</v>
      </c>
      <c r="X78" s="57"/>
      <c r="Y78" s="57"/>
      <c r="Z78" s="27" t="str">
        <f>+IF($B$3="esp","Margen EBITDA","EBITDA Margin")</f>
        <v>EBITDA Margin</v>
      </c>
      <c r="AA78" s="28"/>
      <c r="AB78" s="36">
        <f>+AB74/AB69</f>
        <v>-7.344296760320608E-2</v>
      </c>
      <c r="AC78" s="37">
        <f>+AC74/AC69</f>
        <v>0.20925771745372021</v>
      </c>
      <c r="AD78" s="38"/>
      <c r="AE78" s="28"/>
      <c r="AF78" s="36">
        <f>+AF74/AF69</f>
        <v>-0.18963964391531771</v>
      </c>
      <c r="AG78" s="37">
        <f>+AG74/AG69</f>
        <v>0.27002297872325337</v>
      </c>
      <c r="AH78" s="38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</row>
    <row r="79" spans="4:46" s="14" customFormat="1" ht="15" customHeight="1" thickBot="1">
      <c r="D79" s="27" t="str">
        <f>+IF($B$3="esp","Margen EBITDA","EBITDA Margin")</f>
        <v>EBITDA Margin</v>
      </c>
      <c r="E79" s="28"/>
      <c r="F79" s="36">
        <f>+F74/F69</f>
        <v>8.708164373920603E-2</v>
      </c>
      <c r="G79" s="37">
        <f>+G59</f>
        <v>0.17643430822520845</v>
      </c>
      <c r="H79" s="38"/>
      <c r="I79" s="28"/>
      <c r="J79" s="36">
        <f>+J74/J69</f>
        <v>-0.19562010747634345</v>
      </c>
      <c r="K79" s="37">
        <f>+K59</f>
        <v>7.9586578366050043E-2</v>
      </c>
      <c r="L79" s="38"/>
      <c r="O79" s="32" t="str">
        <f>+IF($B$3="esp","Portugal","Portugal")</f>
        <v>Portugal</v>
      </c>
      <c r="P79" s="1"/>
      <c r="Q79" s="23">
        <f>+[1]SANTILLANA!K49</f>
        <v>0.203678</v>
      </c>
      <c r="R79" s="24">
        <f>+[1]SANTILLANA!L49</f>
        <v>-0.23269599999999999</v>
      </c>
      <c r="S79" s="25" t="str">
        <f t="shared" si="18"/>
        <v>---</v>
      </c>
      <c r="T79" s="1"/>
      <c r="U79" s="23">
        <f>+[1]SANTILLANA!O49</f>
        <v>0.403279</v>
      </c>
      <c r="V79" s="24">
        <f>+[1]SANTILLANA!P49</f>
        <v>-0.164989</v>
      </c>
      <c r="W79" s="25" t="str">
        <f t="shared" si="19"/>
        <v>---</v>
      </c>
      <c r="X79" s="57"/>
      <c r="Y79" s="57"/>
      <c r="AB79" s="15"/>
      <c r="AC79" s="16"/>
      <c r="AD79" s="17"/>
      <c r="AF79" s="15"/>
      <c r="AG79" s="16"/>
      <c r="AH79" s="17"/>
      <c r="AI79" s="50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</row>
    <row r="80" spans="4:46" s="14" customFormat="1" ht="15" customHeight="1" thickTop="1">
      <c r="D80" s="14" t="str">
        <f>+IF($B$3="esp","EBIT a tipo constante","EBIT on constant currency")</f>
        <v>EBIT on constant currency</v>
      </c>
      <c r="F80" s="15">
        <f>+[1]GRUPO!K80</f>
        <v>-9.9367680778388987</v>
      </c>
      <c r="G80" s="16">
        <f>+[1]GRUPO!L80</f>
        <v>43.698276956879006</v>
      </c>
      <c r="H80" s="17" t="str">
        <f>IF(G80=0,"---",IF(OR(ABS((F80-G80)/ABS(G80))&gt;2,(F80*G80)&lt;0),"---",IF(G80="0","---",((F80-G80)/ABS(G80))*100)))</f>
        <v>---</v>
      </c>
      <c r="J80" s="15">
        <f>+[1]GRUPO!O80</f>
        <v>-49.147630091856293</v>
      </c>
      <c r="K80" s="16">
        <f>+[1]GRUPO!P80</f>
        <v>-3.1888730039154893</v>
      </c>
      <c r="L80" s="17" t="str">
        <f>IF(K80=0,"---",IF(OR(ABS((J80-K80)/ABS(K80))&gt;2,(J80*K80)&lt;0),"---",IF(K80="0","---",((J80-K80)/ABS(K80))*100)))</f>
        <v>---</v>
      </c>
      <c r="O80" s="22" t="str">
        <f>+IF($B$3="esp","Tecnología Educativa global y Centro Corpor.","Global Educational IT &amp; HQ")</f>
        <v>Global Educational IT &amp; HQ</v>
      </c>
      <c r="P80" s="1"/>
      <c r="Q80" s="23">
        <f>+[1]SANTILLANA!K50</f>
        <v>-10.516577339999996</v>
      </c>
      <c r="R80" s="24">
        <f>+[1]SANTILLANA!L50</f>
        <v>-10.764455379999999</v>
      </c>
      <c r="S80" s="25">
        <f t="shared" si="18"/>
        <v>2.3027457613931173</v>
      </c>
      <c r="T80" s="1"/>
      <c r="U80" s="23">
        <f>+[1]SANTILLANA!O50</f>
        <v>-4.601249829999996</v>
      </c>
      <c r="V80" s="24">
        <f>+[1]SANTILLANA!P50</f>
        <v>-4.5606342900000003</v>
      </c>
      <c r="W80" s="25">
        <f t="shared" si="19"/>
        <v>-0.89056778985880203</v>
      </c>
      <c r="X80" s="57"/>
      <c r="Y80" s="57"/>
      <c r="Z80" s="14" t="str">
        <f>+IF($B$3="esp","EBIT a tipo constante","EBIT on constant currency")</f>
        <v>EBIT on constant currency</v>
      </c>
      <c r="AB80" s="15">
        <f>+[1]RADIO!K48</f>
        <v>-37.674205736209501</v>
      </c>
      <c r="AC80" s="70">
        <f>+[1]RADIO!L48</f>
        <v>19.008089320751001</v>
      </c>
      <c r="AD80" s="34" t="str">
        <f>IF(AC80=0,"---",IF(OR(ABS((AB80-AC80)/ABS(AC80))&gt;2,(AB80*AC80)&lt;0),"---",IF(AC80="0","---",((AB80-AC80)/ABS(AC80))*100)))</f>
        <v>---</v>
      </c>
      <c r="AF80" s="15">
        <f>+[1]RADIO!O48</f>
        <v>-33.254763784389482</v>
      </c>
      <c r="AG80" s="70">
        <f>+[1]RADIO!P48</f>
        <v>15.405782231817811</v>
      </c>
      <c r="AH80" s="34" t="str">
        <f>IF(AG80=0,"---",IF(OR(ABS((AF80-AG80)/ABS(AG80))&gt;2,(AF80*AG80)&lt;0),"---",IF(AG80="0","---",((AF80-AG80)/ABS(AG80))*100)))</f>
        <v>---</v>
      </c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</row>
    <row r="81" spans="4:47">
      <c r="D81" s="22" t="str">
        <f>+IF($B$3="esp","España","Spain")</f>
        <v>Spain</v>
      </c>
      <c r="F81" s="23">
        <f>+[1]GRUPO!K81</f>
        <v>-32.968861172758324</v>
      </c>
      <c r="G81" s="24">
        <f>+[1]GRUPO!L81</f>
        <v>8.1083109489885672</v>
      </c>
      <c r="H81" s="25" t="str">
        <f>IF(G81=0,"---",IF(OR(ABS((F81-G81)/ABS(G81))&gt;2,(F81*G81)&lt;0),"---",IF(G81="0","---",((F81-G81)/ABS(G81))*100)))</f>
        <v>---</v>
      </c>
      <c r="J81" s="23">
        <f>+[1]GRUPO!O81</f>
        <v>-6.2144257236424494</v>
      </c>
      <c r="K81" s="24">
        <f>+[1]GRUPO!P81</f>
        <v>28.355957464753786</v>
      </c>
      <c r="L81" s="25" t="str">
        <f>IF(K81=0,"---",IF(OR(ABS((J81-K81)/ABS(K81))&gt;2,(J81*K81)&lt;0),"---",IF(K81="0","---",((J81-K81)/ABS(K81))*100)))</f>
        <v>---</v>
      </c>
      <c r="O81" s="27" t="str">
        <f>+IF($B$3="esp","Margen EBITDA","EBITDA Margin")</f>
        <v>EBITDA Margin</v>
      </c>
      <c r="P81" s="28"/>
      <c r="Q81" s="36">
        <f>+Q75/Q69</f>
        <v>0.22285416614720224</v>
      </c>
      <c r="R81" s="37">
        <f>+R75/R69</f>
        <v>0.24163053290399175</v>
      </c>
      <c r="S81" s="38"/>
      <c r="T81" s="28"/>
      <c r="U81" s="36">
        <f>+U75/U69</f>
        <v>-0.14024283565003756</v>
      </c>
      <c r="V81" s="37">
        <f>+V75/V69</f>
        <v>-5.0469110715820324E-2</v>
      </c>
      <c r="W81" s="38"/>
      <c r="X81" s="50"/>
      <c r="Y81" s="50"/>
      <c r="Z81" s="22" t="str">
        <f>+IF($B$3="esp","España","Spain")</f>
        <v>Spain</v>
      </c>
      <c r="AB81" s="23">
        <f>+[1]RADIO!K49</f>
        <v>-7.3570408900000199</v>
      </c>
      <c r="AC81" s="24">
        <f>+[1]RADIO!L49</f>
        <v>15.890000290000097</v>
      </c>
      <c r="AD81" s="25" t="str">
        <f>IF(AC81=0,"---",IF(OR(ABS((AB81-AC81)/ABS(AC81))&gt;2,(AB81*AC81)&lt;0),"---",IF(AC81="0","---",((AB81-AC81)/ABS(AC81))*100)))</f>
        <v>---</v>
      </c>
      <c r="AF81" s="23">
        <f>+[1]RADIO!O49</f>
        <v>-5.7114019200000525</v>
      </c>
      <c r="AG81" s="24">
        <f>+[1]RADIO!P49</f>
        <v>12.553592210000108</v>
      </c>
      <c r="AH81" s="25" t="str">
        <f>IF(AG81=0,"---",IF(OR(ABS((AF81-AG81)/ABS(AG81))&gt;2,(AF81*AG81)&lt;0),"---",IF(AG81="0","---",((AF81-AG81)/ABS(AG81))*100)))</f>
        <v>---</v>
      </c>
      <c r="AI81" s="57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</row>
    <row r="82" spans="4:47">
      <c r="D82" s="22" t="str">
        <f>+IF($B$3="esp","Internacional","International")</f>
        <v>International</v>
      </c>
      <c r="F82" s="23">
        <f>+[1]GRUPO!K82</f>
        <v>23.032093094919421</v>
      </c>
      <c r="G82" s="24">
        <f>+[1]GRUPO!L82</f>
        <v>35.589966007890439</v>
      </c>
      <c r="H82" s="25">
        <f>IF(G82=0,"---",IF(OR(ABS((F82-G82)/ABS(G82))&gt;2,(F82*G82)&lt;0),"---",IF(G82="0","---",((F82-G82)/ABS(G82))*100)))</f>
        <v>-35.284869084131429</v>
      </c>
      <c r="J82" s="23">
        <f>+[1]GRUPO!O82</f>
        <v>-42.93320436821385</v>
      </c>
      <c r="K82" s="24">
        <f>+[1]GRUPO!P82</f>
        <v>-31.544830468669275</v>
      </c>
      <c r="L82" s="25">
        <f>IF(K82=0,"---",IF(OR(ABS((J82-K82)/ABS(K82))&gt;2,(J82*K82)&lt;0),"---",IF(K82="0","---",((J82-K82)/ABS(K82))*100)))</f>
        <v>-36.102187681292669</v>
      </c>
      <c r="O82" s="14" t="str">
        <f>+IF($B$3="esp","EBIT a tipo constante","EBIT on constant currency")</f>
        <v>EBIT on constant currency</v>
      </c>
      <c r="P82" s="14"/>
      <c r="Q82" s="15">
        <f>+[1]SANTILLANA!K52</f>
        <v>33.11696189341815</v>
      </c>
      <c r="R82" s="16">
        <f>+[1]SANTILLANA!L52</f>
        <v>34.529992609979999</v>
      </c>
      <c r="S82" s="17">
        <f t="shared" ref="S82:S87" si="20">IF(R82=0,"---",IF(OR(ABS((Q82-R82)/ABS(R82))&gt;2,(Q82*R82)&lt;0),"---",IF(R82="0","---",((Q82-R82)/ABS(R82))*100)))</f>
        <v>-4.092183663408747</v>
      </c>
      <c r="T82" s="14"/>
      <c r="U82" s="15">
        <f>+[1]SANTILLANA!O52</f>
        <v>-20.401553792335683</v>
      </c>
      <c r="V82" s="16">
        <f>+[1]SANTILLANA!P52</f>
        <v>-16.963152060353302</v>
      </c>
      <c r="W82" s="17">
        <f t="shared" ref="W82:W87" si="21">IF(V82=0,"---",IF(OR(ABS((U82-V82)/ABS(V82))&gt;2,(U82*V82)&lt;0),"---",IF(V82="0","---",((U82-V82)/ABS(V82))*100)))</f>
        <v>-20.269827917293146</v>
      </c>
      <c r="X82" s="50"/>
      <c r="Y82" s="50"/>
      <c r="Z82" s="22" t="str">
        <f>+IF($B$3="esp","Latam","Latam")</f>
        <v>Latam</v>
      </c>
      <c r="AB82" s="23">
        <f>+[1]RADIO!K50</f>
        <v>-27.1000393062094</v>
      </c>
      <c r="AC82" s="24">
        <f>+[1]RADIO!L50</f>
        <v>3.22947916075083</v>
      </c>
      <c r="AD82" s="25" t="str">
        <f>IF(AC82=0,"---",IF(OR(ABS((AB82-AC82)/ABS(AC82))&gt;2,(AB82*AC82)&lt;0),"---",IF(AC82="0","---",((AB82-AC82)/ABS(AC82))*100)))</f>
        <v>---</v>
      </c>
      <c r="AF82" s="23">
        <f>+[1]RADIO!O50</f>
        <v>-23.98090285438937</v>
      </c>
      <c r="AG82" s="24">
        <f>+[1]RADIO!P50</f>
        <v>2.9235461118175441</v>
      </c>
      <c r="AH82" s="25" t="str">
        <f>IF(AG82=0,"---",IF(OR(ABS((AF82-AG82)/ABS(AG82))&gt;2,(AF82*AG82)&lt;0),"---",IF(AG82="0","---",((AF82-AG82)/ABS(AG82))*100)))</f>
        <v>---</v>
      </c>
      <c r="AI82" s="57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</row>
    <row r="83" spans="4:47">
      <c r="D83" s="32" t="str">
        <f>+IF($B$3="esp","Latam","Latam")</f>
        <v>Latam</v>
      </c>
      <c r="F83" s="23">
        <f>+[1]GRUPO!K83</f>
        <v>22.884288684919436</v>
      </c>
      <c r="G83" s="24">
        <f>+[1]GRUPO!L83</f>
        <v>35.639126007890447</v>
      </c>
      <c r="H83" s="25">
        <f>IF(G83=0,"---",IF(OR(ABS((F83-G83)/ABS(G83))&gt;2,(F83*G83)&lt;0),"---",IF(G83="0","---",((F83-G83)/ABS(G83))*100)))</f>
        <v>-35.788861152619482</v>
      </c>
      <c r="J83" s="23">
        <f>+[1]GRUPO!O83</f>
        <v>-43.295637458213832</v>
      </c>
      <c r="K83" s="24">
        <f>+[1]GRUPO!P83</f>
        <v>-31.567892468669264</v>
      </c>
      <c r="L83" s="25">
        <f>IF(K83=0,"---",IF(OR(ABS((J83-K83)/ABS(K83))&gt;2,(J83*K83)&lt;0),"---",IF(K83="0","---",((J83-K83)/ABS(K83))*100)))</f>
        <v>-37.150864604547827</v>
      </c>
      <c r="O83" s="22" t="str">
        <f>+IF($B$3="esp","Negocio España","Spain business")</f>
        <v>Spain business</v>
      </c>
      <c r="Q83" s="23">
        <f>+[1]SANTILLANA!K53</f>
        <v>9.2845842855728513</v>
      </c>
      <c r="R83" s="24">
        <f>+[1]SANTILLANA!L53</f>
        <v>11.533579958989074</v>
      </c>
      <c r="S83" s="25">
        <f t="shared" si="20"/>
        <v>-19.499545513302611</v>
      </c>
      <c r="U83" s="23">
        <f>+[1]SANTILLANA!O53</f>
        <v>19.732639424730863</v>
      </c>
      <c r="V83" s="24">
        <f>+[1]SANTILLANA!P53</f>
        <v>21.390843365689427</v>
      </c>
      <c r="W83" s="25">
        <f t="shared" si="21"/>
        <v>-7.7519334446546297</v>
      </c>
      <c r="X83" s="50"/>
      <c r="Y83" s="50"/>
      <c r="Z83" s="22" t="str">
        <f>+IF($B$3="esp","Ajustes y Otros","Adjustments &amp; others")</f>
        <v>Adjustments &amp; others</v>
      </c>
      <c r="AB83" s="23">
        <f>+AB80-AB81-AB82</f>
        <v>-3.2171255400000796</v>
      </c>
      <c r="AC83" s="24">
        <f>+AC80-AC81-AC82</f>
        <v>-0.11139012999992648</v>
      </c>
      <c r="AD83" s="25" t="str">
        <f>IF(AC83=0,"---",IF(OR(ABS((AB83-AC83)/ABS(AC83))&gt;2,(AB83*AC83)&lt;0),"---",IF(AC83="0","---",((AB83-AC83)/ABS(AC83))*100)))</f>
        <v>---</v>
      </c>
      <c r="AF83" s="23">
        <f>+AF80-AF81-AF82</f>
        <v>-3.5624590100000582</v>
      </c>
      <c r="AG83" s="24">
        <f>+AG80-AG81-AG82</f>
        <v>-7.1356089999840666E-2</v>
      </c>
      <c r="AH83" s="25" t="str">
        <f>IF(AG83=0,"---",IF(OR(ABS((AF83-AG83)/ABS(AG83))&gt;2,(AF83*AG83)&lt;0),"---",IF(AG83="0","---",((AF83-AG83)/ABS(AG83))*100)))</f>
        <v>---</v>
      </c>
      <c r="AI83" s="57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</row>
    <row r="84" spans="4:47">
      <c r="D84" s="32" t="str">
        <f>+IF($B$3="esp","Portugal","Portugal")</f>
        <v>Portugal</v>
      </c>
      <c r="F84" s="23">
        <f>+[1]GRUPO!K84</f>
        <v>0.14780440999998701</v>
      </c>
      <c r="G84" s="24">
        <f>+[1]GRUPO!L84</f>
        <v>-4.9159999999999898E-2</v>
      </c>
      <c r="H84" s="25" t="str">
        <f>IF(G84=0,"---",IF(OR(ABS((F84-G84)/ABS(G84))&gt;2,(F84*G84)&lt;0),"---",IF(G84="0","---",((F84-G84)/ABS(G84))*100)))</f>
        <v>---</v>
      </c>
      <c r="J84" s="23">
        <f>+[1]GRUPO!O84</f>
        <v>0.36243308999999002</v>
      </c>
      <c r="K84" s="24">
        <f>+[1]GRUPO!P84</f>
        <v>2.3062000000000096E-2</v>
      </c>
      <c r="L84" s="25" t="str">
        <f>IF(K84=0,"---",IF(OR(ABS((J84-K84)/ABS(K84))&gt;2,(J84*K84)&lt;0),"---",IF(K84="0","---",((J84-K84)/ABS(K84))*100)))</f>
        <v>---</v>
      </c>
      <c r="O84" s="22" t="str">
        <f>+IF($B$3="esp","Negocio Internacional","International business")</f>
        <v>International business</v>
      </c>
      <c r="Q84" s="23">
        <f>+[1]SANTILLANA!K54</f>
        <v>35.814437256176674</v>
      </c>
      <c r="R84" s="24">
        <f>+[1]SANTILLANA!L54</f>
        <v>35.812776940990922</v>
      </c>
      <c r="S84" s="25">
        <f t="shared" si="20"/>
        <v>4.6360973026138112E-3</v>
      </c>
      <c r="U84" s="23">
        <f>+[1]SANTILLANA!O54</f>
        <v>-34.921063218692709</v>
      </c>
      <c r="V84" s="24">
        <f>+[1]SANTILLANA!P54</f>
        <v>-32.766651085107192</v>
      </c>
      <c r="W84" s="25">
        <f t="shared" si="21"/>
        <v>-6.5750147245432755</v>
      </c>
      <c r="Z84" s="45" t="str">
        <f>+IF($B$3="esp","Margen EBIT","EBIT Margin")</f>
        <v>EBIT Margin</v>
      </c>
      <c r="AA84" s="28"/>
      <c r="AB84" s="46">
        <f>+AB80/AB69</f>
        <v>-0.44448343834816201</v>
      </c>
      <c r="AC84" s="47">
        <f>+AC80/AC69</f>
        <v>0.14132396174214193</v>
      </c>
      <c r="AD84" s="48"/>
      <c r="AE84" s="28"/>
      <c r="AF84" s="46">
        <f>+AF80/AF69</f>
        <v>-0.93280084293659937</v>
      </c>
      <c r="AG84" s="47">
        <f>+AG80/AG69</f>
        <v>0.20695777031459825</v>
      </c>
      <c r="AH84" s="48"/>
      <c r="AI84" s="14"/>
    </row>
    <row r="85" spans="4:47">
      <c r="D85" s="53" t="str">
        <f>+IF($B$3="esp","Margen EBIT","EBIT Margin")</f>
        <v>EBIT Margin</v>
      </c>
      <c r="E85" s="28"/>
      <c r="F85" s="54">
        <f>+F80/F69</f>
        <v>-2.3581048767217956E-2</v>
      </c>
      <c r="G85" s="55">
        <f>+G65</f>
        <v>8.9975697891458456E-2</v>
      </c>
      <c r="H85" s="56"/>
      <c r="I85" s="28"/>
      <c r="J85" s="54">
        <f>+J80/J69</f>
        <v>-0.34951270232466314</v>
      </c>
      <c r="K85" s="55">
        <f>+K65</f>
        <v>-1.4996352246299529E-2</v>
      </c>
      <c r="L85" s="56"/>
      <c r="O85" s="32" t="str">
        <f>+IF($B$3="esp","Latam","Latam")</f>
        <v>Latam</v>
      </c>
      <c r="Q85" s="23">
        <f>+[1]SANTILLANA!K55</f>
        <v>35.619046256176674</v>
      </c>
      <c r="R85" s="24">
        <f>+[1]SANTILLANA!L55</f>
        <v>35.861936940990923</v>
      </c>
      <c r="S85" s="25">
        <f t="shared" si="20"/>
        <v>-0.6772938260805984</v>
      </c>
      <c r="U85" s="23">
        <f>+[1]SANTILLANA!O55</f>
        <v>-35.320200218692705</v>
      </c>
      <c r="V85" s="24">
        <f>+[1]SANTILLANA!P55</f>
        <v>-32.789713085107188</v>
      </c>
      <c r="W85" s="25">
        <f t="shared" si="21"/>
        <v>-7.7173201455515112</v>
      </c>
      <c r="Z85" s="71"/>
      <c r="AA85" s="14"/>
      <c r="AB85" s="72"/>
      <c r="AC85" s="73"/>
      <c r="AD85" s="74"/>
      <c r="AE85" s="14"/>
      <c r="AF85" s="72"/>
      <c r="AG85" s="73"/>
      <c r="AH85" s="74"/>
      <c r="AI85" s="14"/>
    </row>
    <row r="86" spans="4:47">
      <c r="O86" s="32" t="str">
        <f>+IF($B$3="esp","Portugal","Portugal")</f>
        <v>Portugal</v>
      </c>
      <c r="Q86" s="23">
        <f>+[1]SANTILLANA!K56</f>
        <v>0.19539099999999998</v>
      </c>
      <c r="R86" s="24">
        <f>+[1]SANTILLANA!L56</f>
        <v>-4.9159999999999995E-2</v>
      </c>
      <c r="S86" s="25" t="str">
        <f t="shared" si="20"/>
        <v>---</v>
      </c>
      <c r="U86" s="23">
        <f>+[1]SANTILLANA!O56</f>
        <v>0.39913699999999996</v>
      </c>
      <c r="V86" s="24">
        <f>+[1]SANTILLANA!P56</f>
        <v>2.3061999999999999E-2</v>
      </c>
      <c r="W86" s="25" t="str">
        <f t="shared" si="21"/>
        <v>---</v>
      </c>
      <c r="AI86" s="14"/>
    </row>
    <row r="87" spans="4:47">
      <c r="O87" s="22" t="str">
        <f>+IF($B$3="esp","Tecnología Educativa global y Centro Corpor.","Global Educational IT &amp; HQ")</f>
        <v>Global Educational IT &amp; HQ</v>
      </c>
      <c r="Q87" s="23">
        <f>+[1]SANTILLANA!K57</f>
        <v>-11.982059648331376</v>
      </c>
      <c r="R87" s="24">
        <f>+[1]SANTILLANA!L57</f>
        <v>-12.816364290000001</v>
      </c>
      <c r="S87" s="25">
        <f t="shared" si="20"/>
        <v>6.5096826431470385</v>
      </c>
      <c r="U87" s="23">
        <f>+[1]SANTILLANA!O57</f>
        <v>-5.2131299983738302</v>
      </c>
      <c r="V87" s="24">
        <f>+[1]SANTILLANA!P57</f>
        <v>-5.5873443409355286</v>
      </c>
      <c r="W87" s="25">
        <f t="shared" si="21"/>
        <v>6.6975349956512806</v>
      </c>
      <c r="AI87" s="14"/>
    </row>
    <row r="88" spans="4:47">
      <c r="O88" s="53" t="str">
        <f>+IF($B$3="esp","Margen EBIT","EBIT Margin")</f>
        <v>EBIT Margin</v>
      </c>
      <c r="P88" s="28"/>
      <c r="Q88" s="54">
        <f>+Q82/Q69</f>
        <v>0.12278410129038288</v>
      </c>
      <c r="R88" s="55">
        <f>+R82/R69</f>
        <v>0.13489356275844747</v>
      </c>
      <c r="S88" s="56"/>
      <c r="T88" s="28"/>
      <c r="U88" s="54">
        <f>+U82/U69</f>
        <v>-0.27109728855284532</v>
      </c>
      <c r="V88" s="55">
        <f>+V82/V69</f>
        <v>-0.19483742561751827</v>
      </c>
      <c r="W88" s="56"/>
      <c r="AI88" s="14"/>
    </row>
    <row r="89" spans="4:47">
      <c r="Z89" s="14"/>
      <c r="AA89" s="14"/>
      <c r="AB89" s="14"/>
      <c r="AC89" s="14"/>
      <c r="AD89" s="14"/>
      <c r="AE89" s="14"/>
      <c r="AF89" s="14"/>
      <c r="AG89" s="14"/>
      <c r="AH89" s="14"/>
      <c r="AI89" s="14"/>
    </row>
    <row r="90" spans="4:47">
      <c r="Z90" s="14"/>
      <c r="AA90" s="14"/>
      <c r="AB90" s="14"/>
      <c r="AC90" s="14"/>
      <c r="AD90" s="14"/>
      <c r="AE90" s="14"/>
      <c r="AF90" s="14"/>
      <c r="AG90" s="14"/>
      <c r="AH90" s="14"/>
      <c r="AI90" s="14"/>
    </row>
    <row r="91" spans="4:47"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</row>
    <row r="92" spans="4:47">
      <c r="Z92" s="14"/>
      <c r="AA92" s="14"/>
      <c r="AB92" s="14"/>
      <c r="AC92" s="14"/>
      <c r="AD92" s="14"/>
      <c r="AE92" s="14"/>
      <c r="AF92" s="14"/>
      <c r="AG92" s="14"/>
      <c r="AH92" s="14"/>
      <c r="AI92" s="14"/>
    </row>
    <row r="94" spans="4:47">
      <c r="F94" s="63"/>
      <c r="G94" s="63"/>
      <c r="J94" s="63"/>
      <c r="K94" s="63"/>
    </row>
    <row r="95" spans="4:47">
      <c r="D95" s="50"/>
      <c r="F95" s="7" t="str">
        <f>+F6</f>
        <v>JANUARY - JUNE</v>
      </c>
      <c r="G95" s="8"/>
      <c r="H95" s="8"/>
      <c r="J95" s="7" t="str">
        <f>+J6</f>
        <v>APRIL - JUNE</v>
      </c>
      <c r="K95" s="8"/>
      <c r="L95" s="8"/>
      <c r="M95" s="14"/>
      <c r="O95" s="49"/>
      <c r="P95" s="50"/>
      <c r="Q95" s="51"/>
      <c r="R95" s="51"/>
      <c r="S95" s="51"/>
      <c r="T95" s="50"/>
      <c r="U95" s="51"/>
      <c r="V95" s="51"/>
      <c r="W95" s="51"/>
      <c r="X95" s="50"/>
      <c r="Y95" s="50"/>
      <c r="Z95" s="49"/>
      <c r="AA95" s="50"/>
      <c r="AB95" s="51"/>
      <c r="AC95" s="51"/>
      <c r="AD95" s="51"/>
      <c r="AE95" s="50"/>
      <c r="AF95" s="51"/>
      <c r="AG95" s="51"/>
      <c r="AH95" s="51"/>
      <c r="AI95" s="50"/>
      <c r="AJ95" s="50"/>
      <c r="AK95" s="49"/>
      <c r="AL95" s="50"/>
      <c r="AM95" s="51"/>
      <c r="AN95" s="51"/>
      <c r="AO95" s="51"/>
      <c r="AP95" s="50"/>
      <c r="AQ95" s="51"/>
      <c r="AR95" s="51"/>
      <c r="AS95" s="51"/>
      <c r="AT95" s="50"/>
      <c r="AU95" s="50"/>
    </row>
    <row r="96" spans="4:47" ht="15.75" customHeight="1">
      <c r="O96" s="52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2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2"/>
      <c r="AL96" s="50"/>
      <c r="AM96" s="50"/>
      <c r="AN96" s="50"/>
      <c r="AO96" s="50"/>
      <c r="AP96" s="50"/>
      <c r="AQ96" s="50"/>
      <c r="AR96" s="50"/>
      <c r="AS96" s="50"/>
      <c r="AT96" s="50"/>
      <c r="AU96" s="50"/>
    </row>
    <row r="97" spans="4:47" s="14" customFormat="1" ht="15" customHeight="1">
      <c r="D97" s="9" t="str">
        <f>+IF($B$3="esp","Millones de €","€ Millions")</f>
        <v>€ Millions</v>
      </c>
      <c r="E97" s="1"/>
      <c r="F97" s="10">
        <v>2020</v>
      </c>
      <c r="G97" s="10">
        <v>2019</v>
      </c>
      <c r="H97" s="10" t="str">
        <f>+IF($B$3="esp","Var.%","% Chg.")</f>
        <v>% Chg.</v>
      </c>
      <c r="I97" s="1"/>
      <c r="J97" s="10">
        <v>2020</v>
      </c>
      <c r="K97" s="10">
        <v>2019</v>
      </c>
      <c r="L97" s="10" t="str">
        <f>+IF($B$3="esp","Var.%","% Chg.")</f>
        <v>% Chg.</v>
      </c>
      <c r="M97" s="1"/>
      <c r="O97" s="57"/>
      <c r="P97" s="57"/>
      <c r="Q97" s="58"/>
      <c r="R97" s="58"/>
      <c r="S97" s="59"/>
      <c r="T97" s="57"/>
      <c r="U97" s="58"/>
      <c r="V97" s="58"/>
      <c r="W97" s="59"/>
      <c r="X97" s="57"/>
      <c r="Y97" s="57"/>
      <c r="Z97" s="57"/>
      <c r="AA97" s="57"/>
      <c r="AB97" s="58"/>
      <c r="AC97" s="58"/>
      <c r="AD97" s="59"/>
      <c r="AE97" s="57"/>
      <c r="AF97" s="58"/>
      <c r="AG97" s="58"/>
      <c r="AH97" s="59"/>
      <c r="AI97" s="57"/>
      <c r="AJ97" s="57"/>
      <c r="AK97" s="57"/>
      <c r="AL97" s="57"/>
      <c r="AM97" s="58"/>
      <c r="AN97" s="58"/>
      <c r="AO97" s="59"/>
      <c r="AP97" s="57"/>
      <c r="AQ97" s="58"/>
      <c r="AR97" s="58"/>
      <c r="AS97" s="59"/>
      <c r="AT97" s="57"/>
      <c r="AU97" s="57"/>
    </row>
    <row r="98" spans="4:47" ht="15" customHeight="1">
      <c r="D98" s="11" t="str">
        <f>+IF($B$3="esp","Efecto Sentencia Mediapro","Mediapro sentence")</f>
        <v>Mediapro sentence</v>
      </c>
      <c r="F98" s="13"/>
      <c r="G98" s="13"/>
      <c r="H98" s="13"/>
      <c r="J98" s="13"/>
      <c r="K98" s="13"/>
      <c r="L98" s="13"/>
      <c r="O98" s="60"/>
      <c r="P98" s="50"/>
      <c r="Q98" s="61"/>
      <c r="R98" s="61"/>
      <c r="S98" s="62"/>
      <c r="T98" s="50"/>
      <c r="U98" s="61"/>
      <c r="V98" s="61"/>
      <c r="W98" s="62"/>
      <c r="X98" s="50"/>
      <c r="Y98" s="50"/>
      <c r="Z98" s="60"/>
      <c r="AA98" s="50"/>
      <c r="AB98" s="61"/>
      <c r="AC98" s="61"/>
      <c r="AD98" s="62"/>
      <c r="AE98" s="50"/>
      <c r="AF98" s="61"/>
      <c r="AG98" s="61"/>
      <c r="AH98" s="62"/>
      <c r="AI98" s="50"/>
      <c r="AJ98" s="50"/>
      <c r="AK98" s="60"/>
      <c r="AL98" s="50"/>
      <c r="AM98" s="61"/>
      <c r="AN98" s="61"/>
      <c r="AO98" s="62"/>
      <c r="AP98" s="50"/>
      <c r="AQ98" s="61"/>
      <c r="AR98" s="61"/>
      <c r="AS98" s="62"/>
      <c r="AT98" s="50"/>
      <c r="AU98" s="50"/>
    </row>
    <row r="99" spans="4:47" ht="15" customHeight="1">
      <c r="D99" s="14" t="str">
        <f>+IF($B$3="esp","Efecto en Gastos","Effect in Expenses")</f>
        <v>Effect in Expenses</v>
      </c>
      <c r="E99" s="14"/>
      <c r="F99" s="15">
        <f>SUM(F100:F107)</f>
        <v>0</v>
      </c>
      <c r="G99" s="16">
        <f>SUM(G100:G107)</f>
        <v>51.035825500000001</v>
      </c>
      <c r="H99" s="17">
        <f>IF(G99=0,"---",IF(OR(ABS((F99-G99)/ABS(G99))&gt;2,(F99*G99)&lt;0),"---",IF(G99="0","---",((F99-G99)/ABS(G99))*100)))</f>
        <v>-100</v>
      </c>
      <c r="I99" s="14"/>
      <c r="J99" s="15">
        <f>SUM(J100:J107)</f>
        <v>0</v>
      </c>
      <c r="K99" s="16">
        <f>SUM(K100:K107)</f>
        <v>0</v>
      </c>
      <c r="L99" s="17" t="str">
        <f>IF(K99=0,"---",IF(OR(ABS((J99-K99)/ABS(K99))&gt;2,(J99*K99)&lt;0),"---",IF(K99="0","---",((J99-K99)/ABS(K99))*100)))</f>
        <v>---</v>
      </c>
      <c r="O99" s="60"/>
      <c r="P99" s="50"/>
      <c r="Q99" s="61"/>
      <c r="R99" s="61"/>
      <c r="S99" s="62"/>
      <c r="T99" s="50"/>
      <c r="U99" s="61"/>
      <c r="V99" s="61"/>
      <c r="W99" s="62"/>
      <c r="X99" s="50"/>
      <c r="Y99" s="50"/>
      <c r="Z99" s="60"/>
      <c r="AA99" s="50"/>
      <c r="AB99" s="61"/>
      <c r="AC99" s="61"/>
      <c r="AD99" s="62"/>
      <c r="AE99" s="50"/>
      <c r="AF99" s="61"/>
      <c r="AG99" s="61"/>
      <c r="AH99" s="62"/>
      <c r="AI99" s="50"/>
      <c r="AJ99" s="50"/>
      <c r="AK99" s="60"/>
      <c r="AL99" s="50"/>
      <c r="AM99" s="61"/>
      <c r="AN99" s="61"/>
      <c r="AO99" s="62"/>
      <c r="AP99" s="50"/>
      <c r="AQ99" s="61"/>
      <c r="AR99" s="61"/>
      <c r="AS99" s="62"/>
      <c r="AT99" s="50"/>
      <c r="AU99" s="50"/>
    </row>
    <row r="100" spans="4:47" ht="15" customHeight="1">
      <c r="D100" s="22" t="str">
        <f>+IF($A$1="esp","Sentencia Mediapro","Mediapro Rulling")</f>
        <v>Mediapro Rulling</v>
      </c>
      <c r="F100" s="23"/>
      <c r="G100" s="24">
        <f>+[1]GRUPO!L101</f>
        <v>51.035825500000001</v>
      </c>
      <c r="H100" s="25">
        <f>IF(G100=0,"---",IF(OR(ABS((F100-G100)/ABS(G100))&gt;2,(F100*G100)&lt;0),"---",IF(G100="0","---",((F100-G100)/ABS(G100))*100)))</f>
        <v>-100</v>
      </c>
      <c r="J100" s="23"/>
      <c r="K100" s="24">
        <f>+[1]GRUPO!P101</f>
        <v>0</v>
      </c>
      <c r="L100" s="25" t="str">
        <f>IF(K100=0,"---",IF(OR(ABS((J100-K100)/ABS(K100))&gt;2,(J100*K100)&lt;0),"---",IF(K100="0","---",((J100-K100)/ABS(K100))*100)))</f>
        <v>---</v>
      </c>
      <c r="O100" s="60"/>
      <c r="P100" s="50"/>
      <c r="Q100" s="61"/>
      <c r="R100" s="61"/>
      <c r="S100" s="62"/>
      <c r="T100" s="50"/>
      <c r="U100" s="61"/>
      <c r="V100" s="61"/>
      <c r="W100" s="62"/>
      <c r="X100" s="50"/>
      <c r="Y100" s="50"/>
      <c r="Z100" s="60"/>
      <c r="AA100" s="50"/>
      <c r="AB100" s="61"/>
      <c r="AC100" s="61"/>
      <c r="AD100" s="62"/>
      <c r="AE100" s="50"/>
      <c r="AF100" s="61"/>
      <c r="AG100" s="61"/>
      <c r="AH100" s="62"/>
      <c r="AI100" s="50"/>
      <c r="AJ100" s="50"/>
      <c r="AK100" s="60"/>
      <c r="AL100" s="50"/>
      <c r="AM100" s="61"/>
      <c r="AN100" s="61"/>
      <c r="AO100" s="62"/>
      <c r="AP100" s="50"/>
      <c r="AQ100" s="61"/>
      <c r="AR100" s="61"/>
      <c r="AS100" s="62"/>
      <c r="AT100" s="50"/>
      <c r="AU100" s="50"/>
    </row>
    <row r="101" spans="4:47" ht="15" customHeight="1">
      <c r="D101" s="22"/>
      <c r="F101" s="24"/>
      <c r="G101" s="24"/>
      <c r="H101" s="25"/>
      <c r="J101" s="24"/>
      <c r="K101" s="24"/>
      <c r="L101" s="25"/>
      <c r="O101" s="57"/>
      <c r="P101" s="50"/>
      <c r="Q101" s="58"/>
      <c r="R101" s="58"/>
      <c r="S101" s="59"/>
      <c r="T101" s="50"/>
      <c r="U101" s="58"/>
      <c r="V101" s="58"/>
      <c r="W101" s="59"/>
      <c r="X101" s="50"/>
      <c r="Y101" s="50"/>
      <c r="Z101" s="57"/>
      <c r="AA101" s="50"/>
      <c r="AB101" s="58"/>
      <c r="AC101" s="58"/>
      <c r="AD101" s="59"/>
      <c r="AE101" s="50"/>
      <c r="AF101" s="58"/>
      <c r="AG101" s="58"/>
      <c r="AH101" s="59"/>
      <c r="AI101" s="50"/>
      <c r="AJ101" s="50"/>
      <c r="AK101" s="57"/>
      <c r="AL101" s="50"/>
      <c r="AM101" s="58"/>
      <c r="AN101" s="58"/>
      <c r="AO101" s="59"/>
      <c r="AP101" s="50"/>
      <c r="AQ101" s="58"/>
      <c r="AR101" s="58"/>
      <c r="AS101" s="59"/>
      <c r="AT101" s="50"/>
      <c r="AU101" s="50"/>
    </row>
    <row r="102" spans="4:47" ht="15" customHeight="1">
      <c r="D102" s="22"/>
      <c r="F102" s="24"/>
      <c r="G102" s="24"/>
      <c r="H102" s="25"/>
      <c r="J102" s="24"/>
      <c r="K102" s="24"/>
      <c r="L102" s="25"/>
      <c r="O102" s="60"/>
      <c r="P102" s="50"/>
      <c r="Q102" s="61"/>
      <c r="R102" s="61"/>
      <c r="S102" s="62"/>
      <c r="T102" s="50"/>
      <c r="U102" s="61"/>
      <c r="V102" s="61"/>
      <c r="W102" s="62"/>
      <c r="X102" s="57"/>
      <c r="Y102" s="50"/>
      <c r="Z102" s="60"/>
      <c r="AA102" s="50"/>
      <c r="AB102" s="61"/>
      <c r="AC102" s="61"/>
      <c r="AD102" s="62"/>
      <c r="AE102" s="50"/>
      <c r="AF102" s="61"/>
      <c r="AG102" s="61"/>
      <c r="AH102" s="62"/>
      <c r="AI102" s="50"/>
      <c r="AJ102" s="50"/>
      <c r="AK102" s="60"/>
      <c r="AL102" s="50"/>
      <c r="AM102" s="61"/>
      <c r="AN102" s="61"/>
      <c r="AO102" s="62"/>
      <c r="AP102" s="50"/>
      <c r="AQ102" s="61"/>
      <c r="AR102" s="61"/>
      <c r="AS102" s="62"/>
      <c r="AT102" s="50"/>
      <c r="AU102" s="50"/>
    </row>
    <row r="103" spans="4:47" ht="15" customHeight="1">
      <c r="O103" s="60"/>
      <c r="P103" s="50"/>
      <c r="Q103" s="61"/>
      <c r="R103" s="61"/>
      <c r="S103" s="62"/>
      <c r="T103" s="50"/>
      <c r="U103" s="61"/>
      <c r="V103" s="61"/>
      <c r="W103" s="62"/>
      <c r="X103" s="57"/>
      <c r="Y103" s="50"/>
      <c r="Z103" s="60"/>
      <c r="AA103" s="50"/>
      <c r="AB103" s="61"/>
      <c r="AC103" s="61"/>
      <c r="AD103" s="62"/>
      <c r="AE103" s="50"/>
      <c r="AF103" s="61"/>
      <c r="AG103" s="61"/>
      <c r="AH103" s="62"/>
      <c r="AI103" s="50"/>
      <c r="AJ103" s="50"/>
      <c r="AK103" s="60"/>
      <c r="AL103" s="50"/>
      <c r="AM103" s="61"/>
      <c r="AN103" s="61"/>
      <c r="AO103" s="62"/>
      <c r="AP103" s="50"/>
      <c r="AQ103" s="61"/>
      <c r="AR103" s="61"/>
      <c r="AS103" s="62"/>
      <c r="AT103" s="50"/>
      <c r="AU103" s="50"/>
    </row>
    <row r="104" spans="4:47" ht="15" customHeight="1">
      <c r="O104" s="57"/>
      <c r="P104" s="50"/>
      <c r="Q104" s="58"/>
      <c r="R104" s="58"/>
      <c r="S104" s="59"/>
      <c r="T104" s="50"/>
      <c r="U104" s="58"/>
      <c r="V104" s="58"/>
      <c r="W104" s="59"/>
      <c r="X104" s="57"/>
      <c r="Y104" s="50"/>
      <c r="Z104" s="57"/>
      <c r="AA104" s="50"/>
      <c r="AB104" s="58"/>
      <c r="AC104" s="58"/>
      <c r="AD104" s="59"/>
      <c r="AE104" s="50"/>
      <c r="AF104" s="58"/>
      <c r="AG104" s="58"/>
      <c r="AH104" s="59"/>
      <c r="AI104" s="50"/>
      <c r="AJ104" s="50"/>
      <c r="AK104" s="57"/>
      <c r="AL104" s="50"/>
      <c r="AM104" s="58"/>
      <c r="AN104" s="58"/>
      <c r="AO104" s="59"/>
      <c r="AP104" s="50"/>
      <c r="AQ104" s="58"/>
      <c r="AR104" s="58"/>
      <c r="AS104" s="59"/>
      <c r="AT104" s="50"/>
      <c r="AU104" s="50"/>
    </row>
    <row r="105" spans="4:47" ht="15" customHeight="1">
      <c r="D105" s="22"/>
      <c r="F105" s="24"/>
      <c r="G105" s="24"/>
      <c r="H105" s="25"/>
      <c r="J105" s="24"/>
      <c r="K105" s="24"/>
      <c r="L105" s="25"/>
    </row>
    <row r="106" spans="4:47" ht="15" customHeight="1">
      <c r="D106" s="22"/>
      <c r="F106" s="24"/>
      <c r="G106" s="24"/>
      <c r="H106" s="25"/>
      <c r="J106" s="24"/>
      <c r="K106" s="24"/>
      <c r="L106" s="25"/>
    </row>
    <row r="107" spans="4:47" ht="15" customHeight="1"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  <c r="AD107" s="75"/>
      <c r="AE107" s="75"/>
      <c r="AF107" s="75"/>
      <c r="AG107" s="75"/>
      <c r="AH107" s="75"/>
      <c r="AI107" s="75"/>
      <c r="AJ107" s="75"/>
      <c r="AK107" s="75"/>
      <c r="AL107" s="75"/>
      <c r="AM107" s="75"/>
      <c r="AN107" s="75"/>
      <c r="AO107" s="75"/>
      <c r="AP107" s="75"/>
      <c r="AQ107" s="75"/>
      <c r="AR107" s="75"/>
      <c r="AS107" s="75"/>
      <c r="AT107" s="75"/>
      <c r="AU107" s="75"/>
    </row>
    <row r="108" spans="4:47" ht="15" customHeight="1"/>
    <row r="109" spans="4:47" ht="15" customHeight="1">
      <c r="F109" s="7" t="str">
        <f>+F95</f>
        <v>JANUARY - JUNE</v>
      </c>
      <c r="G109" s="8"/>
      <c r="H109" s="8"/>
      <c r="J109" s="7" t="str">
        <f>+J95</f>
        <v>APRIL - JUNE</v>
      </c>
      <c r="K109" s="8"/>
      <c r="L109" s="8"/>
      <c r="Q109" s="7" t="str">
        <f>+Q6</f>
        <v>JANUARY - JUNE</v>
      </c>
      <c r="R109" s="8"/>
      <c r="S109" s="8"/>
      <c r="U109" s="7" t="str">
        <f>+U6</f>
        <v>APRIL - JUNE</v>
      </c>
      <c r="V109" s="8"/>
      <c r="W109" s="8"/>
    </row>
    <row r="110" spans="4:47" ht="4.5" customHeight="1"/>
    <row r="111" spans="4:47" ht="15" customHeight="1">
      <c r="D111" s="9" t="str">
        <f>+IF($B$3="esp","Millones de €","€ Millions")</f>
        <v>€ Millions</v>
      </c>
      <c r="F111" s="10">
        <v>2020</v>
      </c>
      <c r="G111" s="10">
        <v>2019</v>
      </c>
      <c r="H111" s="10" t="str">
        <f>+IF($B$3="esp","Var.%","% Chg.")</f>
        <v>% Chg.</v>
      </c>
      <c r="J111" s="10">
        <v>2020</v>
      </c>
      <c r="K111" s="10">
        <v>2019</v>
      </c>
      <c r="L111" s="10" t="str">
        <f>+IF($B$3="esp","Var.%","% Chg.")</f>
        <v>% Chg.</v>
      </c>
      <c r="O111" s="9" t="str">
        <f>+IF($B$3="esp","Millones de €","€ Millions")</f>
        <v>€ Millions</v>
      </c>
      <c r="Q111" s="10">
        <v>2020</v>
      </c>
      <c r="R111" s="10">
        <v>2019</v>
      </c>
      <c r="S111" s="10" t="str">
        <f>+IF($B$3="esp","Var.%","% Chg.")</f>
        <v>% Chg.</v>
      </c>
      <c r="U111" s="10">
        <v>2020</v>
      </c>
      <c r="V111" s="10">
        <v>2019</v>
      </c>
      <c r="W111" s="10" t="str">
        <f>+IF($B$3="esp","Var.%","% Chg.")</f>
        <v>% Chg.</v>
      </c>
    </row>
    <row r="112" spans="4:47" ht="15" customHeight="1">
      <c r="D112" s="11" t="str">
        <f>+IF($B$3="esp","Ingresos de Explotación","Operating Revenues")</f>
        <v>Operating Revenues</v>
      </c>
      <c r="F112" s="13"/>
      <c r="G112" s="13"/>
      <c r="H112" s="13"/>
      <c r="J112" s="13"/>
      <c r="K112" s="13"/>
      <c r="L112" s="13"/>
      <c r="O112" s="11" t="str">
        <f>+IF($B$3="esp","Ingresos de Explotación","Operating Revenues")</f>
        <v>Operating Revenues</v>
      </c>
      <c r="Q112" s="13"/>
      <c r="R112" s="13"/>
      <c r="S112" s="13"/>
      <c r="U112" s="13"/>
      <c r="V112" s="13"/>
      <c r="W112" s="13"/>
    </row>
    <row r="113" spans="4:23" ht="15" customHeight="1">
      <c r="D113" s="14" t="str">
        <f>+IF($B$3="esp","GRUPO","GROUP")</f>
        <v>GROUP</v>
      </c>
      <c r="E113" s="14"/>
      <c r="F113" s="15">
        <f>+[1]GRUPO!K121</f>
        <v>392.79505977231901</v>
      </c>
      <c r="G113" s="16">
        <f>+[1]GRUPO!L121</f>
        <v>485.66755224943199</v>
      </c>
      <c r="H113" s="17">
        <f>IF(G113=0,"---",IF(OR(ABS((F113-G113)/ABS(G113))&gt;2,(F113*G113)&lt;0),"---",IF(G113="0","---",((F113-G113)/ABS(G113))*100)))</f>
        <v>-19.122647178499374</v>
      </c>
      <c r="I113" s="14"/>
      <c r="J113" s="15">
        <f>+[1]GRUPO!O121</f>
        <v>130.269078631453</v>
      </c>
      <c r="K113" s="16">
        <f>+[1]GRUPO!P121</f>
        <v>212.64324493993996</v>
      </c>
      <c r="L113" s="17">
        <f>IF(K113=0,"---",IF(OR(ABS((J113-K113)/ABS(K113))&gt;2,(J113*K113)&lt;0),"---",IF(K113="0","---",((J113-K113)/ABS(K113))*100)))</f>
        <v>-38.738200374882894</v>
      </c>
      <c r="O113" s="14" t="str">
        <f>+IF($B$3="esp","Total Santillana","Total Santillana")</f>
        <v>Total Santillana</v>
      </c>
      <c r="P113" s="14"/>
      <c r="Q113" s="15">
        <f>+[1]SANTILLANA!K69</f>
        <v>244.54487357987901</v>
      </c>
      <c r="R113" s="16">
        <f>+[1]SANTILLANA!L69</f>
        <v>255.97954345540199</v>
      </c>
      <c r="S113" s="17">
        <f>IF(R113=0,"---",IF(OR(ABS((Q113-R113)/ABS(R113))&gt;2,(Q113*R113)&lt;0),"---",IF(R113="0","---",((Q113-R113)/ABS(R113))*100)))</f>
        <v>-4.4670248728352737</v>
      </c>
      <c r="T113" s="14"/>
      <c r="U113" s="15">
        <f>+[1]SANTILLANA!O69</f>
        <v>66.557535276668006</v>
      </c>
      <c r="V113" s="16">
        <f>+[1]SANTILLANA!P69</f>
        <v>87.063109187520013</v>
      </c>
      <c r="W113" s="17">
        <f>IF(V113=0,"---",IF(OR(ABS((U113-V113)/ABS(V113))&gt;2,(U113*V113)&lt;0),"---",IF(V113="0","---",((U113-V113)/ABS(V113))*100)))</f>
        <v>-23.552540337936108</v>
      </c>
    </row>
    <row r="114" spans="4:23" s="14" customFormat="1" ht="15" customHeight="1">
      <c r="D114" s="22" t="str">
        <f>+IF($B$3="esp","Educación","Education")</f>
        <v>Education</v>
      </c>
      <c r="E114" s="1"/>
      <c r="F114" s="23">
        <f>+[1]GRUPO!K122</f>
        <v>244.54487357987901</v>
      </c>
      <c r="G114" s="24">
        <f>+[1]GRUPO!L122</f>
        <v>255.97954345540199</v>
      </c>
      <c r="H114" s="25">
        <f>IF(G114=0,"---",IF(OR(ABS((F114-G114)/ABS(G114))&gt;2,(F114*G114)&lt;0),"---",IF(G114="0","---",((F114-G114)/ABS(G114))*100)))</f>
        <v>-4.4670248728352737</v>
      </c>
      <c r="I114" s="1"/>
      <c r="J114" s="23">
        <f>+[1]GRUPO!O122</f>
        <v>66.557535276668006</v>
      </c>
      <c r="K114" s="24">
        <f>+[1]GRUPO!P122</f>
        <v>87.063109187520013</v>
      </c>
      <c r="L114" s="25">
        <f>IF(K114=0,"---",IF(OR(ABS((J114-K114)/ABS(K114))&gt;2,(J114*K114)&lt;0),"---",IF(K114="0","---",((J114-K114)/ABS(K114))*100)))</f>
        <v>-23.552540337936108</v>
      </c>
      <c r="O114" s="22" t="str">
        <f>+IF($B$3="esp","Campaña Sur","South Campaign")</f>
        <v>South Campaign</v>
      </c>
      <c r="P114" s="1"/>
      <c r="Q114" s="23">
        <f>+[1]SANTILLANA!K70</f>
        <v>164.35141803660682</v>
      </c>
      <c r="R114" s="24">
        <f>+[1]SANTILLANA!L70</f>
        <v>161.25721221196437</v>
      </c>
      <c r="S114" s="25">
        <f>IF(R114=0,"---",IF(OR(ABS((Q114-R114)/ABS(R114))&gt;2,(Q114*R114)&lt;0),"---",IF(R114="0","---",((Q114-R114)/ABS(R114))*100)))</f>
        <v>1.9188015110761487</v>
      </c>
      <c r="T114" s="1"/>
      <c r="U114" s="23">
        <f>+[1]SANTILLANA!O70</f>
        <v>2.271717166392591</v>
      </c>
      <c r="V114" s="24">
        <f>+[1]SANTILLANA!P70</f>
        <v>11.642797227389138</v>
      </c>
      <c r="W114" s="25">
        <f>IF(V114=0,"---",IF(OR(ABS((U114-V114)/ABS(V114))&gt;2,(U114*V114)&lt;0),"---",IF(V114="0","---",((U114-V114)/ABS(V114))*100)))</f>
        <v>-80.488218406411121</v>
      </c>
    </row>
    <row r="115" spans="4:23" ht="15" customHeight="1">
      <c r="D115" s="22" t="str">
        <f>+IF($B$3="esp","Radio","Radio")</f>
        <v>Radio</v>
      </c>
      <c r="F115" s="23">
        <f>+[1]GRUPO!K123</f>
        <v>81.409019257958107</v>
      </c>
      <c r="G115" s="24">
        <f>+[1]GRUPO!L123</f>
        <v>134.50011651550599</v>
      </c>
      <c r="H115" s="25">
        <f>IF(G115=0,"---",IF(OR(ABS((F115-G115)/ABS(G115))&gt;2,(F115*G115)&lt;0),"---",IF(G115="0","---",((F115-G115)/ABS(G115))*100)))</f>
        <v>-39.47290056914354</v>
      </c>
      <c r="J115" s="23">
        <f>+[1]GRUPO!O123</f>
        <v>34.054356911139003</v>
      </c>
      <c r="K115" s="24">
        <f>+[1]GRUPO!P123</f>
        <v>74.439254966843492</v>
      </c>
      <c r="L115" s="25">
        <f>IF(K115=0,"---",IF(OR(ABS((J115-K115)/ABS(K115))&gt;2,(J115*K115)&lt;0),"---",IF(K115="0","---",((J115-K115)/ABS(K115))*100)))</f>
        <v>-54.252152407614254</v>
      </c>
      <c r="O115" s="32" t="str">
        <f>+IF($B$3="esp","Brasil","Brazil")</f>
        <v>Brazil</v>
      </c>
      <c r="Q115" s="23">
        <f>+[1]SANTILLANA!K71</f>
        <v>70.382420751823318</v>
      </c>
      <c r="R115" s="24">
        <f>+[1]SANTILLANA!L71</f>
        <v>55.718396143957989</v>
      </c>
      <c r="S115" s="25">
        <f t="shared" ref="S115:S121" si="22">IF(R115=0,"---",IF(OR(ABS((Q115-R115)/ABS(R115))&gt;2,(Q115*R115)&lt;0),"---",IF(R115="0","---",((Q115-R115)/ABS(R115))*100)))</f>
        <v>26.318102498819812</v>
      </c>
      <c r="U115" s="23">
        <f>+[1]SANTILLANA!O71</f>
        <v>1.9864129207102224</v>
      </c>
      <c r="V115" s="24">
        <f>+[1]SANTILLANA!P71</f>
        <v>6.9586604830678667</v>
      </c>
      <c r="W115" s="25">
        <f t="shared" ref="W115:W121" si="23">IF(V115=0,"---",IF(OR(ABS((U115-V115)/ABS(V115))&gt;2,(U115*V115)&lt;0),"---",IF(V115="0","---",((U115-V115)/ABS(V115))*100)))</f>
        <v>-71.454090545965656</v>
      </c>
    </row>
    <row r="116" spans="4:23" ht="15" customHeight="1">
      <c r="D116" s="22" t="str">
        <f>+IF($B$3="esp","Prensa Total - incluye PBS y Tecnología","Press Total - includes PBS&amp;IT")</f>
        <v>Press Total - includes PBS&amp;IT</v>
      </c>
      <c r="F116" s="23">
        <f>+[1]GRUPO!K124</f>
        <v>75.57989474642801</v>
      </c>
      <c r="G116" s="24">
        <f>+[1]GRUPO!L124</f>
        <v>104.53132133614</v>
      </c>
      <c r="H116" s="25">
        <f>IF(G116=0,"---",IF(OR(ABS((F116-G116)/ABS(G116))&gt;2,(F116*G116)&lt;0),"---",IF(G116="0","---",((F116-G116)/ABS(G116))*100)))</f>
        <v>-27.696413112978131</v>
      </c>
      <c r="J116" s="23">
        <f>+[1]GRUPO!O124</f>
        <v>33.884859971802214</v>
      </c>
      <c r="K116" s="24">
        <f>+[1]GRUPO!P124</f>
        <v>55.473781448534794</v>
      </c>
      <c r="L116" s="25">
        <f>IF(K116=0,"---",IF(OR(ABS((J116-K116)/ABS(K116))&gt;2,(J116*K116)&lt;0),"---",IF(K116="0","---",((J116-K116)/ABS(K116))*100)))</f>
        <v>-38.917342414743203</v>
      </c>
      <c r="O116" s="32" t="str">
        <f>+IF($B$3="esp","Otros países","Other countries")</f>
        <v>Other countries</v>
      </c>
      <c r="Q116" s="23">
        <f>+[1]SANTILLANA!K72</f>
        <v>93.968997284783498</v>
      </c>
      <c r="R116" s="24">
        <f>+[1]SANTILLANA!L72</f>
        <v>105.53881606800638</v>
      </c>
      <c r="S116" s="25">
        <f t="shared" si="22"/>
        <v>-10.962619455355274</v>
      </c>
      <c r="U116" s="23">
        <f>+[1]SANTILLANA!O72</f>
        <v>0.28530424568236867</v>
      </c>
      <c r="V116" s="24">
        <f>+[1]SANTILLANA!P72</f>
        <v>4.6841367443212789</v>
      </c>
      <c r="W116" s="25">
        <f t="shared" si="23"/>
        <v>-93.909139266093121</v>
      </c>
    </row>
    <row r="117" spans="4:23" s="14" customFormat="1" ht="15" customHeight="1">
      <c r="D117" s="22" t="str">
        <f>+IF($B$3="esp","Otros","Others")</f>
        <v>Others</v>
      </c>
      <c r="E117" s="1"/>
      <c r="F117" s="23">
        <f>+[1]GRUPO!K125</f>
        <v>-8.73872781194612</v>
      </c>
      <c r="G117" s="24">
        <f>+[1]GRUPO!L125</f>
        <v>-9.3434290576159924</v>
      </c>
      <c r="H117" s="25">
        <f>IF(G117=0,"---",IF(OR(ABS((F117-G117)/ABS(G117))&gt;2,(F117*G117)&lt;0),"---",IF(G117="0","---",((F117-G117)/ABS(G117))*100)))</f>
        <v>6.4719413177003773</v>
      </c>
      <c r="I117" s="1"/>
      <c r="J117" s="23">
        <f>+[1]GRUPO!O125</f>
        <v>-4.2276735281562239</v>
      </c>
      <c r="K117" s="24">
        <f>+[1]GRUPO!P125</f>
        <v>-4.3329006629583375</v>
      </c>
      <c r="L117" s="25">
        <f>IF(K117=0,"---",IF(OR(ABS((J117-K117)/ABS(K117))&gt;2,(J117*K117)&lt;0),"---",IF(K117="0","---",((J117-K117)/ABS(K117))*100)))</f>
        <v>2.4285609799849097</v>
      </c>
      <c r="M117" s="1"/>
      <c r="O117" s="22" t="str">
        <f>+IF($B$3="esp","Campaña Norte","North Campaign")</f>
        <v>North Campaign</v>
      </c>
      <c r="P117" s="1"/>
      <c r="Q117" s="23">
        <f>+[1]SANTILLANA!K73</f>
        <v>79.440428852424432</v>
      </c>
      <c r="R117" s="24">
        <f>+[1]SANTILLANA!L73</f>
        <v>93.482507720145833</v>
      </c>
      <c r="S117" s="25">
        <f t="shared" si="22"/>
        <v>-15.021076359823923</v>
      </c>
      <c r="T117" s="1"/>
      <c r="U117" s="23">
        <f>+[1]SANTILLANA!O73</f>
        <v>63.811304836457317</v>
      </c>
      <c r="V117" s="24">
        <f>+[1]SANTILLANA!P73</f>
        <v>74.410440017039861</v>
      </c>
      <c r="W117" s="25">
        <f t="shared" si="23"/>
        <v>-14.244150657025223</v>
      </c>
    </row>
    <row r="118" spans="4:23" ht="15" customHeight="1">
      <c r="D118" s="22"/>
      <c r="F118" s="24"/>
      <c r="G118" s="24"/>
      <c r="H118" s="25"/>
      <c r="J118" s="24"/>
      <c r="K118" s="24"/>
      <c r="L118" s="25"/>
      <c r="O118" s="32" t="str">
        <f>+IF($B$3="esp","España","Spain")</f>
        <v>Spain</v>
      </c>
      <c r="Q118" s="23">
        <f>+[1]SANTILLANA!K74</f>
        <v>39.744683209999998</v>
      </c>
      <c r="R118" s="24">
        <f>+[1]SANTILLANA!L74</f>
        <v>45.362771290000005</v>
      </c>
      <c r="S118" s="25">
        <f t="shared" si="22"/>
        <v>-12.384799076943711</v>
      </c>
      <c r="U118" s="23">
        <f>+[1]SANTILLANA!O74</f>
        <v>38.340233739999995</v>
      </c>
      <c r="V118" s="24">
        <f>+[1]SANTILLANA!P74</f>
        <v>43.130839530000003</v>
      </c>
      <c r="W118" s="25">
        <f t="shared" si="23"/>
        <v>-11.107147095219103</v>
      </c>
    </row>
    <row r="119" spans="4:23" ht="15" customHeight="1">
      <c r="F119" s="7" t="str">
        <f>+F109</f>
        <v>JANUARY - JUNE</v>
      </c>
      <c r="G119" s="8"/>
      <c r="H119" s="8"/>
      <c r="J119" s="7" t="str">
        <f>+J109</f>
        <v>APRIL - JUNE</v>
      </c>
      <c r="K119" s="8"/>
      <c r="L119" s="8"/>
      <c r="O119" s="32" t="str">
        <f>+IF($B$3="esp","México","Mexico")</f>
        <v>Mexico</v>
      </c>
      <c r="Q119" s="23">
        <f>+[1]SANTILLANA!K75</f>
        <v>29.639263555150198</v>
      </c>
      <c r="R119" s="24">
        <f>+[1]SANTILLANA!L75</f>
        <v>31.472617996692748</v>
      </c>
      <c r="S119" s="25">
        <f t="shared" si="22"/>
        <v>-5.8252365333421112</v>
      </c>
      <c r="U119" s="23">
        <f>+[1]SANTILLANA!O75</f>
        <v>22.193023701932685</v>
      </c>
      <c r="V119" s="24">
        <f>+[1]SANTILLANA!P75</f>
        <v>24.44790211814874</v>
      </c>
      <c r="W119" s="25">
        <f t="shared" si="23"/>
        <v>-9.2231979877821946</v>
      </c>
    </row>
    <row r="120" spans="4:23" ht="15" customHeight="1">
      <c r="M120" s="14"/>
      <c r="O120" s="32" t="str">
        <f>+IF($B$3="esp","Otros países","Other countries")</f>
        <v>Other countries</v>
      </c>
      <c r="Q120" s="23">
        <f>+[1]SANTILLANA!K76</f>
        <v>10.056482087274237</v>
      </c>
      <c r="R120" s="24">
        <f>+[1]SANTILLANA!L76</f>
        <v>16.64711843345308</v>
      </c>
      <c r="S120" s="25">
        <f t="shared" si="22"/>
        <v>-39.590253247280835</v>
      </c>
      <c r="U120" s="23">
        <f>+[1]SANTILLANA!O76</f>
        <v>3.2780473945246369</v>
      </c>
      <c r="V120" s="24">
        <f>+[1]SANTILLANA!P76</f>
        <v>6.8316983688911179</v>
      </c>
      <c r="W120" s="25">
        <f t="shared" si="23"/>
        <v>-52.017094176001933</v>
      </c>
    </row>
    <row r="121" spans="4:23" s="14" customFormat="1" ht="17.25" customHeight="1">
      <c r="D121" s="9" t="str">
        <f>+IF($B$3="esp","Millones de €","€ Millions")</f>
        <v>€ Millions</v>
      </c>
      <c r="E121" s="1"/>
      <c r="F121" s="10">
        <v>2020</v>
      </c>
      <c r="G121" s="10">
        <v>2019</v>
      </c>
      <c r="H121" s="10" t="str">
        <f>+IF($B$3="esp","Var.%","% Chg.")</f>
        <v>% Chg.</v>
      </c>
      <c r="I121" s="1"/>
      <c r="J121" s="10">
        <v>2020</v>
      </c>
      <c r="K121" s="10">
        <v>2019</v>
      </c>
      <c r="L121" s="10" t="str">
        <f>+IF($B$3="esp","Var.%","% Chg.")</f>
        <v>% Chg.</v>
      </c>
      <c r="M121" s="1"/>
      <c r="O121" s="22" t="str">
        <f>+IF($B$3="esp","Tecnología Educativa global y Centro Corpor.","Global Educational IT &amp; HQ")</f>
        <v>Global Educational IT &amp; HQ</v>
      </c>
      <c r="P121" s="1"/>
      <c r="Q121" s="23">
        <f>+[1]SANTILLANA!K77</f>
        <v>0.75673232000000035</v>
      </c>
      <c r="R121" s="24">
        <f>+[1]SANTILLANA!L77</f>
        <v>1.2382559700000002</v>
      </c>
      <c r="S121" s="25">
        <f t="shared" si="22"/>
        <v>-38.887246390582696</v>
      </c>
      <c r="T121" s="1"/>
      <c r="U121" s="23">
        <f>+[1]SANTILLANA!O77</f>
        <v>0.47439252000000026</v>
      </c>
      <c r="V121" s="24">
        <f>+[1]SANTILLANA!P77</f>
        <v>1.0093750800000003</v>
      </c>
      <c r="W121" s="25">
        <f t="shared" si="23"/>
        <v>-53.001363972647297</v>
      </c>
    </row>
    <row r="122" spans="4:23" ht="15" customHeight="1">
      <c r="D122" s="11" t="str">
        <f>+IF($B$3="esp","EBITDA Comparable","Comparable EBITDA")</f>
        <v>Comparable EBITDA</v>
      </c>
      <c r="F122" s="13"/>
      <c r="G122" s="13"/>
      <c r="H122" s="13"/>
      <c r="J122" s="13"/>
      <c r="K122" s="13"/>
      <c r="L122" s="13"/>
      <c r="O122" s="22"/>
      <c r="Q122" s="24"/>
      <c r="R122" s="24"/>
      <c r="S122" s="25"/>
      <c r="U122" s="24"/>
      <c r="V122" s="24"/>
      <c r="W122" s="25"/>
    </row>
    <row r="123" spans="4:23" ht="15" customHeight="1">
      <c r="D123" s="14" t="str">
        <f>+IF($B$3="esp","GRUPO","GROUP")</f>
        <v>GROUP</v>
      </c>
      <c r="E123" s="14"/>
      <c r="F123" s="15">
        <f>+[1]GRUPO!K133</f>
        <v>32.104885696314398</v>
      </c>
      <c r="G123" s="16">
        <f>+[1]GRUPO!L133</f>
        <v>85.688418608558806</v>
      </c>
      <c r="H123" s="17">
        <f>IF(G123=0,"---",IF(OR(ABS((F123-G123)/ABS(G123))&gt;2,(F123*G123)&lt;0),"---",IF(G123="0","---",((F123-G123)/ABS(G123))*100)))</f>
        <v>-62.53299311897014</v>
      </c>
      <c r="I123" s="14"/>
      <c r="J123" s="15">
        <f>+[1]GRUPO!O133</f>
        <v>-23.718227405994305</v>
      </c>
      <c r="K123" s="16">
        <f>+[1]GRUPO!P133</f>
        <v>16.923548277423706</v>
      </c>
      <c r="L123" s="17" t="str">
        <f>IF(K123=0,"---",IF(OR(ABS((J123-K123)/ABS(K123))&gt;2,(J123*K123)&lt;0),"---",IF(K123="0","---",((J123-K123)/ABS(K123))*100)))</f>
        <v>---</v>
      </c>
      <c r="Q123" s="7" t="str">
        <f>+Q109</f>
        <v>JANUARY - JUNE</v>
      </c>
      <c r="R123" s="8"/>
      <c r="S123" s="8"/>
      <c r="U123" s="7" t="str">
        <f>+U109</f>
        <v>APRIL - JUNE</v>
      </c>
      <c r="V123" s="8"/>
      <c r="W123" s="8"/>
    </row>
    <row r="124" spans="4:23" ht="15" customHeight="1">
      <c r="D124" s="22" t="str">
        <f>+IF($B$3="esp","Educación","Education")</f>
        <v>Education</v>
      </c>
      <c r="F124" s="23">
        <f>+[1]GRUPO!K134</f>
        <v>54.545219317422003</v>
      </c>
      <c r="G124" s="24">
        <f>+[1]GRUPO!L134</f>
        <v>61.852473497649299</v>
      </c>
      <c r="H124" s="25">
        <f>IF(G124=0,"---",IF(OR(ABS((F124-G124)/ABS(G124))&gt;2,(F124*G124)&lt;0),"---",IF(G124="0","---",((F124-G124)/ABS(G124))*100)))</f>
        <v>-11.814004787545009</v>
      </c>
      <c r="J124" s="23">
        <f>+[1]GRUPO!O134</f>
        <v>-7.615787707659301</v>
      </c>
      <c r="K124" s="24">
        <f>+[1]GRUPO!P134</f>
        <v>-4.3939976968485013</v>
      </c>
      <c r="L124" s="25">
        <f>IF(K124=0,"---",IF(OR(ABS((J124-K124)/ABS(K124))&gt;2,(J124*K124)&lt;0),"---",IF(K124="0","---",((J124-K124)/ABS(K124))*100)))</f>
        <v>-73.322523885744374</v>
      </c>
      <c r="M124" s="14"/>
    </row>
    <row r="125" spans="4:23" ht="15" customHeight="1">
      <c r="D125" s="22" t="str">
        <f>+IF($B$3="esp","Radio","Radio")</f>
        <v>Radio</v>
      </c>
      <c r="F125" s="23">
        <f>+[1]GRUPO!K135</f>
        <v>-5.1827484440265996</v>
      </c>
      <c r="G125" s="24">
        <f>+[1]GRUPO!L135</f>
        <v>28.1451873792942</v>
      </c>
      <c r="H125" s="25" t="str">
        <f>IF(G125=0,"---",IF(OR(ABS((F125-G125)/ABS(G125))&gt;2,(F125*G125)&lt;0),"---",IF(G125="0","---",((F125-G125)/ABS(G125))*100)))</f>
        <v>---</v>
      </c>
      <c r="J125" s="23">
        <f>+[1]GRUPO!O135</f>
        <v>-5.8551121749896584</v>
      </c>
      <c r="K125" s="24">
        <f>+[1]GRUPO!P135</f>
        <v>20.100309360086811</v>
      </c>
      <c r="L125" s="25" t="str">
        <f>IF(K125=0,"---",IF(OR(ABS((J125-K125)/ABS(K125))&gt;2,(J125*K125)&lt;0),"---",IF(K125="0","---",((J125-K125)/ABS(K125))*100)))</f>
        <v>---</v>
      </c>
      <c r="O125" s="9"/>
      <c r="Q125" s="10">
        <v>2020</v>
      </c>
      <c r="R125" s="10">
        <v>2019</v>
      </c>
      <c r="S125" s="10" t="str">
        <f>+IF($B$3="esp","Var.%","% Chg.")</f>
        <v>% Chg.</v>
      </c>
      <c r="U125" s="10">
        <v>2020</v>
      </c>
      <c r="V125" s="10">
        <v>2019</v>
      </c>
      <c r="W125" s="10" t="str">
        <f>+IF($B$3="esp","Var.%","% Chg.")</f>
        <v>% Chg.</v>
      </c>
    </row>
    <row r="126" spans="4:23" ht="15" customHeight="1">
      <c r="D126" s="22" t="str">
        <f>+IF($B$3="esp","Prensa Total - incluye PBS y Tecnología","Press Total - includes PBS&amp;IT")</f>
        <v>Press Total - includes PBS&amp;IT</v>
      </c>
      <c r="F126" s="23">
        <f>+[1]GRUPO!K136</f>
        <v>-13.6390595670807</v>
      </c>
      <c r="G126" s="24">
        <f>+[1]GRUPO!L136</f>
        <v>1.64478109274442</v>
      </c>
      <c r="H126" s="25" t="str">
        <f>IF(G126=0,"---",IF(OR(ABS((F126-G126)/ABS(G126))&gt;2,(F126*G126)&lt;0),"---",IF(G126="0","---",((F126-G126)/ABS(G126))*100)))</f>
        <v>---</v>
      </c>
      <c r="J126" s="23">
        <f>+[1]GRUPO!O136</f>
        <v>-7.67202581334538</v>
      </c>
      <c r="K126" s="24">
        <f>+[1]GRUPO!P136</f>
        <v>4.7164915282073903</v>
      </c>
      <c r="L126" s="25" t="str">
        <f>IF(K126=0,"---",IF(OR(ABS((J126-K126)/ABS(K126))&gt;2,(J126*K126)&lt;0),"---",IF(K126="0","---",((J126-K126)/ABS(K126))*100)))</f>
        <v>---</v>
      </c>
      <c r="O126" s="11" t="str">
        <f>+IF($B$3="esp","Ingresos de Explotación a tipo constante","Operating Revenues at constant currency")</f>
        <v>Operating Revenues at constant currency</v>
      </c>
      <c r="Q126" s="13"/>
      <c r="R126" s="13"/>
      <c r="S126" s="13"/>
      <c r="U126" s="13"/>
      <c r="V126" s="13"/>
      <c r="W126" s="13"/>
    </row>
    <row r="127" spans="4:23" ht="15" customHeight="1">
      <c r="D127" s="22" t="str">
        <f>+IF($B$3="esp","Otros","Others")</f>
        <v>Others</v>
      </c>
      <c r="F127" s="23">
        <f>+[1]GRUPO!K137</f>
        <v>-3.6185256100003045</v>
      </c>
      <c r="G127" s="24">
        <f>+[1]GRUPO!L137</f>
        <v>-5.9540233611291136</v>
      </c>
      <c r="H127" s="25">
        <f>IF(G127=0,"---",IF(OR(ABS((F127-G127)/ABS(G127))&gt;2,(F127*G127)&lt;0),"---",IF(G127="0","---",((F127-G127)/ABS(G127))*100)))</f>
        <v>39.225538925092636</v>
      </c>
      <c r="J127" s="23">
        <f>+[1]GRUPO!O137</f>
        <v>-2.5753017099999651</v>
      </c>
      <c r="K127" s="24">
        <f>+[1]GRUPO!P137</f>
        <v>-3.4992549140219928</v>
      </c>
      <c r="L127" s="25">
        <f>IF(K127=0,"---",IF(OR(ABS((J127-K127)/ABS(K127))&gt;2,(J127*K127)&lt;0),"---",IF(K127="0","---",((J127-K127)/ABS(K127))*100)))</f>
        <v>26.404283961126151</v>
      </c>
      <c r="O127" s="14" t="str">
        <f>+IF($B$3="esp","Total Santillana","Total Santillana")</f>
        <v>Total Santillana</v>
      </c>
      <c r="P127" s="14"/>
      <c r="Q127" s="15">
        <f>+[1]SANTILLANA!K83</f>
        <v>269.71701991853934</v>
      </c>
      <c r="R127" s="16">
        <f>+[1]SANTILLANA!L83</f>
        <v>255.97954345540199</v>
      </c>
      <c r="S127" s="17">
        <f>IF(R127=0,"---",IF(OR(ABS((Q127-R127)/ABS(R127))&gt;2,(Q127*R127)&lt;0),"---",IF(R127="0","---",((Q127-R127)/ABS(R127))*100)))</f>
        <v>5.3666305821546052</v>
      </c>
      <c r="T127" s="14"/>
      <c r="U127" s="15">
        <f>+[1]SANTILLANA!O83</f>
        <v>75.255469729121927</v>
      </c>
      <c r="V127" s="16">
        <f>+[1]SANTILLANA!P83</f>
        <v>87.063109187520013</v>
      </c>
      <c r="W127" s="17">
        <f>IF(V127=0,"---",IF(OR(ABS((U127-V127)/ABS(V127))&gt;2,(U127*V127)&lt;0),"---",IF(V127="0","---",((U127-V127)/ABS(V127))*100)))</f>
        <v>-13.562161481008356</v>
      </c>
    </row>
    <row r="128" spans="4:23" s="14" customFormat="1" ht="15" customHeight="1">
      <c r="M128" s="1"/>
      <c r="O128" s="22" t="str">
        <f>+IF($B$3="esp","Campaña Sur","South Campaign")</f>
        <v>South Campaign</v>
      </c>
      <c r="P128" s="1"/>
      <c r="Q128" s="23">
        <f>+[1]SANTILLANA!K84</f>
        <v>185.79895470599357</v>
      </c>
      <c r="R128" s="24">
        <f>+[1]SANTILLANA!L84</f>
        <v>161.25721221196437</v>
      </c>
      <c r="S128" s="25">
        <f>IF(R128=0,"---",IF(OR(ABS((Q128-R128)/ABS(R128))&gt;2,(Q128*R128)&lt;0),"---",IF(R128="0","---",((Q128-R128)/ABS(R128))*100)))</f>
        <v>15.219004568781907</v>
      </c>
      <c r="T128" s="1"/>
      <c r="U128" s="23">
        <f>+[1]SANTILLANA!O84</f>
        <v>7.1231748163600344</v>
      </c>
      <c r="V128" s="24">
        <f>+[1]SANTILLANA!P84</f>
        <v>11.642797227389138</v>
      </c>
      <c r="W128" s="25">
        <f>IF(V128=0,"---",IF(OR(ABS((U128-V128)/ABS(V128))&gt;2,(U128*V128)&lt;0),"---",IF(V128="0","---",((U128-V128)/ABS(V128))*100)))</f>
        <v>-38.81904256132627</v>
      </c>
    </row>
    <row r="129" spans="13:23" ht="15" customHeight="1">
      <c r="O129" s="32" t="str">
        <f>+IF($B$3="esp","Brasil","Brazil")</f>
        <v>Brazil</v>
      </c>
      <c r="Q129" s="23">
        <f>+[1]SANTILLANA!K85</f>
        <v>77.670452435357902</v>
      </c>
      <c r="R129" s="24">
        <f>+[1]SANTILLANA!L85</f>
        <v>55.718396143957989</v>
      </c>
      <c r="S129" s="25">
        <f t="shared" ref="S129:S135" si="24">IF(R129=0,"---",IF(OR(ABS((Q129-R129)/ABS(R129))&gt;2,(Q129*R129)&lt;0),"---",IF(R129="0","---",((Q129-R129)/ABS(R129))*100)))</f>
        <v>39.398219996647114</v>
      </c>
      <c r="U129" s="23">
        <f>+[1]SANTILLANA!O85</f>
        <v>2.5156919194236025</v>
      </c>
      <c r="V129" s="24">
        <f>+[1]SANTILLANA!P85</f>
        <v>6.9586604830678667</v>
      </c>
      <c r="W129" s="25">
        <f t="shared" ref="W129:W135" si="25">IF(V129=0,"---",IF(OR(ABS((U129-V129)/ABS(V129))&gt;2,(U129*V129)&lt;0),"---",IF(V129="0","---",((U129-V129)/ABS(V129))*100)))</f>
        <v>-63.848043376381128</v>
      </c>
    </row>
    <row r="130" spans="13:23" s="14" customFormat="1" ht="15" customHeight="1">
      <c r="M130" s="1"/>
      <c r="O130" s="32" t="str">
        <f>+IF($B$3="esp","Otros países","Other countries")</f>
        <v>Other countries</v>
      </c>
      <c r="P130" s="1"/>
      <c r="Q130" s="23">
        <f>+[1]SANTILLANA!K86</f>
        <v>108.12850227063566</v>
      </c>
      <c r="R130" s="24">
        <f>+[1]SANTILLANA!L86</f>
        <v>105.53881606800638</v>
      </c>
      <c r="S130" s="25">
        <f t="shared" si="24"/>
        <v>2.4537760599479879</v>
      </c>
      <c r="T130" s="1"/>
      <c r="U130" s="23">
        <f>+[1]SANTILLANA!O86</f>
        <v>4.6074828969364319</v>
      </c>
      <c r="V130" s="24">
        <f>+[1]SANTILLANA!P86</f>
        <v>4.6841367443212789</v>
      </c>
      <c r="W130" s="25">
        <f t="shared" si="25"/>
        <v>-1.6364562259583226</v>
      </c>
    </row>
    <row r="131" spans="13:23" ht="15" customHeight="1">
      <c r="O131" s="22" t="str">
        <f>+IF($B$3="esp","Campaña Norte","North Campaign")</f>
        <v>North Campaign</v>
      </c>
      <c r="Q131" s="23">
        <f>+[1]SANTILLANA!K87</f>
        <v>83.165038521697994</v>
      </c>
      <c r="R131" s="24">
        <f>+[1]SANTILLANA!L87</f>
        <v>93.482507720145833</v>
      </c>
      <c r="S131" s="25">
        <f t="shared" si="24"/>
        <v>-11.036791213747451</v>
      </c>
      <c r="U131" s="23">
        <f>+[1]SANTILLANA!O87</f>
        <v>67.657781638943817</v>
      </c>
      <c r="V131" s="24">
        <f>+[1]SANTILLANA!P87</f>
        <v>74.410440017039861</v>
      </c>
      <c r="W131" s="25">
        <f t="shared" si="25"/>
        <v>-9.0748803212959057</v>
      </c>
    </row>
    <row r="132" spans="13:23" ht="15" customHeight="1">
      <c r="O132" s="32" t="str">
        <f>+IF($B$3="esp","España","Spain")</f>
        <v>Spain</v>
      </c>
      <c r="Q132" s="23">
        <f>+[1]SANTILLANA!K88</f>
        <v>39.744683209999998</v>
      </c>
      <c r="R132" s="24">
        <f>+[1]SANTILLANA!L88</f>
        <v>45.362771290000005</v>
      </c>
      <c r="S132" s="25">
        <f t="shared" si="24"/>
        <v>-12.384799076943711</v>
      </c>
      <c r="U132" s="23">
        <f>+[1]SANTILLANA!O88</f>
        <v>38.340233739999995</v>
      </c>
      <c r="V132" s="24">
        <f>+[1]SANTILLANA!P88</f>
        <v>43.130839530000003</v>
      </c>
      <c r="W132" s="25">
        <f t="shared" si="25"/>
        <v>-11.107147095219103</v>
      </c>
    </row>
    <row r="133" spans="13:23" ht="15" customHeight="1">
      <c r="O133" s="32" t="str">
        <f>+IF($B$3="esp","México","Mexico")</f>
        <v>Mexico</v>
      </c>
      <c r="Q133" s="23">
        <f>+[1]SANTILLANA!K89</f>
        <v>33.551385003070301</v>
      </c>
      <c r="R133" s="24">
        <f>+[1]SANTILLANA!L89</f>
        <v>31.472617996692748</v>
      </c>
      <c r="S133" s="25">
        <f t="shared" si="24"/>
        <v>6.6050018673247894</v>
      </c>
      <c r="U133" s="23">
        <f>+[1]SANTILLANA!O89</f>
        <v>26.06125010915029</v>
      </c>
      <c r="V133" s="24">
        <f>+[1]SANTILLANA!P89</f>
        <v>24.44790211814874</v>
      </c>
      <c r="W133" s="25">
        <f t="shared" si="25"/>
        <v>6.5991265148427276</v>
      </c>
    </row>
    <row r="134" spans="13:23" s="14" customFormat="1" ht="15" customHeight="1">
      <c r="O134" s="32" t="str">
        <f>+IF($B$3="esp","Otros países","Other countries")</f>
        <v>Other countries</v>
      </c>
      <c r="P134" s="1"/>
      <c r="Q134" s="23">
        <f>+[1]SANTILLANA!K90</f>
        <v>9.868970308627695</v>
      </c>
      <c r="R134" s="24">
        <f>+[1]SANTILLANA!L90</f>
        <v>16.64711843345308</v>
      </c>
      <c r="S134" s="25">
        <f t="shared" si="24"/>
        <v>-40.716645057347662</v>
      </c>
      <c r="T134" s="1"/>
      <c r="U134" s="23">
        <f>+[1]SANTILLANA!O90</f>
        <v>3.2562977897935266</v>
      </c>
      <c r="V134" s="24">
        <f>+[1]SANTILLANA!P90</f>
        <v>6.8316983688911179</v>
      </c>
      <c r="W134" s="25">
        <f t="shared" si="25"/>
        <v>-52.335457247037823</v>
      </c>
    </row>
    <row r="135" spans="13:23" ht="15" customHeight="1">
      <c r="O135" s="22" t="str">
        <f>+IF($B$3="esp","Tecnología Educativa global y Centro Corpor.","Global Educational IT &amp; HQ")</f>
        <v>Global Educational IT &amp; HQ</v>
      </c>
      <c r="Q135" s="23">
        <f>+[1]SANTILLANA!K91</f>
        <v>0.75673232000000035</v>
      </c>
      <c r="R135" s="24">
        <f>+[1]SANTILLANA!L91</f>
        <v>1.2382559700000002</v>
      </c>
      <c r="S135" s="25">
        <f t="shared" si="24"/>
        <v>-38.887246390582696</v>
      </c>
      <c r="U135" s="23">
        <f>+[1]SANTILLANA!O91</f>
        <v>0.47439252000000026</v>
      </c>
      <c r="V135" s="24">
        <f>+[1]SANTILLANA!P91</f>
        <v>1.0093750800000003</v>
      </c>
      <c r="W135" s="25">
        <f t="shared" si="25"/>
        <v>-53.001363972647297</v>
      </c>
    </row>
    <row r="136" spans="13:23" ht="15" customHeight="1">
      <c r="O136" s="22"/>
      <c r="Q136" s="24"/>
      <c r="R136" s="24"/>
      <c r="S136" s="25"/>
      <c r="U136" s="24"/>
      <c r="V136" s="24"/>
      <c r="W136" s="25"/>
    </row>
    <row r="137" spans="13:23" ht="15" customHeight="1">
      <c r="Q137" s="76"/>
      <c r="U137" s="76"/>
    </row>
    <row r="138" spans="13:23" ht="15" customHeight="1">
      <c r="Q138" s="76"/>
      <c r="U138" s="76"/>
    </row>
    <row r="139" spans="13:23" ht="15" customHeight="1">
      <c r="Q139" s="76"/>
      <c r="U139" s="76"/>
    </row>
    <row r="140" spans="13:23" ht="15" customHeight="1">
      <c r="Q140" s="7" t="str">
        <f>+Q123</f>
        <v>JANUARY - JUNE</v>
      </c>
      <c r="R140" s="8"/>
      <c r="S140" s="8"/>
      <c r="U140" s="7" t="str">
        <f>+U123</f>
        <v>APRIL - JUNE</v>
      </c>
      <c r="V140" s="8"/>
      <c r="W140" s="8"/>
    </row>
    <row r="141" spans="13:23" ht="15" customHeight="1"/>
    <row r="142" spans="13:23" ht="15" customHeight="1">
      <c r="O142" s="9"/>
      <c r="Q142" s="10">
        <v>2020</v>
      </c>
      <c r="R142" s="10">
        <v>2019</v>
      </c>
      <c r="S142" s="10" t="str">
        <f>+IF($B$3="esp","Var.%","% Chg.")</f>
        <v>% Chg.</v>
      </c>
      <c r="U142" s="10">
        <v>2020</v>
      </c>
      <c r="V142" s="10">
        <v>2019</v>
      </c>
      <c r="W142" s="10" t="str">
        <f>+IF($B$3="esp","Var.%","% Chg.")</f>
        <v>% Chg.</v>
      </c>
    </row>
    <row r="143" spans="13:23" ht="15" customHeight="1">
      <c r="O143" s="11" t="str">
        <f>+IF($B$3="esp","EBITDA ","EBITDA")</f>
        <v>EBITDA</v>
      </c>
      <c r="Q143" s="13"/>
      <c r="R143" s="13"/>
      <c r="S143" s="13"/>
      <c r="U143" s="13"/>
      <c r="V143" s="13"/>
      <c r="W143" s="13"/>
    </row>
    <row r="144" spans="13:23" ht="15" customHeight="1">
      <c r="O144" s="14" t="str">
        <f>+IF($B$3="esp","Total Santillana","Total Santillana")</f>
        <v>Total Santillana</v>
      </c>
      <c r="P144" s="14"/>
      <c r="Q144" s="15">
        <f>+[1]SANTILLANA!K100</f>
        <v>54.545219317422003</v>
      </c>
      <c r="R144" s="16">
        <f>+[1]SANTILLANA!L100</f>
        <v>61.852473497649299</v>
      </c>
      <c r="S144" s="17">
        <f>IF(R144=0,"---",IF(OR(ABS((Q144-R144)/ABS(R144))&gt;2,(Q144*R144)&lt;0),"---",IF(R144="0","---",((Q144-R144)/ABS(R144))*100)))</f>
        <v>-11.814004787545009</v>
      </c>
      <c r="T144" s="14"/>
      <c r="U144" s="15">
        <f>+[1]SANTILLANA!O100</f>
        <v>-7.615787707659301</v>
      </c>
      <c r="V144" s="16">
        <f>+[1]SANTILLANA!P100</f>
        <v>-4.3939976968485013</v>
      </c>
      <c r="W144" s="17">
        <f>IF(V144=0,"---",IF(OR(ABS((U144-V144)/ABS(V144))&gt;2,(U144*V144)&lt;0),"---",IF(V144="0","---",((U144-V144)/ABS(V144))*100)))</f>
        <v>-73.322523885744374</v>
      </c>
    </row>
    <row r="145" spans="15:23" ht="15" customHeight="1">
      <c r="O145" s="22" t="str">
        <f>+IF($B$3="esp","Campaña Sur","South Campaign")</f>
        <v>South Campaign</v>
      </c>
      <c r="Q145" s="23">
        <f>+[1]SANTILLANA!K101</f>
        <v>51.876468762941563</v>
      </c>
      <c r="R145" s="24">
        <f>+[1]SANTILLANA!L101</f>
        <v>47.331052581909148</v>
      </c>
      <c r="S145" s="25">
        <f>IF(R145=0,"---",IF(OR(ABS((Q145-R145)/ABS(R145))&gt;2,(Q145*R145)&lt;0),"---",IF(R145="0","---",((Q145-R145)/ABS(R145))*100)))</f>
        <v>9.603454673158403</v>
      </c>
      <c r="U145" s="23">
        <f>+[1]SANTILLANA!O101</f>
        <v>-34.387809696913727</v>
      </c>
      <c r="V145" s="24">
        <f>+[1]SANTILLANA!P101</f>
        <v>-36.136514443560358</v>
      </c>
      <c r="W145" s="25">
        <f>IF(V145=0,"---",IF(OR(ABS((U145-V145)/ABS(V145))&gt;2,(U145*V145)&lt;0),"---",IF(V145="0","---",((U145-V145)/ABS(V145))*100)))</f>
        <v>4.8391627515095212</v>
      </c>
    </row>
    <row r="146" spans="15:23" ht="15" customHeight="1">
      <c r="O146" s="32" t="str">
        <f>+IF($B$3="esp","Brasil","Brazil")</f>
        <v>Brazil</v>
      </c>
      <c r="Q146" s="23">
        <f>+[1]SANTILLANA!K102</f>
        <v>20.607563206814213</v>
      </c>
      <c r="R146" s="24">
        <f>+[1]SANTILLANA!L102</f>
        <v>5.8295223565558665</v>
      </c>
      <c r="S146" s="25" t="str">
        <f t="shared" ref="S146:S152" si="26">IF(R146=0,"---",IF(OR(ABS((Q146-R146)/ABS(R146))&gt;2,(Q146*R146)&lt;0),"---",IF(R146="0","---",((Q146-R146)/ABS(R146))*100)))</f>
        <v>---</v>
      </c>
      <c r="U146" s="23">
        <f>+[1]SANTILLANA!O102</f>
        <v>-11.345304085348971</v>
      </c>
      <c r="V146" s="24">
        <f>+[1]SANTILLANA!P102</f>
        <v>-15.891194217273156</v>
      </c>
      <c r="W146" s="25">
        <f t="shared" ref="W146:W152" si="27">IF(V146=0,"---",IF(OR(ABS((U146-V146)/ABS(V146))&gt;2,(U146*V146)&lt;0),"---",IF(V146="0","---",((U146-V146)/ABS(V146))*100)))</f>
        <v>28.606346821832723</v>
      </c>
    </row>
    <row r="147" spans="15:23" ht="15" customHeight="1">
      <c r="O147" s="32" t="str">
        <f>+IF($B$3="esp","Otros países","Other countries")</f>
        <v>Other countries</v>
      </c>
      <c r="Q147" s="23">
        <f>+[1]SANTILLANA!K103</f>
        <v>31.268905556127351</v>
      </c>
      <c r="R147" s="24">
        <f>+[1]SANTILLANA!L103</f>
        <v>41.501530225353278</v>
      </c>
      <c r="S147" s="25">
        <f t="shared" si="26"/>
        <v>-24.656017774917654</v>
      </c>
      <c r="U147" s="23">
        <f>+[1]SANTILLANA!O103</f>
        <v>-23.042505611564756</v>
      </c>
      <c r="V147" s="24">
        <f>+[1]SANTILLANA!P103</f>
        <v>-20.245320226287205</v>
      </c>
      <c r="W147" s="25">
        <f t="shared" si="27"/>
        <v>-13.81645414353877</v>
      </c>
    </row>
    <row r="148" spans="15:23" ht="15" customHeight="1">
      <c r="O148" s="22" t="str">
        <f>+IF($B$3="esp","Campaña Norte","North Campaign")</f>
        <v>North Campaign</v>
      </c>
      <c r="Q148" s="23">
        <f>+[1]SANTILLANA!K104</f>
        <v>15.014000853905968</v>
      </c>
      <c r="R148" s="24">
        <f>+[1]SANTILLANA!L104</f>
        <v>24.999155935225239</v>
      </c>
      <c r="S148" s="25">
        <f t="shared" si="26"/>
        <v>-39.941968869635389</v>
      </c>
      <c r="U148" s="23">
        <f>+[1]SANTILLANA!O104</f>
        <v>28.519370183812153</v>
      </c>
      <c r="V148" s="24">
        <f>+[1]SANTILLANA!P104</f>
        <v>35.632154842779954</v>
      </c>
      <c r="W148" s="25">
        <f t="shared" si="27"/>
        <v>-19.961702261206483</v>
      </c>
    </row>
    <row r="149" spans="15:23" ht="15" customHeight="1">
      <c r="O149" s="32" t="str">
        <f>+IF($B$3="esp","España","Spain")</f>
        <v>Spain</v>
      </c>
      <c r="Q149" s="23">
        <f>+[1]SANTILLANA!K105</f>
        <v>11.326607001474263</v>
      </c>
      <c r="R149" s="24">
        <f>+[1]SANTILLANA!L105</f>
        <v>13.786650929999999</v>
      </c>
      <c r="S149" s="25">
        <f t="shared" si="26"/>
        <v>-17.843665883877829</v>
      </c>
      <c r="U149" s="23">
        <f>+[1]SANTILLANA!O105</f>
        <v>20.692444287474263</v>
      </c>
      <c r="V149" s="24">
        <f>+[1]SANTILLANA!P105</f>
        <v>22.523149309999994</v>
      </c>
      <c r="W149" s="25">
        <f t="shared" si="27"/>
        <v>-8.1281041000466168</v>
      </c>
    </row>
    <row r="150" spans="15:23" ht="15" customHeight="1">
      <c r="O150" s="32" t="str">
        <f>+IF($B$3="esp","México","Mexico")</f>
        <v>Mexico</v>
      </c>
      <c r="Q150" s="23">
        <f>+[1]SANTILLANA!K106</f>
        <v>5.2529361515855602</v>
      </c>
      <c r="R150" s="24">
        <f>+[1]SANTILLANA!L106</f>
        <v>8.0257692003706769</v>
      </c>
      <c r="S150" s="25">
        <f t="shared" si="26"/>
        <v>-34.549125193595785</v>
      </c>
      <c r="U150" s="23">
        <f>+[1]SANTILLANA!O106</f>
        <v>8.9109110206314845</v>
      </c>
      <c r="V150" s="24">
        <f>+[1]SANTILLANA!P106</f>
        <v>12.040476948248678</v>
      </c>
      <c r="W150" s="25">
        <f t="shared" si="27"/>
        <v>-25.992042849036789</v>
      </c>
    </row>
    <row r="151" spans="15:23" ht="15" customHeight="1">
      <c r="O151" s="32" t="str">
        <f>+IF($B$3="esp","Otros países","Other countries")</f>
        <v>Other countries</v>
      </c>
      <c r="Q151" s="23">
        <f>+[1]SANTILLANA!K107</f>
        <v>-1.5655422991538561</v>
      </c>
      <c r="R151" s="24">
        <f>+[1]SANTILLANA!L107</f>
        <v>3.186735804854564</v>
      </c>
      <c r="S151" s="25" t="str">
        <f t="shared" si="26"/>
        <v>---</v>
      </c>
      <c r="U151" s="23">
        <f>+[1]SANTILLANA!O107</f>
        <v>-1.0839851242935934</v>
      </c>
      <c r="V151" s="24">
        <f>+[1]SANTILLANA!P107</f>
        <v>1.0685285845312791</v>
      </c>
      <c r="W151" s="25" t="str">
        <f t="shared" si="27"/>
        <v>---</v>
      </c>
    </row>
    <row r="152" spans="15:23" ht="15" customHeight="1">
      <c r="O152" s="22" t="str">
        <f>+IF($B$3="esp","Tecnología Educativa global y Centro Corpor.","Global Educational IT &amp; HQ")</f>
        <v>Global Educational IT &amp; HQ</v>
      </c>
      <c r="Q152" s="23">
        <f>+[1]SANTILLANA!K108</f>
        <v>-12.345464651171481</v>
      </c>
      <c r="R152" s="24">
        <f>+[1]SANTILLANA!L108</f>
        <v>-10.477455379999999</v>
      </c>
      <c r="S152" s="25">
        <f t="shared" si="26"/>
        <v>-17.82884491913229</v>
      </c>
      <c r="U152" s="23">
        <f>+[1]SANTILLANA!O108</f>
        <v>-1.7479014697149307</v>
      </c>
      <c r="V152" s="24">
        <f>+[1]SANTILLANA!P108</f>
        <v>-3.8921342899999987</v>
      </c>
      <c r="W152" s="25">
        <f t="shared" si="27"/>
        <v>55.091439825039259</v>
      </c>
    </row>
    <row r="153" spans="15:23" ht="15" customHeight="1">
      <c r="O153" s="22"/>
      <c r="Q153" s="24"/>
      <c r="R153" s="24"/>
      <c r="S153" s="25"/>
      <c r="U153" s="24"/>
      <c r="V153" s="24"/>
      <c r="W153" s="25"/>
    </row>
    <row r="154" spans="15:23">
      <c r="Q154" s="7" t="str">
        <f>+Q140</f>
        <v>JANUARY - JUNE</v>
      </c>
      <c r="R154" s="8"/>
      <c r="S154" s="8"/>
      <c r="U154" s="7" t="str">
        <f>+U140</f>
        <v>APRIL - JUNE</v>
      </c>
      <c r="V154" s="8"/>
      <c r="W154" s="8"/>
    </row>
    <row r="156" spans="15:23">
      <c r="O156" s="9"/>
      <c r="Q156" s="10">
        <v>2020</v>
      </c>
      <c r="R156" s="10">
        <v>2019</v>
      </c>
      <c r="S156" s="10" t="str">
        <f>+IF($B$3="esp","Var.%","% Chg.")</f>
        <v>% Chg.</v>
      </c>
      <c r="U156" s="10">
        <v>2020</v>
      </c>
      <c r="V156" s="10">
        <v>2019</v>
      </c>
      <c r="W156" s="10" t="str">
        <f>+IF($B$3="esp","Var.%","% Chg.")</f>
        <v>% Chg.</v>
      </c>
    </row>
    <row r="157" spans="15:23">
      <c r="O157" s="11" t="str">
        <f>+IF($B$3="esp","EBITDA a tipo constante"," EBITDA at constant currency")</f>
        <v xml:space="preserve"> EBITDA at constant currency</v>
      </c>
      <c r="Q157" s="13"/>
      <c r="R157" s="13"/>
      <c r="S157" s="13"/>
      <c r="U157" s="13"/>
      <c r="V157" s="13"/>
      <c r="W157" s="13"/>
    </row>
    <row r="158" spans="15:23">
      <c r="O158" s="14" t="str">
        <f>+IF($B$3="esp","Total Santillana","Total Santillana")</f>
        <v>Total Santillana</v>
      </c>
      <c r="P158" s="14"/>
      <c r="Q158" s="15">
        <f>+[1]SANTILLANA!K114</f>
        <v>60.107561569654422</v>
      </c>
      <c r="R158" s="16">
        <f>+[1]SANTILLANA!L114</f>
        <v>61.852473497649299</v>
      </c>
      <c r="S158" s="17">
        <f>IF(R158=0,"---",IF(OR(ABS((Q158-R158)/ABS(R158))&gt;2,(Q158*R158)&lt;0),"---",IF(R158="0","---",((Q158-R158)/ABS(R158))*100)))</f>
        <v>-2.8210867396615802</v>
      </c>
      <c r="T158" s="14"/>
      <c r="U158" s="15">
        <f>+[1]SANTILLANA!O114</f>
        <v>-10.554040472987623</v>
      </c>
      <c r="V158" s="16">
        <f>+[1]SANTILLANA!P114</f>
        <v>-4.3939976968485013</v>
      </c>
      <c r="W158" s="17">
        <f>IF(V158=0,"---",IF(OR(ABS((U158-V158)/ABS(V158))&gt;2,(U158*V158)&lt;0),"---",IF(V158="0","---",((U158-V158)/ABS(V158))*100)))</f>
        <v>-140.19221677237741</v>
      </c>
    </row>
    <row r="159" spans="15:23">
      <c r="O159" s="22" t="str">
        <f>+IF($B$3="esp","Campaña Sur","South Campaign")</f>
        <v>South Campaign</v>
      </c>
      <c r="Q159" s="23">
        <f>+[1]SANTILLANA!K115</f>
        <v>56.050608648579853</v>
      </c>
      <c r="R159" s="24">
        <f>+[1]SANTILLANA!L115</f>
        <v>47.331052581909148</v>
      </c>
      <c r="S159" s="25">
        <f>IF(R159=0,"---",IF(OR(ABS((Q159-R159)/ABS(R159))&gt;2,(Q159*R159)&lt;0),"---",IF(R159="0","---",((Q159-R159)/ABS(R159))*100)))</f>
        <v>18.422485009351959</v>
      </c>
      <c r="U159" s="23">
        <f>+[1]SANTILLANA!O115</f>
        <v>-38.773135834466672</v>
      </c>
      <c r="V159" s="24">
        <f>+[1]SANTILLANA!P115</f>
        <v>-36.136514443560358</v>
      </c>
      <c r="W159" s="25">
        <f>IF(V159=0,"---",IF(OR(ABS((U159-V159)/ABS(V159))&gt;2,(U159*V159)&lt;0),"---",IF(V159="0","---",((U159-V159)/ABS(V159))*100)))</f>
        <v>-7.2962803178605071</v>
      </c>
    </row>
    <row r="160" spans="15:23">
      <c r="O160" s="32" t="str">
        <f>+IF($B$3="esp","Brasil","Brazil")</f>
        <v>Brazil</v>
      </c>
      <c r="Q160" s="23">
        <f>+[1]SANTILLANA!K116</f>
        <v>20.057002842176065</v>
      </c>
      <c r="R160" s="24">
        <f>+[1]SANTILLANA!L116</f>
        <v>5.8295223565558665</v>
      </c>
      <c r="S160" s="25" t="str">
        <f t="shared" ref="S160:S166" si="28">IF(R160=0,"---",IF(OR(ABS((Q160-R160)/ABS(R160))&gt;2,(Q160*R160)&lt;0),"---",IF(R160="0","---",((Q160-R160)/ABS(R160))*100)))</f>
        <v>---</v>
      </c>
      <c r="U160" s="23">
        <f>+[1]SANTILLANA!O116</f>
        <v>-14.928956495493541</v>
      </c>
      <c r="V160" s="24">
        <f>+[1]SANTILLANA!P116</f>
        <v>-15.891194217273156</v>
      </c>
      <c r="W160" s="25">
        <f t="shared" ref="W160:W166" si="29">IF(V160=0,"---",IF(OR(ABS((U160-V160)/ABS(V160))&gt;2,(U160*V160)&lt;0),"---",IF(V160="0","---",((U160-V160)/ABS(V160))*100)))</f>
        <v>6.0551630583791987</v>
      </c>
    </row>
    <row r="161" spans="15:23">
      <c r="O161" s="32" t="str">
        <f>+IF($B$3="esp","Otros países","Other countries")</f>
        <v>Other countries</v>
      </c>
      <c r="Q161" s="23">
        <f>+[1]SANTILLANA!K117</f>
        <v>35.993605806403792</v>
      </c>
      <c r="R161" s="24">
        <f>+[1]SANTILLANA!L117</f>
        <v>41.501530225353278</v>
      </c>
      <c r="S161" s="25">
        <f t="shared" si="28"/>
        <v>-13.271617670580966</v>
      </c>
      <c r="U161" s="23">
        <f>+[1]SANTILLANA!O117</f>
        <v>-23.844179338973127</v>
      </c>
      <c r="V161" s="24">
        <f>+[1]SANTILLANA!P117</f>
        <v>-20.245320226287205</v>
      </c>
      <c r="W161" s="25">
        <f t="shared" si="29"/>
        <v>-17.77625185702443</v>
      </c>
    </row>
    <row r="162" spans="15:23">
      <c r="O162" s="22" t="str">
        <f>+IF($B$3="esp","Campaña Norte","North Campaign")</f>
        <v>North Campaign</v>
      </c>
      <c r="Q162" s="23">
        <f>+[1]SANTILLANA!K118</f>
        <v>16.402203220500112</v>
      </c>
      <c r="R162" s="24">
        <f>+[1]SANTILLANA!L118</f>
        <v>24.999155935225239</v>
      </c>
      <c r="S162" s="25">
        <f t="shared" si="28"/>
        <v>-34.388971919694015</v>
      </c>
      <c r="U162" s="23">
        <f>+[1]SANTILLANA!O118</f>
        <v>29.966443556036804</v>
      </c>
      <c r="V162" s="24">
        <f>+[1]SANTILLANA!P118</f>
        <v>35.632154842779954</v>
      </c>
      <c r="W162" s="25">
        <f t="shared" si="29"/>
        <v>-15.900557549050889</v>
      </c>
    </row>
    <row r="163" spans="15:23">
      <c r="O163" s="32" t="str">
        <f>+IF($B$3="esp","España","Spain")</f>
        <v>Spain</v>
      </c>
      <c r="Q163" s="23">
        <f>+[1]SANTILLANA!K119</f>
        <v>11.326607001474263</v>
      </c>
      <c r="R163" s="24">
        <f>+[1]SANTILLANA!L119</f>
        <v>13.786650929999999</v>
      </c>
      <c r="S163" s="25">
        <f t="shared" si="28"/>
        <v>-17.843665883877829</v>
      </c>
      <c r="U163" s="23">
        <f>+[1]SANTILLANA!O119</f>
        <v>20.692444287474263</v>
      </c>
      <c r="V163" s="24">
        <f>+[1]SANTILLANA!P119</f>
        <v>22.523149309999994</v>
      </c>
      <c r="W163" s="25">
        <f t="shared" si="29"/>
        <v>-8.1281041000466168</v>
      </c>
    </row>
    <row r="164" spans="15:23">
      <c r="O164" s="32" t="str">
        <f>+IF($B$3="esp","México","Mexico")</f>
        <v>Mexico</v>
      </c>
      <c r="Q164" s="23">
        <f>+[1]SANTILLANA!K120</f>
        <v>6.7001045202484875</v>
      </c>
      <c r="R164" s="24">
        <f>+[1]SANTILLANA!L120</f>
        <v>8.0257692003706769</v>
      </c>
      <c r="S164" s="25">
        <f t="shared" si="28"/>
        <v>-16.517602824424138</v>
      </c>
      <c r="U164" s="23">
        <f>+[1]SANTILLANA!O120</f>
        <v>10.410467281385632</v>
      </c>
      <c r="V164" s="24">
        <f>+[1]SANTILLANA!P120</f>
        <v>12.040476948248678</v>
      </c>
      <c r="W164" s="25">
        <f t="shared" si="29"/>
        <v>-13.537749990046164</v>
      </c>
    </row>
    <row r="165" spans="15:23">
      <c r="O165" s="32" t="str">
        <f>+IF($B$3="esp","Otros países","Other countries")</f>
        <v>Other countries</v>
      </c>
      <c r="Q165" s="23">
        <f>+[1]SANTILLANA!K121</f>
        <v>-1.6245083012226385</v>
      </c>
      <c r="R165" s="24">
        <f>+[1]SANTILLANA!L121</f>
        <v>3.186735804854564</v>
      </c>
      <c r="S165" s="25" t="str">
        <f t="shared" si="28"/>
        <v>---</v>
      </c>
      <c r="U165" s="23">
        <f>+[1]SANTILLANA!O121</f>
        <v>-1.1364680128230917</v>
      </c>
      <c r="V165" s="24">
        <f>+[1]SANTILLANA!P121</f>
        <v>1.0685285845312791</v>
      </c>
      <c r="W165" s="25" t="str">
        <f t="shared" si="29"/>
        <v>---</v>
      </c>
    </row>
    <row r="166" spans="15:23">
      <c r="O166" s="22" t="str">
        <f>+IF($B$3="esp","Tecnología Educativa global y Centro Corpor.","Global Educational IT &amp; HQ")</f>
        <v>Global Educational IT &amp; HQ</v>
      </c>
      <c r="Q166" s="23">
        <f>+[1]SANTILLANA!K122</f>
        <v>-12.345464651171481</v>
      </c>
      <c r="R166" s="24">
        <f>+[1]SANTILLANA!L122</f>
        <v>-10.477455379999999</v>
      </c>
      <c r="S166" s="25">
        <f t="shared" si="28"/>
        <v>-17.82884491913229</v>
      </c>
      <c r="U166" s="23">
        <f>+[1]SANTILLANA!O122</f>
        <v>-1.7479014697149307</v>
      </c>
      <c r="V166" s="24">
        <f>+[1]SANTILLANA!P122</f>
        <v>-3.8921342899999987</v>
      </c>
      <c r="W166" s="25">
        <f t="shared" si="29"/>
        <v>55.091439825039259</v>
      </c>
    </row>
  </sheetData>
  <pageMargins left="0" right="0" top="0" bottom="0" header="0" footer="0"/>
  <pageSetup paperSize="9" scale="2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 Publish 2Q</vt:lpstr>
      <vt:lpstr>'To Publish 2Q'!Área_de_impresión</vt:lpstr>
    </vt:vector>
  </TitlesOfParts>
  <Company>Prisa Corporación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Tobal Favelukes, Matías</dc:creator>
  <cp:lastModifiedBy>Guelbenzu Robles, Belen</cp:lastModifiedBy>
  <dcterms:created xsi:type="dcterms:W3CDTF">2020-10-27T11:02:38Z</dcterms:created>
  <dcterms:modified xsi:type="dcterms:W3CDTF">2020-10-27T11:43:49Z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