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O:\RELACIÓN CON INVERSORES\NEW\RESULTS\2020\3Q2020\DEF\DEF CNMV\"/>
    </mc:Choice>
  </mc:AlternateContent>
  <xr:revisionPtr revIDLastSave="0" documentId="13_ncr:1_{FE1E6C50-B241-43C8-A435-6900D4122C92}" xr6:coauthVersionLast="45" xr6:coauthVersionMax="45" xr10:uidLastSave="{00000000-0000-0000-0000-000000000000}"/>
  <bookViews>
    <workbookView xWindow="2940" yWindow="2820" windowWidth="15330" windowHeight="10890" xr2:uid="{00000000-000D-0000-FFFF-FFFF00000000}"/>
  </bookViews>
  <sheets>
    <sheet name="To Publish 3Q" sheetId="1" r:id="rId1"/>
  </sheets>
  <externalReferences>
    <externalReference r:id="rId2"/>
  </externalReferences>
  <definedNames>
    <definedName name="_xlnm.Print_Area" localSheetId="0">'To Publish 3Q'!$D$6:$H$120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V166" i="1" l="1"/>
  <c r="U166" i="1"/>
  <c r="R166" i="1"/>
  <c r="Q166" i="1"/>
  <c r="O166" i="1"/>
  <c r="V165" i="1"/>
  <c r="U165" i="1"/>
  <c r="R165" i="1"/>
  <c r="Q165" i="1"/>
  <c r="S165" i="1" s="1"/>
  <c r="O165" i="1"/>
  <c r="V164" i="1"/>
  <c r="U164" i="1"/>
  <c r="W164" i="1" s="1"/>
  <c r="R164" i="1"/>
  <c r="Q164" i="1"/>
  <c r="O164" i="1"/>
  <c r="V163" i="1"/>
  <c r="W163" i="1" s="1"/>
  <c r="U163" i="1"/>
  <c r="R163" i="1"/>
  <c r="S163" i="1" s="1"/>
  <c r="Q163" i="1"/>
  <c r="O163" i="1"/>
  <c r="V162" i="1"/>
  <c r="W162" i="1" s="1"/>
  <c r="U162" i="1"/>
  <c r="R162" i="1"/>
  <c r="S162" i="1" s="1"/>
  <c r="Q162" i="1"/>
  <c r="O162" i="1"/>
  <c r="V161" i="1"/>
  <c r="U161" i="1"/>
  <c r="R161" i="1"/>
  <c r="Q161" i="1"/>
  <c r="S161" i="1" s="1"/>
  <c r="O161" i="1"/>
  <c r="V160" i="1"/>
  <c r="U160" i="1"/>
  <c r="W160" i="1" s="1"/>
  <c r="R160" i="1"/>
  <c r="S160" i="1" s="1"/>
  <c r="Q160" i="1"/>
  <c r="O160" i="1"/>
  <c r="V159" i="1"/>
  <c r="W159" i="1" s="1"/>
  <c r="U159" i="1"/>
  <c r="R159" i="1"/>
  <c r="S159" i="1" s="1"/>
  <c r="Q159" i="1"/>
  <c r="O159" i="1"/>
  <c r="V158" i="1"/>
  <c r="U158" i="1"/>
  <c r="R158" i="1"/>
  <c r="S158" i="1" s="1"/>
  <c r="Q158" i="1"/>
  <c r="O158" i="1"/>
  <c r="O157" i="1"/>
  <c r="W156" i="1"/>
  <c r="S156" i="1"/>
  <c r="W152" i="1"/>
  <c r="V152" i="1"/>
  <c r="U152" i="1"/>
  <c r="R152" i="1"/>
  <c r="S152" i="1" s="1"/>
  <c r="Q152" i="1"/>
  <c r="O152" i="1"/>
  <c r="V151" i="1"/>
  <c r="U151" i="1"/>
  <c r="R151" i="1"/>
  <c r="Q151" i="1"/>
  <c r="O151" i="1"/>
  <c r="V150" i="1"/>
  <c r="U150" i="1"/>
  <c r="R150" i="1"/>
  <c r="Q150" i="1"/>
  <c r="S150" i="1" s="1"/>
  <c r="O150" i="1"/>
  <c r="V149" i="1"/>
  <c r="U149" i="1"/>
  <c r="R149" i="1"/>
  <c r="Q149" i="1"/>
  <c r="S149" i="1" s="1"/>
  <c r="O149" i="1"/>
  <c r="V148" i="1"/>
  <c r="U148" i="1"/>
  <c r="R148" i="1"/>
  <c r="Q148" i="1"/>
  <c r="O148" i="1"/>
  <c r="V147" i="1"/>
  <c r="W147" i="1" s="1"/>
  <c r="U147" i="1"/>
  <c r="R147" i="1"/>
  <c r="S147" i="1" s="1"/>
  <c r="Q147" i="1"/>
  <c r="O147" i="1"/>
  <c r="V146" i="1"/>
  <c r="U146" i="1"/>
  <c r="R146" i="1"/>
  <c r="S146" i="1" s="1"/>
  <c r="Q146" i="1"/>
  <c r="O146" i="1"/>
  <c r="W145" i="1"/>
  <c r="V145" i="1"/>
  <c r="U145" i="1"/>
  <c r="R145" i="1"/>
  <c r="Q145" i="1"/>
  <c r="S145" i="1" s="1"/>
  <c r="O145" i="1"/>
  <c r="V144" i="1"/>
  <c r="U144" i="1"/>
  <c r="R144" i="1"/>
  <c r="S144" i="1" s="1"/>
  <c r="Q144" i="1"/>
  <c r="O144" i="1"/>
  <c r="O143" i="1"/>
  <c r="W142" i="1"/>
  <c r="S142" i="1"/>
  <c r="V135" i="1"/>
  <c r="U135" i="1"/>
  <c r="R135" i="1"/>
  <c r="S135" i="1" s="1"/>
  <c r="Q135" i="1"/>
  <c r="O135" i="1"/>
  <c r="V134" i="1"/>
  <c r="W134" i="1" s="1"/>
  <c r="U134" i="1"/>
  <c r="R134" i="1"/>
  <c r="Q134" i="1"/>
  <c r="O134" i="1"/>
  <c r="V133" i="1"/>
  <c r="U133" i="1"/>
  <c r="R133" i="1"/>
  <c r="S133" i="1" s="1"/>
  <c r="Q133" i="1"/>
  <c r="O133" i="1"/>
  <c r="V132" i="1"/>
  <c r="U132" i="1"/>
  <c r="R132" i="1"/>
  <c r="Q132" i="1"/>
  <c r="S132" i="1" s="1"/>
  <c r="O132" i="1"/>
  <c r="W131" i="1"/>
  <c r="V131" i="1"/>
  <c r="U131" i="1"/>
  <c r="R131" i="1"/>
  <c r="S131" i="1" s="1"/>
  <c r="Q131" i="1"/>
  <c r="O131" i="1"/>
  <c r="V130" i="1"/>
  <c r="U130" i="1"/>
  <c r="R130" i="1"/>
  <c r="Q130" i="1"/>
  <c r="O130" i="1"/>
  <c r="W129" i="1"/>
  <c r="V129" i="1"/>
  <c r="U129" i="1"/>
  <c r="R129" i="1"/>
  <c r="Q129" i="1"/>
  <c r="S129" i="1" s="1"/>
  <c r="O129" i="1"/>
  <c r="V128" i="1"/>
  <c r="U128" i="1"/>
  <c r="R128" i="1"/>
  <c r="S128" i="1" s="1"/>
  <c r="Q128" i="1"/>
  <c r="O128" i="1"/>
  <c r="V127" i="1"/>
  <c r="U127" i="1"/>
  <c r="R127" i="1"/>
  <c r="Q127" i="1"/>
  <c r="O127" i="1"/>
  <c r="K127" i="1"/>
  <c r="J127" i="1"/>
  <c r="G127" i="1"/>
  <c r="F127" i="1"/>
  <c r="D127" i="1"/>
  <c r="O126" i="1"/>
  <c r="K126" i="1"/>
  <c r="L126" i="1" s="1"/>
  <c r="J126" i="1"/>
  <c r="G126" i="1"/>
  <c r="F126" i="1"/>
  <c r="D126" i="1"/>
  <c r="W125" i="1"/>
  <c r="S125" i="1"/>
  <c r="K125" i="1"/>
  <c r="J125" i="1"/>
  <c r="G125" i="1"/>
  <c r="F125" i="1"/>
  <c r="D125" i="1"/>
  <c r="K124" i="1"/>
  <c r="J124" i="1"/>
  <c r="G124" i="1"/>
  <c r="F124" i="1"/>
  <c r="D124" i="1"/>
  <c r="K123" i="1"/>
  <c r="J123" i="1"/>
  <c r="L123" i="1" s="1"/>
  <c r="G123" i="1"/>
  <c r="F123" i="1"/>
  <c r="D123" i="1"/>
  <c r="D122" i="1"/>
  <c r="W121" i="1"/>
  <c r="V121" i="1"/>
  <c r="U121" i="1"/>
  <c r="R121" i="1"/>
  <c r="Q121" i="1"/>
  <c r="O121" i="1"/>
  <c r="L121" i="1"/>
  <c r="H121" i="1"/>
  <c r="D121" i="1"/>
  <c r="V120" i="1"/>
  <c r="U120" i="1"/>
  <c r="S120" i="1"/>
  <c r="R120" i="1"/>
  <c r="Q120" i="1"/>
  <c r="O120" i="1"/>
  <c r="V119" i="1"/>
  <c r="W119" i="1" s="1"/>
  <c r="U119" i="1"/>
  <c r="R119" i="1"/>
  <c r="Q119" i="1"/>
  <c r="S119" i="1" s="1"/>
  <c r="O119" i="1"/>
  <c r="V118" i="1"/>
  <c r="W118" i="1" s="1"/>
  <c r="U118" i="1"/>
  <c r="S118" i="1"/>
  <c r="R118" i="1"/>
  <c r="Q118" i="1"/>
  <c r="O118" i="1"/>
  <c r="V117" i="1"/>
  <c r="U117" i="1"/>
  <c r="R117" i="1"/>
  <c r="Q117" i="1"/>
  <c r="O117" i="1"/>
  <c r="K117" i="1"/>
  <c r="J117" i="1"/>
  <c r="L117" i="1" s="1"/>
  <c r="G117" i="1"/>
  <c r="F117" i="1"/>
  <c r="D117" i="1"/>
  <c r="V116" i="1"/>
  <c r="U116" i="1"/>
  <c r="R116" i="1"/>
  <c r="Q116" i="1"/>
  <c r="O116" i="1"/>
  <c r="K116" i="1"/>
  <c r="J116" i="1"/>
  <c r="L116" i="1" s="1"/>
  <c r="G116" i="1"/>
  <c r="F116" i="1"/>
  <c r="D116" i="1"/>
  <c r="V115" i="1"/>
  <c r="U115" i="1"/>
  <c r="W115" i="1" s="1"/>
  <c r="R115" i="1"/>
  <c r="Q115" i="1"/>
  <c r="S115" i="1" s="1"/>
  <c r="O115" i="1"/>
  <c r="K115" i="1"/>
  <c r="J115" i="1"/>
  <c r="G115" i="1"/>
  <c r="H115" i="1" s="1"/>
  <c r="F115" i="1"/>
  <c r="D115" i="1"/>
  <c r="V114" i="1"/>
  <c r="U114" i="1"/>
  <c r="R114" i="1"/>
  <c r="Q114" i="1"/>
  <c r="S114" i="1" s="1"/>
  <c r="O114" i="1"/>
  <c r="K114" i="1"/>
  <c r="J114" i="1"/>
  <c r="G114" i="1"/>
  <c r="F114" i="1"/>
  <c r="H114" i="1" s="1"/>
  <c r="D114" i="1"/>
  <c r="V113" i="1"/>
  <c r="U113" i="1"/>
  <c r="R113" i="1"/>
  <c r="Q113" i="1"/>
  <c r="S113" i="1" s="1"/>
  <c r="O113" i="1"/>
  <c r="K113" i="1"/>
  <c r="L113" i="1" s="1"/>
  <c r="J113" i="1"/>
  <c r="G113" i="1"/>
  <c r="F113" i="1"/>
  <c r="D113" i="1"/>
  <c r="O112" i="1"/>
  <c r="D112" i="1"/>
  <c r="W111" i="1"/>
  <c r="S111" i="1"/>
  <c r="O111" i="1"/>
  <c r="L111" i="1"/>
  <c r="H111" i="1"/>
  <c r="D111" i="1"/>
  <c r="K100" i="1"/>
  <c r="G100" i="1"/>
  <c r="H100" i="1" s="1"/>
  <c r="D100" i="1"/>
  <c r="J99" i="1"/>
  <c r="G99" i="1"/>
  <c r="F99" i="1"/>
  <c r="D99" i="1"/>
  <c r="D98" i="1"/>
  <c r="L97" i="1"/>
  <c r="H97" i="1"/>
  <c r="D97" i="1"/>
  <c r="F95" i="1"/>
  <c r="F109" i="1" s="1"/>
  <c r="F119" i="1" s="1"/>
  <c r="O88" i="1"/>
  <c r="V87" i="1"/>
  <c r="U87" i="1"/>
  <c r="R87" i="1"/>
  <c r="S87" i="1" s="1"/>
  <c r="Q87" i="1"/>
  <c r="O87" i="1"/>
  <c r="V86" i="1"/>
  <c r="W86" i="1" s="1"/>
  <c r="U86" i="1"/>
  <c r="R86" i="1"/>
  <c r="S86" i="1" s="1"/>
  <c r="Q86" i="1"/>
  <c r="O86" i="1"/>
  <c r="V85" i="1"/>
  <c r="U85" i="1"/>
  <c r="W85" i="1" s="1"/>
  <c r="R85" i="1"/>
  <c r="Q85" i="1"/>
  <c r="O85" i="1"/>
  <c r="D85" i="1"/>
  <c r="Z84" i="1"/>
  <c r="V84" i="1"/>
  <c r="W84" i="1" s="1"/>
  <c r="U84" i="1"/>
  <c r="R84" i="1"/>
  <c r="Q84" i="1"/>
  <c r="O84" i="1"/>
  <c r="L84" i="1"/>
  <c r="K84" i="1"/>
  <c r="J84" i="1"/>
  <c r="G84" i="1"/>
  <c r="H84" i="1" s="1"/>
  <c r="F84" i="1"/>
  <c r="D84" i="1"/>
  <c r="AG83" i="1"/>
  <c r="Z83" i="1"/>
  <c r="V83" i="1"/>
  <c r="U83" i="1"/>
  <c r="R83" i="1"/>
  <c r="S83" i="1" s="1"/>
  <c r="Q83" i="1"/>
  <c r="O83" i="1"/>
  <c r="K83" i="1"/>
  <c r="L83" i="1" s="1"/>
  <c r="J83" i="1"/>
  <c r="H83" i="1"/>
  <c r="G83" i="1"/>
  <c r="F83" i="1"/>
  <c r="D83" i="1"/>
  <c r="AG82" i="1"/>
  <c r="AF82" i="1"/>
  <c r="AC82" i="1"/>
  <c r="AD82" i="1" s="1"/>
  <c r="AB82" i="1"/>
  <c r="Z82" i="1"/>
  <c r="V82" i="1"/>
  <c r="U82" i="1"/>
  <c r="R82" i="1"/>
  <c r="Q82" i="1"/>
  <c r="Q88" i="1" s="1"/>
  <c r="O82" i="1"/>
  <c r="K82" i="1"/>
  <c r="J82" i="1"/>
  <c r="G82" i="1"/>
  <c r="F82" i="1"/>
  <c r="D82" i="1"/>
  <c r="AG81" i="1"/>
  <c r="AF81" i="1"/>
  <c r="AC81" i="1"/>
  <c r="AD81" i="1" s="1"/>
  <c r="AB81" i="1"/>
  <c r="Z81" i="1"/>
  <c r="O81" i="1"/>
  <c r="K81" i="1"/>
  <c r="J81" i="1"/>
  <c r="H81" i="1"/>
  <c r="G81" i="1"/>
  <c r="F81" i="1"/>
  <c r="D81" i="1"/>
  <c r="AG80" i="1"/>
  <c r="AF80" i="1"/>
  <c r="AC80" i="1"/>
  <c r="AB80" i="1"/>
  <c r="Z80" i="1"/>
  <c r="V80" i="1"/>
  <c r="U80" i="1"/>
  <c r="R80" i="1"/>
  <c r="Q80" i="1"/>
  <c r="O80" i="1"/>
  <c r="K80" i="1"/>
  <c r="J80" i="1"/>
  <c r="L80" i="1" s="1"/>
  <c r="G80" i="1"/>
  <c r="H80" i="1" s="1"/>
  <c r="F80" i="1"/>
  <c r="D80" i="1"/>
  <c r="V79" i="1"/>
  <c r="W79" i="1" s="1"/>
  <c r="U79" i="1"/>
  <c r="R79" i="1"/>
  <c r="Q79" i="1"/>
  <c r="O79" i="1"/>
  <c r="D79" i="1"/>
  <c r="Z78" i="1"/>
  <c r="V78" i="1"/>
  <c r="U78" i="1"/>
  <c r="W78" i="1" s="1"/>
  <c r="R78" i="1"/>
  <c r="Q78" i="1"/>
  <c r="O78" i="1"/>
  <c r="K78" i="1"/>
  <c r="L78" i="1" s="1"/>
  <c r="J78" i="1"/>
  <c r="G78" i="1"/>
  <c r="H78" i="1" s="1"/>
  <c r="F78" i="1"/>
  <c r="D78" i="1"/>
  <c r="Z77" i="1"/>
  <c r="V77" i="1"/>
  <c r="W77" i="1" s="1"/>
  <c r="U77" i="1"/>
  <c r="R77" i="1"/>
  <c r="Q77" i="1"/>
  <c r="O77" i="1"/>
  <c r="K77" i="1"/>
  <c r="J77" i="1"/>
  <c r="G77" i="1"/>
  <c r="H77" i="1" s="1"/>
  <c r="F77" i="1"/>
  <c r="D77" i="1"/>
  <c r="AG76" i="1"/>
  <c r="AF76" i="1"/>
  <c r="AC76" i="1"/>
  <c r="AD76" i="1" s="1"/>
  <c r="AB76" i="1"/>
  <c r="Z76" i="1"/>
  <c r="V76" i="1"/>
  <c r="W76" i="1" s="1"/>
  <c r="U76" i="1"/>
  <c r="R76" i="1"/>
  <c r="Q76" i="1"/>
  <c r="O76" i="1"/>
  <c r="K76" i="1"/>
  <c r="J76" i="1"/>
  <c r="G76" i="1"/>
  <c r="F76" i="1"/>
  <c r="H76" i="1" s="1"/>
  <c r="D76" i="1"/>
  <c r="AG75" i="1"/>
  <c r="AF75" i="1"/>
  <c r="AC75" i="1"/>
  <c r="AB75" i="1"/>
  <c r="AB77" i="1" s="1"/>
  <c r="Z75" i="1"/>
  <c r="V75" i="1"/>
  <c r="U75" i="1"/>
  <c r="R75" i="1"/>
  <c r="Q75" i="1"/>
  <c r="Q81" i="1" s="1"/>
  <c r="O75" i="1"/>
  <c r="L75" i="1"/>
  <c r="K75" i="1"/>
  <c r="J75" i="1"/>
  <c r="G75" i="1"/>
  <c r="F75" i="1"/>
  <c r="D75" i="1"/>
  <c r="AG74" i="1"/>
  <c r="AF74" i="1"/>
  <c r="AF78" i="1" s="1"/>
  <c r="AC74" i="1"/>
  <c r="AC77" i="1" s="1"/>
  <c r="AB74" i="1"/>
  <c r="Z74" i="1"/>
  <c r="W74" i="1"/>
  <c r="V74" i="1"/>
  <c r="U74" i="1"/>
  <c r="R74" i="1"/>
  <c r="Q74" i="1"/>
  <c r="O74" i="1"/>
  <c r="K74" i="1"/>
  <c r="J74" i="1"/>
  <c r="L74" i="1" s="1"/>
  <c r="G74" i="1"/>
  <c r="H74" i="1" s="1"/>
  <c r="F74" i="1"/>
  <c r="D74" i="1"/>
  <c r="V73" i="1"/>
  <c r="W73" i="1" s="1"/>
  <c r="U73" i="1"/>
  <c r="R73" i="1"/>
  <c r="Q73" i="1"/>
  <c r="O73" i="1"/>
  <c r="K73" i="1"/>
  <c r="J73" i="1"/>
  <c r="G73" i="1"/>
  <c r="F73" i="1"/>
  <c r="H73" i="1" s="1"/>
  <c r="D73" i="1"/>
  <c r="Z72" i="1"/>
  <c r="V72" i="1"/>
  <c r="W72" i="1" s="1"/>
  <c r="U72" i="1"/>
  <c r="R72" i="1"/>
  <c r="S72" i="1" s="1"/>
  <c r="Q72" i="1"/>
  <c r="O72" i="1"/>
  <c r="L72" i="1"/>
  <c r="K72" i="1"/>
  <c r="J72" i="1"/>
  <c r="G72" i="1"/>
  <c r="F72" i="1"/>
  <c r="D72" i="1"/>
  <c r="AG71" i="1"/>
  <c r="AF71" i="1"/>
  <c r="AD71" i="1"/>
  <c r="AC71" i="1"/>
  <c r="AB71" i="1"/>
  <c r="Z71" i="1"/>
  <c r="V71" i="1"/>
  <c r="U71" i="1"/>
  <c r="R71" i="1"/>
  <c r="Q71" i="1"/>
  <c r="O71" i="1"/>
  <c r="K71" i="1"/>
  <c r="L71" i="1" s="1"/>
  <c r="J71" i="1"/>
  <c r="G71" i="1"/>
  <c r="F71" i="1"/>
  <c r="D71" i="1"/>
  <c r="AG70" i="1"/>
  <c r="AH70" i="1" s="1"/>
  <c r="AF70" i="1"/>
  <c r="AC70" i="1"/>
  <c r="AD70" i="1" s="1"/>
  <c r="AB70" i="1"/>
  <c r="Z70" i="1"/>
  <c r="V70" i="1"/>
  <c r="U70" i="1"/>
  <c r="R70" i="1"/>
  <c r="Q70" i="1"/>
  <c r="O70" i="1"/>
  <c r="L70" i="1"/>
  <c r="K70" i="1"/>
  <c r="J70" i="1"/>
  <c r="G70" i="1"/>
  <c r="H70" i="1" s="1"/>
  <c r="F70" i="1"/>
  <c r="D70" i="1"/>
  <c r="AG69" i="1"/>
  <c r="AG84" i="1" s="1"/>
  <c r="AF69" i="1"/>
  <c r="AC69" i="1"/>
  <c r="AB69" i="1"/>
  <c r="AB72" i="1" s="1"/>
  <c r="Z69" i="1"/>
  <c r="V69" i="1"/>
  <c r="U69" i="1"/>
  <c r="R69" i="1"/>
  <c r="S69" i="1" s="1"/>
  <c r="Q69" i="1"/>
  <c r="O69" i="1"/>
  <c r="K69" i="1"/>
  <c r="J69" i="1"/>
  <c r="G69" i="1"/>
  <c r="F69" i="1"/>
  <c r="D69" i="1"/>
  <c r="Z68" i="1"/>
  <c r="O68" i="1"/>
  <c r="D68" i="1"/>
  <c r="AH67" i="1"/>
  <c r="AD67" i="1"/>
  <c r="W67" i="1"/>
  <c r="S67" i="1"/>
  <c r="L67" i="1"/>
  <c r="H67" i="1"/>
  <c r="D65" i="1"/>
  <c r="K64" i="1"/>
  <c r="J64" i="1"/>
  <c r="L64" i="1" s="1"/>
  <c r="G64" i="1"/>
  <c r="F64" i="1"/>
  <c r="D64" i="1"/>
  <c r="K63" i="1"/>
  <c r="L63" i="1" s="1"/>
  <c r="J63" i="1"/>
  <c r="G63" i="1"/>
  <c r="F63" i="1"/>
  <c r="D63" i="1"/>
  <c r="K62" i="1"/>
  <c r="J62" i="1"/>
  <c r="L62" i="1" s="1"/>
  <c r="G62" i="1"/>
  <c r="H62" i="1" s="1"/>
  <c r="F62" i="1"/>
  <c r="D62" i="1"/>
  <c r="K61" i="1"/>
  <c r="L61" i="1" s="1"/>
  <c r="J61" i="1"/>
  <c r="G61" i="1"/>
  <c r="F61" i="1"/>
  <c r="D61" i="1"/>
  <c r="K60" i="1"/>
  <c r="K65" i="1" s="1"/>
  <c r="K85" i="1" s="1"/>
  <c r="J60" i="1"/>
  <c r="G60" i="1"/>
  <c r="F60" i="1"/>
  <c r="F65" i="1" s="1"/>
  <c r="D60" i="1"/>
  <c r="D59" i="1"/>
  <c r="K58" i="1"/>
  <c r="J58" i="1"/>
  <c r="G58" i="1"/>
  <c r="H58" i="1" s="1"/>
  <c r="F58" i="1"/>
  <c r="D58" i="1"/>
  <c r="K57" i="1"/>
  <c r="J57" i="1"/>
  <c r="G57" i="1"/>
  <c r="H57" i="1" s="1"/>
  <c r="F57" i="1"/>
  <c r="D57" i="1"/>
  <c r="K56" i="1"/>
  <c r="J56" i="1"/>
  <c r="L56" i="1" s="1"/>
  <c r="G56" i="1"/>
  <c r="F56" i="1"/>
  <c r="D56" i="1"/>
  <c r="L55" i="1"/>
  <c r="K55" i="1"/>
  <c r="J55" i="1"/>
  <c r="G55" i="1"/>
  <c r="F55" i="1"/>
  <c r="D55" i="1"/>
  <c r="K54" i="1"/>
  <c r="J54" i="1"/>
  <c r="G54" i="1"/>
  <c r="H54" i="1" s="1"/>
  <c r="F54" i="1"/>
  <c r="F59" i="1" s="1"/>
  <c r="D54" i="1"/>
  <c r="K53" i="1"/>
  <c r="J53" i="1"/>
  <c r="G53" i="1"/>
  <c r="H53" i="1" s="1"/>
  <c r="F53" i="1"/>
  <c r="D53" i="1"/>
  <c r="K52" i="1"/>
  <c r="J52" i="1"/>
  <c r="G52" i="1"/>
  <c r="F52" i="1"/>
  <c r="D52" i="1"/>
  <c r="L51" i="1"/>
  <c r="K51" i="1"/>
  <c r="J51" i="1"/>
  <c r="H51" i="1"/>
  <c r="G51" i="1"/>
  <c r="F51" i="1"/>
  <c r="D51" i="1"/>
  <c r="K50" i="1"/>
  <c r="J50" i="1"/>
  <c r="G50" i="1"/>
  <c r="F50" i="1"/>
  <c r="D50" i="1"/>
  <c r="K49" i="1"/>
  <c r="J49" i="1"/>
  <c r="G49" i="1"/>
  <c r="F49" i="1"/>
  <c r="D49" i="1"/>
  <c r="D48" i="1"/>
  <c r="L47" i="1"/>
  <c r="H47" i="1"/>
  <c r="D47" i="1"/>
  <c r="K45" i="1"/>
  <c r="J45" i="1"/>
  <c r="L45" i="1" s="1"/>
  <c r="G45" i="1"/>
  <c r="F45" i="1"/>
  <c r="D45" i="1"/>
  <c r="J44" i="1"/>
  <c r="F44" i="1"/>
  <c r="D44" i="1"/>
  <c r="J43" i="1"/>
  <c r="F43" i="1"/>
  <c r="D43" i="1"/>
  <c r="K42" i="1"/>
  <c r="G42" i="1"/>
  <c r="D42" i="1"/>
  <c r="K41" i="1"/>
  <c r="J41" i="1"/>
  <c r="G41" i="1"/>
  <c r="F41" i="1"/>
  <c r="D41" i="1"/>
  <c r="K40" i="1"/>
  <c r="J40" i="1"/>
  <c r="H40" i="1"/>
  <c r="G40" i="1"/>
  <c r="F40" i="1"/>
  <c r="D40" i="1"/>
  <c r="K39" i="1"/>
  <c r="J39" i="1"/>
  <c r="G39" i="1"/>
  <c r="H39" i="1" s="1"/>
  <c r="F39" i="1"/>
  <c r="D39" i="1"/>
  <c r="K38" i="1"/>
  <c r="J38" i="1"/>
  <c r="G38" i="1"/>
  <c r="F38" i="1"/>
  <c r="D38" i="1"/>
  <c r="K37" i="1"/>
  <c r="J37" i="1"/>
  <c r="G37" i="1"/>
  <c r="H37" i="1" s="1"/>
  <c r="F37" i="1"/>
  <c r="D37" i="1"/>
  <c r="K36" i="1"/>
  <c r="J36" i="1"/>
  <c r="G36" i="1"/>
  <c r="F36" i="1"/>
  <c r="D36" i="1"/>
  <c r="O35" i="1"/>
  <c r="K35" i="1"/>
  <c r="J35" i="1"/>
  <c r="G35" i="1"/>
  <c r="F35" i="1"/>
  <c r="D35" i="1"/>
  <c r="AS34" i="1"/>
  <c r="AR34" i="1"/>
  <c r="AQ34" i="1"/>
  <c r="AN34" i="1"/>
  <c r="AO34" i="1" s="1"/>
  <c r="AM34" i="1"/>
  <c r="AK34" i="1"/>
  <c r="V34" i="1"/>
  <c r="U34" i="1"/>
  <c r="R34" i="1"/>
  <c r="Q34" i="1"/>
  <c r="O34" i="1"/>
  <c r="K34" i="1"/>
  <c r="L34" i="1" s="1"/>
  <c r="J34" i="1"/>
  <c r="G34" i="1"/>
  <c r="F34" i="1"/>
  <c r="D34" i="1"/>
  <c r="AK33" i="1"/>
  <c r="V33" i="1"/>
  <c r="U33" i="1"/>
  <c r="W33" i="1" s="1"/>
  <c r="R33" i="1"/>
  <c r="Q33" i="1"/>
  <c r="O33" i="1"/>
  <c r="K33" i="1"/>
  <c r="J33" i="1"/>
  <c r="G33" i="1"/>
  <c r="F33" i="1"/>
  <c r="H33" i="1" s="1"/>
  <c r="D33" i="1"/>
  <c r="AR32" i="1"/>
  <c r="AQ32" i="1"/>
  <c r="AN32" i="1"/>
  <c r="AM32" i="1"/>
  <c r="AK32" i="1"/>
  <c r="V32" i="1"/>
  <c r="W32" i="1" s="1"/>
  <c r="U32" i="1"/>
  <c r="R32" i="1"/>
  <c r="Q32" i="1"/>
  <c r="O32" i="1"/>
  <c r="K32" i="1"/>
  <c r="J32" i="1"/>
  <c r="L32" i="1" s="1"/>
  <c r="G32" i="1"/>
  <c r="F32" i="1"/>
  <c r="D32" i="1"/>
  <c r="AR31" i="1"/>
  <c r="AQ31" i="1"/>
  <c r="AN31" i="1"/>
  <c r="AM31" i="1"/>
  <c r="AK31" i="1"/>
  <c r="V31" i="1"/>
  <c r="U31" i="1"/>
  <c r="W31" i="1" s="1"/>
  <c r="R31" i="1"/>
  <c r="Q31" i="1"/>
  <c r="O31" i="1"/>
  <c r="D31" i="1"/>
  <c r="AR30" i="1"/>
  <c r="AQ30" i="1"/>
  <c r="AN30" i="1"/>
  <c r="AM30" i="1"/>
  <c r="AK30" i="1"/>
  <c r="W30" i="1"/>
  <c r="V30" i="1"/>
  <c r="U30" i="1"/>
  <c r="R30" i="1"/>
  <c r="S30" i="1" s="1"/>
  <c r="Q30" i="1"/>
  <c r="O30" i="1"/>
  <c r="K30" i="1"/>
  <c r="L30" i="1" s="1"/>
  <c r="J30" i="1"/>
  <c r="G30" i="1"/>
  <c r="H30" i="1" s="1"/>
  <c r="F30" i="1"/>
  <c r="D30" i="1"/>
  <c r="AK29" i="1"/>
  <c r="V29" i="1"/>
  <c r="U29" i="1"/>
  <c r="R29" i="1"/>
  <c r="Q29" i="1"/>
  <c r="O29" i="1"/>
  <c r="K29" i="1"/>
  <c r="J29" i="1"/>
  <c r="G29" i="1"/>
  <c r="F29" i="1"/>
  <c r="H29" i="1" s="1"/>
  <c r="D29" i="1"/>
  <c r="AR28" i="1"/>
  <c r="AS28" i="1" s="1"/>
  <c r="AQ28" i="1"/>
  <c r="AN28" i="1"/>
  <c r="AM28" i="1"/>
  <c r="AK28" i="1"/>
  <c r="O28" i="1"/>
  <c r="K28" i="1"/>
  <c r="J28" i="1"/>
  <c r="L28" i="1" s="1"/>
  <c r="G28" i="1"/>
  <c r="F28" i="1"/>
  <c r="D28" i="1"/>
  <c r="AR27" i="1"/>
  <c r="AS27" i="1" s="1"/>
  <c r="AQ27" i="1"/>
  <c r="AN27" i="1"/>
  <c r="AM27" i="1"/>
  <c r="AK27" i="1"/>
  <c r="Z27" i="1"/>
  <c r="V27" i="1"/>
  <c r="U27" i="1"/>
  <c r="S27" i="1"/>
  <c r="R27" i="1"/>
  <c r="Q27" i="1"/>
  <c r="O27" i="1"/>
  <c r="K27" i="1"/>
  <c r="J27" i="1"/>
  <c r="G27" i="1"/>
  <c r="F27" i="1"/>
  <c r="D27" i="1"/>
  <c r="AR26" i="1"/>
  <c r="AQ26" i="1"/>
  <c r="AN26" i="1"/>
  <c r="AM26" i="1"/>
  <c r="AK26" i="1"/>
  <c r="Z26" i="1"/>
  <c r="W26" i="1"/>
  <c r="V26" i="1"/>
  <c r="U26" i="1"/>
  <c r="S26" i="1"/>
  <c r="R26" i="1"/>
  <c r="Q26" i="1"/>
  <c r="O26" i="1"/>
  <c r="K26" i="1"/>
  <c r="J26" i="1"/>
  <c r="J31" i="1" s="1"/>
  <c r="G26" i="1"/>
  <c r="F26" i="1"/>
  <c r="D26" i="1"/>
  <c r="AR25" i="1"/>
  <c r="AQ25" i="1"/>
  <c r="AN25" i="1"/>
  <c r="AM25" i="1"/>
  <c r="AO25" i="1" s="1"/>
  <c r="AK25" i="1"/>
  <c r="AG25" i="1"/>
  <c r="AH25" i="1" s="1"/>
  <c r="AF25" i="1"/>
  <c r="AC25" i="1"/>
  <c r="AD25" i="1" s="1"/>
  <c r="AB25" i="1"/>
  <c r="Z25" i="1"/>
  <c r="V25" i="1"/>
  <c r="W25" i="1" s="1"/>
  <c r="U25" i="1"/>
  <c r="R25" i="1"/>
  <c r="Q25" i="1"/>
  <c r="S25" i="1" s="1"/>
  <c r="O25" i="1"/>
  <c r="K25" i="1"/>
  <c r="D25" i="1"/>
  <c r="AR24" i="1"/>
  <c r="AS24" i="1" s="1"/>
  <c r="AQ24" i="1"/>
  <c r="AN24" i="1"/>
  <c r="AM24" i="1"/>
  <c r="AK24" i="1"/>
  <c r="AH24" i="1"/>
  <c r="AG24" i="1"/>
  <c r="AF24" i="1"/>
  <c r="AC24" i="1"/>
  <c r="AC26" i="1" s="1"/>
  <c r="AB24" i="1"/>
  <c r="Z24" i="1"/>
  <c r="V24" i="1"/>
  <c r="W24" i="1" s="1"/>
  <c r="U24" i="1"/>
  <c r="R24" i="1"/>
  <c r="Q24" i="1"/>
  <c r="O24" i="1"/>
  <c r="K24" i="1"/>
  <c r="J24" i="1"/>
  <c r="G24" i="1"/>
  <c r="F24" i="1"/>
  <c r="D24" i="1"/>
  <c r="AS23" i="1"/>
  <c r="AR23" i="1"/>
  <c r="AQ23" i="1"/>
  <c r="AN23" i="1"/>
  <c r="AO23" i="1" s="1"/>
  <c r="AM23" i="1"/>
  <c r="AK23" i="1"/>
  <c r="AG23" i="1"/>
  <c r="AF23" i="1"/>
  <c r="AF26" i="1" s="1"/>
  <c r="AC23" i="1"/>
  <c r="AB23" i="1"/>
  <c r="Z23" i="1"/>
  <c r="V23" i="1"/>
  <c r="W23" i="1" s="1"/>
  <c r="U23" i="1"/>
  <c r="R23" i="1"/>
  <c r="S23" i="1" s="1"/>
  <c r="Q23" i="1"/>
  <c r="O23" i="1"/>
  <c r="K23" i="1"/>
  <c r="J23" i="1"/>
  <c r="L23" i="1" s="1"/>
  <c r="G23" i="1"/>
  <c r="H23" i="1" s="1"/>
  <c r="F23" i="1"/>
  <c r="D23" i="1"/>
  <c r="AR22" i="1"/>
  <c r="AQ22" i="1"/>
  <c r="AN22" i="1"/>
  <c r="AM22" i="1"/>
  <c r="AK22" i="1"/>
  <c r="Z22" i="1"/>
  <c r="V22" i="1"/>
  <c r="U22" i="1"/>
  <c r="W22" i="1" s="1"/>
  <c r="R22" i="1"/>
  <c r="Q22" i="1"/>
  <c r="Q28" i="1" s="1"/>
  <c r="O22" i="1"/>
  <c r="K22" i="1"/>
  <c r="L22" i="1" s="1"/>
  <c r="J22" i="1"/>
  <c r="G22" i="1"/>
  <c r="H22" i="1" s="1"/>
  <c r="F22" i="1"/>
  <c r="D22" i="1"/>
  <c r="AR21" i="1"/>
  <c r="AQ21" i="1"/>
  <c r="AN21" i="1"/>
  <c r="AM21" i="1"/>
  <c r="AK21" i="1"/>
  <c r="Z21" i="1"/>
  <c r="V21" i="1"/>
  <c r="U21" i="1"/>
  <c r="R21" i="1"/>
  <c r="Q21" i="1"/>
  <c r="O21" i="1"/>
  <c r="L21" i="1"/>
  <c r="K21" i="1"/>
  <c r="J21" i="1"/>
  <c r="G21" i="1"/>
  <c r="F21" i="1"/>
  <c r="D21" i="1"/>
  <c r="AR20" i="1"/>
  <c r="AS20" i="1" s="1"/>
  <c r="AQ20" i="1"/>
  <c r="AN20" i="1"/>
  <c r="AM20" i="1"/>
  <c r="AK20" i="1"/>
  <c r="AG20" i="1"/>
  <c r="AF20" i="1"/>
  <c r="AC20" i="1"/>
  <c r="AB20" i="1"/>
  <c r="Z20" i="1"/>
  <c r="V20" i="1"/>
  <c r="U20" i="1"/>
  <c r="R20" i="1"/>
  <c r="S20" i="1" s="1"/>
  <c r="Q20" i="1"/>
  <c r="O20" i="1"/>
  <c r="L20" i="1"/>
  <c r="K20" i="1"/>
  <c r="J20" i="1"/>
  <c r="G20" i="1"/>
  <c r="F20" i="1"/>
  <c r="D20" i="1"/>
  <c r="AR19" i="1"/>
  <c r="AQ19" i="1"/>
  <c r="AN19" i="1"/>
  <c r="AM19" i="1"/>
  <c r="AG19" i="1"/>
  <c r="AF19" i="1"/>
  <c r="AC19" i="1"/>
  <c r="AB19" i="1"/>
  <c r="Z19" i="1"/>
  <c r="V19" i="1"/>
  <c r="W19" i="1" s="1"/>
  <c r="U19" i="1"/>
  <c r="R19" i="1"/>
  <c r="Q19" i="1"/>
  <c r="O19" i="1"/>
  <c r="K19" i="1"/>
  <c r="L19" i="1" s="1"/>
  <c r="J19" i="1"/>
  <c r="G19" i="1"/>
  <c r="F19" i="1"/>
  <c r="H19" i="1" s="1"/>
  <c r="D19" i="1"/>
  <c r="AR18" i="1"/>
  <c r="AQ18" i="1"/>
  <c r="AN18" i="1"/>
  <c r="AM18" i="1"/>
  <c r="AG18" i="1"/>
  <c r="AF18" i="1"/>
  <c r="AF21" i="1" s="1"/>
  <c r="AC18" i="1"/>
  <c r="AB18" i="1"/>
  <c r="Z18" i="1"/>
  <c r="V18" i="1"/>
  <c r="U18" i="1"/>
  <c r="R18" i="1"/>
  <c r="S18" i="1" s="1"/>
  <c r="Q18" i="1"/>
  <c r="O18" i="1"/>
  <c r="K18" i="1"/>
  <c r="J18" i="1"/>
  <c r="L18" i="1" s="1"/>
  <c r="G18" i="1"/>
  <c r="F18" i="1"/>
  <c r="D18" i="1"/>
  <c r="AR17" i="1"/>
  <c r="AQ17" i="1"/>
  <c r="AN17" i="1"/>
  <c r="AM17" i="1"/>
  <c r="AK17" i="1"/>
  <c r="Z17" i="1"/>
  <c r="V17" i="1"/>
  <c r="U17" i="1"/>
  <c r="R17" i="1"/>
  <c r="Q17" i="1"/>
  <c r="S17" i="1" s="1"/>
  <c r="O17" i="1"/>
  <c r="K17" i="1"/>
  <c r="L17" i="1" s="1"/>
  <c r="J17" i="1"/>
  <c r="G17" i="1"/>
  <c r="F17" i="1"/>
  <c r="D17" i="1"/>
  <c r="AR16" i="1"/>
  <c r="AS16" i="1" s="1"/>
  <c r="AQ16" i="1"/>
  <c r="AO16" i="1"/>
  <c r="AN16" i="1"/>
  <c r="AM16" i="1"/>
  <c r="AK16" i="1"/>
  <c r="Z16" i="1"/>
  <c r="V16" i="1"/>
  <c r="U16" i="1"/>
  <c r="R16" i="1"/>
  <c r="Q16" i="1"/>
  <c r="O16" i="1"/>
  <c r="K16" i="1"/>
  <c r="J16" i="1"/>
  <c r="G16" i="1"/>
  <c r="F16" i="1"/>
  <c r="H16" i="1" s="1"/>
  <c r="D16" i="1"/>
  <c r="AR15" i="1"/>
  <c r="AQ15" i="1"/>
  <c r="AN15" i="1"/>
  <c r="AO15" i="1" s="1"/>
  <c r="AM15" i="1"/>
  <c r="Z15" i="1"/>
  <c r="V15" i="1"/>
  <c r="U15" i="1"/>
  <c r="R15" i="1"/>
  <c r="Q15" i="1"/>
  <c r="O15" i="1"/>
  <c r="K15" i="1"/>
  <c r="J15" i="1"/>
  <c r="G15" i="1"/>
  <c r="H15" i="1" s="1"/>
  <c r="F15" i="1"/>
  <c r="D15" i="1"/>
  <c r="AR14" i="1"/>
  <c r="AQ14" i="1"/>
  <c r="AN14" i="1"/>
  <c r="AO14" i="1" s="1"/>
  <c r="AM14" i="1"/>
  <c r="Z14" i="1"/>
  <c r="V14" i="1"/>
  <c r="U14" i="1"/>
  <c r="R14" i="1"/>
  <c r="Q14" i="1"/>
  <c r="O14" i="1"/>
  <c r="K14" i="1"/>
  <c r="L14" i="1" s="1"/>
  <c r="J14" i="1"/>
  <c r="G14" i="1"/>
  <c r="F14" i="1"/>
  <c r="D14" i="1"/>
  <c r="AR13" i="1"/>
  <c r="AS13" i="1" s="1"/>
  <c r="AQ13" i="1"/>
  <c r="AN13" i="1"/>
  <c r="AM13" i="1"/>
  <c r="AK13" i="1"/>
  <c r="Z13" i="1"/>
  <c r="V13" i="1"/>
  <c r="U13" i="1"/>
  <c r="R13" i="1"/>
  <c r="Q13" i="1"/>
  <c r="O13" i="1"/>
  <c r="K13" i="1"/>
  <c r="J13" i="1"/>
  <c r="G13" i="1"/>
  <c r="H13" i="1" s="1"/>
  <c r="F13" i="1"/>
  <c r="D13" i="1"/>
  <c r="AR12" i="1"/>
  <c r="AQ12" i="1"/>
  <c r="AN12" i="1"/>
  <c r="AM12" i="1"/>
  <c r="AK12" i="1"/>
  <c r="AG12" i="1"/>
  <c r="AG16" i="1" s="1"/>
  <c r="AF12" i="1"/>
  <c r="AC12" i="1"/>
  <c r="AC16" i="1" s="1"/>
  <c r="AB12" i="1"/>
  <c r="Z12" i="1"/>
  <c r="V12" i="1"/>
  <c r="U12" i="1"/>
  <c r="R12" i="1"/>
  <c r="S12" i="1" s="1"/>
  <c r="Q12" i="1"/>
  <c r="O12" i="1"/>
  <c r="K12" i="1"/>
  <c r="L12" i="1" s="1"/>
  <c r="J12" i="1"/>
  <c r="G12" i="1"/>
  <c r="F12" i="1"/>
  <c r="D12" i="1"/>
  <c r="AR11" i="1"/>
  <c r="AS11" i="1" s="1"/>
  <c r="AQ11" i="1"/>
  <c r="AQ29" i="1" s="1"/>
  <c r="AN11" i="1"/>
  <c r="AN33" i="1" s="1"/>
  <c r="AM11" i="1"/>
  <c r="AK11" i="1"/>
  <c r="AG11" i="1"/>
  <c r="AG15" i="1" s="1"/>
  <c r="AF11" i="1"/>
  <c r="AF15" i="1" s="1"/>
  <c r="AC11" i="1"/>
  <c r="AB11" i="1"/>
  <c r="AB15" i="1" s="1"/>
  <c r="Z11" i="1"/>
  <c r="V11" i="1"/>
  <c r="U11" i="1"/>
  <c r="R11" i="1"/>
  <c r="S11" i="1" s="1"/>
  <c r="Q11" i="1"/>
  <c r="O11" i="1"/>
  <c r="K11" i="1"/>
  <c r="L11" i="1" s="1"/>
  <c r="J11" i="1"/>
  <c r="G11" i="1"/>
  <c r="F11" i="1"/>
  <c r="D11" i="1"/>
  <c r="AR10" i="1"/>
  <c r="AQ10" i="1"/>
  <c r="AN10" i="1"/>
  <c r="AM10" i="1"/>
  <c r="AK10" i="1"/>
  <c r="AG10" i="1"/>
  <c r="AG14" i="1" s="1"/>
  <c r="AF10" i="1"/>
  <c r="AD10" i="1"/>
  <c r="AC10" i="1"/>
  <c r="AB10" i="1"/>
  <c r="Z10" i="1"/>
  <c r="V10" i="1"/>
  <c r="W10" i="1" s="1"/>
  <c r="U10" i="1"/>
  <c r="U28" i="1" s="1"/>
  <c r="R10" i="1"/>
  <c r="Q10" i="1"/>
  <c r="O10" i="1"/>
  <c r="K10" i="1"/>
  <c r="J10" i="1"/>
  <c r="L10" i="1" s="1"/>
  <c r="G10" i="1"/>
  <c r="F10" i="1"/>
  <c r="D10" i="1"/>
  <c r="AK9" i="1"/>
  <c r="Z9" i="1"/>
  <c r="O9" i="1"/>
  <c r="D9" i="1"/>
  <c r="AS8" i="1"/>
  <c r="AO8" i="1"/>
  <c r="AK8" i="1"/>
  <c r="AH8" i="1"/>
  <c r="AD8" i="1"/>
  <c r="Z8" i="1"/>
  <c r="W8" i="1"/>
  <c r="S8" i="1"/>
  <c r="O8" i="1"/>
  <c r="L8" i="1"/>
  <c r="H8" i="1"/>
  <c r="D8" i="1"/>
  <c r="AQ6" i="1"/>
  <c r="AM6" i="1"/>
  <c r="AF6" i="1"/>
  <c r="AB6" i="1"/>
  <c r="U6" i="1"/>
  <c r="U123" i="1" s="1"/>
  <c r="Q6" i="1"/>
  <c r="J6" i="1"/>
  <c r="J95" i="1" s="1"/>
  <c r="J109" i="1" s="1"/>
  <c r="J119" i="1" s="1"/>
  <c r="F6" i="1"/>
  <c r="AK3" i="1"/>
  <c r="Z3" i="1"/>
  <c r="O3" i="1"/>
  <c r="D3" i="1"/>
  <c r="V28" i="1" l="1"/>
  <c r="AO10" i="1"/>
  <c r="W15" i="1"/>
  <c r="AO18" i="1"/>
  <c r="AD19" i="1"/>
  <c r="L26" i="1"/>
  <c r="K31" i="1"/>
  <c r="V88" i="1"/>
  <c r="V81" i="1"/>
  <c r="W71" i="1"/>
  <c r="L77" i="1"/>
  <c r="W17" i="1"/>
  <c r="H20" i="1"/>
  <c r="W27" i="1"/>
  <c r="AR33" i="1"/>
  <c r="AS32" i="1"/>
  <c r="H71" i="1"/>
  <c r="S117" i="1"/>
  <c r="W135" i="1"/>
  <c r="AH15" i="1"/>
  <c r="L13" i="1"/>
  <c r="AO13" i="1"/>
  <c r="H18" i="1"/>
  <c r="J25" i="1"/>
  <c r="AO21" i="1"/>
  <c r="AN29" i="1"/>
  <c r="AO28" i="1"/>
  <c r="L58" i="1"/>
  <c r="AD77" i="1"/>
  <c r="W132" i="1"/>
  <c r="S134" i="1"/>
  <c r="AH83" i="1"/>
  <c r="AB16" i="1"/>
  <c r="AD16" i="1" s="1"/>
  <c r="S13" i="1"/>
  <c r="AO17" i="1"/>
  <c r="S22" i="1"/>
  <c r="AO30" i="1"/>
  <c r="S79" i="1"/>
  <c r="W14" i="1"/>
  <c r="AB21" i="1"/>
  <c r="AB84" i="1"/>
  <c r="AB83" i="1"/>
  <c r="L81" i="1"/>
  <c r="F25" i="1"/>
  <c r="AD12" i="1"/>
  <c r="W13" i="1"/>
  <c r="S14" i="1"/>
  <c r="H21" i="1"/>
  <c r="W21" i="1"/>
  <c r="W29" i="1"/>
  <c r="AQ33" i="1"/>
  <c r="H36" i="1"/>
  <c r="W148" i="1"/>
  <c r="H64" i="1"/>
  <c r="J79" i="1"/>
  <c r="AH82" i="1"/>
  <c r="W128" i="1"/>
  <c r="AD11" i="1"/>
  <c r="L15" i="1"/>
  <c r="L16" i="1"/>
  <c r="AS17" i="1"/>
  <c r="AG21" i="1"/>
  <c r="AH21" i="1" s="1"/>
  <c r="AD20" i="1"/>
  <c r="S21" i="1"/>
  <c r="AO22" i="1"/>
  <c r="AC27" i="1"/>
  <c r="S24" i="1"/>
  <c r="L37" i="1"/>
  <c r="H61" i="1"/>
  <c r="AD75" i="1"/>
  <c r="S78" i="1"/>
  <c r="AF83" i="1"/>
  <c r="AH81" i="1"/>
  <c r="S82" i="1"/>
  <c r="H124" i="1"/>
  <c r="S127" i="1"/>
  <c r="S130" i="1"/>
  <c r="W144" i="1"/>
  <c r="H45" i="1"/>
  <c r="S76" i="1"/>
  <c r="AH76" i="1"/>
  <c r="W116" i="1"/>
  <c r="W127" i="1"/>
  <c r="H17" i="1"/>
  <c r="W18" i="1"/>
  <c r="Q35" i="1"/>
  <c r="AS31" i="1"/>
  <c r="W34" i="1"/>
  <c r="L39" i="1"/>
  <c r="S75" i="1"/>
  <c r="W113" i="1"/>
  <c r="H116" i="1"/>
  <c r="L124" i="1"/>
  <c r="H127" i="1"/>
  <c r="S74" i="1"/>
  <c r="W165" i="1"/>
  <c r="W12" i="1"/>
  <c r="AS14" i="1"/>
  <c r="S10" i="1"/>
  <c r="H11" i="1"/>
  <c r="W11" i="1"/>
  <c r="AO12" i="1"/>
  <c r="AG13" i="1"/>
  <c r="S15" i="1"/>
  <c r="AS15" i="1"/>
  <c r="AH19" i="1"/>
  <c r="W20" i="1"/>
  <c r="S31" i="1"/>
  <c r="H35" i="1"/>
  <c r="S71" i="1"/>
  <c r="AH71" i="1"/>
  <c r="H99" i="1"/>
  <c r="W149" i="1"/>
  <c r="S151" i="1"/>
  <c r="W158" i="1"/>
  <c r="AO20" i="1"/>
  <c r="AS22" i="1"/>
  <c r="AS25" i="1"/>
  <c r="AO26" i="1"/>
  <c r="L27" i="1"/>
  <c r="H28" i="1"/>
  <c r="AS30" i="1"/>
  <c r="H32" i="1"/>
  <c r="L36" i="1"/>
  <c r="H38" i="1"/>
  <c r="H49" i="1"/>
  <c r="L50" i="1"/>
  <c r="H56" i="1"/>
  <c r="H63" i="1"/>
  <c r="L69" i="1"/>
  <c r="S77" i="1"/>
  <c r="S80" i="1"/>
  <c r="AH80" i="1"/>
  <c r="W117" i="1"/>
  <c r="H123" i="1"/>
  <c r="H126" i="1"/>
  <c r="W151" i="1"/>
  <c r="W161" i="1"/>
  <c r="S164" i="1"/>
  <c r="H24" i="1"/>
  <c r="AO24" i="1"/>
  <c r="AO27" i="1"/>
  <c r="AO31" i="1"/>
  <c r="AO32" i="1"/>
  <c r="L35" i="1"/>
  <c r="L38" i="1"/>
  <c r="H52" i="1"/>
  <c r="L53" i="1"/>
  <c r="H55" i="1"/>
  <c r="AF72" i="1"/>
  <c r="S73" i="1"/>
  <c r="W75" i="1"/>
  <c r="H82" i="1"/>
  <c r="W83" i="1"/>
  <c r="W87" i="1"/>
  <c r="L114" i="1"/>
  <c r="S116" i="1"/>
  <c r="W120" i="1"/>
  <c r="L127" i="1"/>
  <c r="W133" i="1"/>
  <c r="W146" i="1"/>
  <c r="W150" i="1"/>
  <c r="S34" i="1"/>
  <c r="L52" i="1"/>
  <c r="S70" i="1"/>
  <c r="AD74" i="1"/>
  <c r="L82" i="1"/>
  <c r="L125" i="1"/>
  <c r="W166" i="1"/>
  <c r="AF22" i="1"/>
  <c r="AH10" i="1"/>
  <c r="AF27" i="1"/>
  <c r="H27" i="1"/>
  <c r="S29" i="1"/>
  <c r="R35" i="1"/>
  <c r="AB22" i="1"/>
  <c r="AB13" i="1"/>
  <c r="AF14" i="1"/>
  <c r="AG26" i="1"/>
  <c r="AH26" i="1" s="1"/>
  <c r="AG27" i="1"/>
  <c r="AC14" i="1"/>
  <c r="AS10" i="1"/>
  <c r="AS12" i="1"/>
  <c r="AF13" i="1"/>
  <c r="AH13" i="1" s="1"/>
  <c r="AH18" i="1"/>
  <c r="AO19" i="1"/>
  <c r="AS21" i="1"/>
  <c r="AG22" i="1"/>
  <c r="AH23" i="1"/>
  <c r="AD69" i="1"/>
  <c r="S166" i="1"/>
  <c r="AG17" i="1"/>
  <c r="L60" i="1"/>
  <c r="J65" i="1"/>
  <c r="H10" i="1"/>
  <c r="H12" i="1"/>
  <c r="AS18" i="1"/>
  <c r="L24" i="1"/>
  <c r="U81" i="1"/>
  <c r="W69" i="1"/>
  <c r="AC72" i="1"/>
  <c r="AD72" i="1" s="1"/>
  <c r="H75" i="1"/>
  <c r="H14" i="1"/>
  <c r="S32" i="1"/>
  <c r="S84" i="1"/>
  <c r="Q154" i="1"/>
  <c r="Q140" i="1"/>
  <c r="Q123" i="1"/>
  <c r="Q109" i="1"/>
  <c r="AC22" i="1"/>
  <c r="AC21" i="1"/>
  <c r="AD21" i="1" s="1"/>
  <c r="AO11" i="1"/>
  <c r="AM33" i="1"/>
  <c r="AM29" i="1"/>
  <c r="AB14" i="1"/>
  <c r="W16" i="1"/>
  <c r="AD18" i="1"/>
  <c r="S19" i="1"/>
  <c r="G25" i="1"/>
  <c r="AH20" i="1"/>
  <c r="AD23" i="1"/>
  <c r="AD24" i="1"/>
  <c r="F31" i="1"/>
  <c r="H50" i="1"/>
  <c r="J59" i="1"/>
  <c r="F85" i="1"/>
  <c r="H69" i="1"/>
  <c r="AB78" i="1"/>
  <c r="U88" i="1"/>
  <c r="AH12" i="1"/>
  <c r="AF16" i="1"/>
  <c r="AH16" i="1" s="1"/>
  <c r="AS19" i="1"/>
  <c r="AH69" i="1"/>
  <c r="AG72" i="1"/>
  <c r="AH72" i="1" s="1"/>
  <c r="AC83" i="1"/>
  <c r="AD83" i="1" s="1"/>
  <c r="AD80" i="1"/>
  <c r="AC84" i="1"/>
  <c r="AH11" i="1"/>
  <c r="S16" i="1"/>
  <c r="G31" i="1"/>
  <c r="H26" i="1"/>
  <c r="K59" i="1"/>
  <c r="K79" i="1" s="1"/>
  <c r="L54" i="1"/>
  <c r="AS26" i="1"/>
  <c r="L29" i="1"/>
  <c r="L49" i="1"/>
  <c r="W70" i="1"/>
  <c r="L73" i="1"/>
  <c r="F79" i="1"/>
  <c r="AG77" i="1"/>
  <c r="AH77" i="1" s="1"/>
  <c r="AH74" i="1"/>
  <c r="L76" i="1"/>
  <c r="W80" i="1"/>
  <c r="AR29" i="1"/>
  <c r="L33" i="1"/>
  <c r="V35" i="1"/>
  <c r="L40" i="1"/>
  <c r="G65" i="1"/>
  <c r="G85" i="1" s="1"/>
  <c r="H60" i="1"/>
  <c r="R81" i="1"/>
  <c r="AF77" i="1"/>
  <c r="AH75" i="1"/>
  <c r="W82" i="1"/>
  <c r="J85" i="1"/>
  <c r="L115" i="1"/>
  <c r="H125" i="1"/>
  <c r="U140" i="1"/>
  <c r="U109" i="1"/>
  <c r="U154" i="1"/>
  <c r="AC15" i="1"/>
  <c r="AD15" i="1" s="1"/>
  <c r="U35" i="1"/>
  <c r="S33" i="1"/>
  <c r="L57" i="1"/>
  <c r="H72" i="1"/>
  <c r="AG78" i="1"/>
  <c r="S85" i="1"/>
  <c r="AC13" i="1"/>
  <c r="G59" i="1"/>
  <c r="G79" i="1" s="1"/>
  <c r="L100" i="1"/>
  <c r="K99" i="1"/>
  <c r="L99" i="1" s="1"/>
  <c r="H117" i="1"/>
  <c r="R28" i="1"/>
  <c r="AB26" i="1"/>
  <c r="AD26" i="1" s="1"/>
  <c r="AB27" i="1"/>
  <c r="H34" i="1"/>
  <c r="AC78" i="1"/>
  <c r="R88" i="1"/>
  <c r="AF84" i="1"/>
  <c r="H113" i="1"/>
  <c r="S148" i="1"/>
  <c r="W130" i="1"/>
  <c r="W114" i="1"/>
  <c r="S121" i="1"/>
  <c r="AB17" i="1" l="1"/>
  <c r="AF17" i="1"/>
  <c r="AH17" i="1" s="1"/>
  <c r="AH14" i="1"/>
  <c r="AD13" i="1"/>
  <c r="AD14" i="1"/>
  <c r="AC17" i="1"/>
  <c r="AD17" i="1" s="1"/>
</calcChain>
</file>

<file path=xl/sharedStrings.xml><?xml version="1.0" encoding="utf-8"?>
<sst xmlns="http://schemas.openxmlformats.org/spreadsheetml/2006/main" count="10" uniqueCount="7">
  <si>
    <t>idioma</t>
  </si>
  <si>
    <t>ENG</t>
  </si>
  <si>
    <t>ESP</t>
  </si>
  <si>
    <t>Español</t>
  </si>
  <si>
    <t>English</t>
  </si>
  <si>
    <t>El País</t>
  </si>
  <si>
    <t>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</si>
</sst>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%"/>
    <numFmt numFmtId="165" formatCode="#,##0.0"/>
    <numFmt numFmtId="166" formatCode="#,##0.0;\(#,##0.0\)"/>
    <numFmt numFmtId="167" formatCode="0.0;\ \(0.0\)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Neo Sans Pro"/>
      <family val="2"/>
    </font>
    <font>
      <b/>
      <sz val="12"/>
      <color rgb="FF0070C0"/>
      <name val="Neo Sans Pro"/>
      <family val="2"/>
    </font>
    <font>
      <b/>
      <sz val="10"/>
      <color theme="0"/>
      <name val="Neo Sans Pro"/>
      <family val="2"/>
    </font>
    <font>
      <sz val="8"/>
      <color theme="1"/>
      <name val="Neo Sans Pro"/>
      <family val="2"/>
    </font>
    <font>
      <b/>
      <sz val="10"/>
      <color rgb="FF00B0F0"/>
      <name val="Neo Sans Pro"/>
      <family val="2"/>
    </font>
    <font>
      <b/>
      <sz val="10"/>
      <color theme="1"/>
      <name val="Neo Sans Pro"/>
      <family val="2"/>
    </font>
    <font>
      <i/>
      <sz val="10"/>
      <color theme="1"/>
      <name val="Neo Sans Pro"/>
      <family val="2"/>
    </font>
    <font>
      <b/>
      <sz val="10"/>
      <color rgb="FFFF0000"/>
      <name val="Neo Sans Pro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00076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ashed">
        <color theme="4" tint="-0.499984740745262"/>
      </bottom>
      <diagonal/>
    </border>
    <border>
      <left/>
      <right/>
      <top/>
      <bottom style="thin">
        <color theme="4" tint="-0.4999847407452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4" tint="-0.499984740745262"/>
      </top>
      <bottom style="thin">
        <color indexed="64"/>
      </bottom>
      <diagonal/>
    </border>
    <border>
      <left/>
      <right/>
      <top style="thick">
        <color theme="0"/>
      </top>
      <bottom/>
      <diagonal/>
    </border>
    <border>
      <left/>
      <right/>
      <top style="thick">
        <color theme="0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7">
    <xf numFmtId="0" fontId="0" fillId="0" borderId="0" xfId="0"/>
    <xf numFmtId="0" fontId="2" fillId="2" borderId="0" xfId="0" applyFont="1" applyFill="1"/>
    <xf numFmtId="0" fontId="2" fillId="2" borderId="1" xfId="0" applyFont="1" applyFill="1" applyBorder="1"/>
    <xf numFmtId="0" fontId="3" fillId="2" borderId="2" xfId="0" applyFont="1" applyFill="1" applyBorder="1"/>
    <xf numFmtId="0" fontId="2" fillId="2" borderId="2" xfId="0" applyFont="1" applyFill="1" applyBorder="1"/>
    <xf numFmtId="164" fontId="2" fillId="2" borderId="2" xfId="1" applyNumberFormat="1" applyFont="1" applyFill="1" applyBorder="1"/>
    <xf numFmtId="0" fontId="2" fillId="2" borderId="0" xfId="0" quotePrefix="1" applyFont="1" applyFill="1"/>
    <xf numFmtId="0" fontId="4" fillId="3" borderId="0" xfId="0" applyFont="1" applyFill="1" applyAlignment="1">
      <alignment horizontal="centerContinuous" vertical="center"/>
    </xf>
    <xf numFmtId="0" fontId="2" fillId="3" borderId="0" xfId="0" applyFont="1" applyFill="1" applyAlignment="1">
      <alignment horizontal="centerContinuous" vertical="center"/>
    </xf>
    <xf numFmtId="0" fontId="5" fillId="2" borderId="0" xfId="0" applyFont="1" applyFill="1"/>
    <xf numFmtId="0" fontId="4" fillId="3" borderId="0" xfId="0" applyFont="1" applyFill="1" applyAlignment="1">
      <alignment horizontal="right" indent="1"/>
    </xf>
    <xf numFmtId="0" fontId="6" fillId="2" borderId="3" xfId="0" applyFont="1" applyFill="1" applyBorder="1"/>
    <xf numFmtId="165" fontId="2" fillId="2" borderId="3" xfId="0" applyNumberFormat="1" applyFont="1" applyFill="1" applyBorder="1"/>
    <xf numFmtId="0" fontId="2" fillId="2" borderId="3" xfId="0" applyFont="1" applyFill="1" applyBorder="1"/>
    <xf numFmtId="0" fontId="7" fillId="2" borderId="0" xfId="0" applyFont="1" applyFill="1"/>
    <xf numFmtId="166" fontId="7" fillId="4" borderId="0" xfId="0" applyNumberFormat="1" applyFont="1" applyFill="1" applyAlignment="1">
      <alignment horizontal="right" indent="1"/>
    </xf>
    <xf numFmtId="166" fontId="7" fillId="2" borderId="0" xfId="0" applyNumberFormat="1" applyFont="1" applyFill="1" applyAlignment="1">
      <alignment horizontal="right" indent="1"/>
    </xf>
    <xf numFmtId="167" fontId="7" fillId="2" borderId="0" xfId="0" applyNumberFormat="1" applyFont="1" applyFill="1" applyAlignment="1">
      <alignment horizontal="right" indent="1"/>
    </xf>
    <xf numFmtId="0" fontId="7" fillId="2" borderId="4" xfId="0" applyFont="1" applyFill="1" applyBorder="1"/>
    <xf numFmtId="166" fontId="7" fillId="4" borderId="5" xfId="0" applyNumberFormat="1" applyFont="1" applyFill="1" applyBorder="1" applyAlignment="1">
      <alignment horizontal="right" indent="1"/>
    </xf>
    <xf numFmtId="166" fontId="7" fillId="2" borderId="5" xfId="0" applyNumberFormat="1" applyFont="1" applyFill="1" applyBorder="1" applyAlignment="1">
      <alignment horizontal="right" indent="1"/>
    </xf>
    <xf numFmtId="167" fontId="7" fillId="2" borderId="5" xfId="0" applyNumberFormat="1" applyFont="1" applyFill="1" applyBorder="1" applyAlignment="1">
      <alignment horizontal="right" indent="1"/>
    </xf>
    <xf numFmtId="0" fontId="2" fillId="2" borderId="0" xfId="0" applyFont="1" applyFill="1" applyAlignment="1">
      <alignment horizontal="left" indent="2"/>
    </xf>
    <xf numFmtId="166" fontId="2" fillId="4" borderId="0" xfId="0" applyNumberFormat="1" applyFont="1" applyFill="1" applyAlignment="1">
      <alignment horizontal="right" indent="1"/>
    </xf>
    <xf numFmtId="166" fontId="2" fillId="2" borderId="0" xfId="0" applyNumberFormat="1" applyFont="1" applyFill="1" applyAlignment="1">
      <alignment horizontal="right" indent="1"/>
    </xf>
    <xf numFmtId="167" fontId="2" fillId="2" borderId="0" xfId="0" applyNumberFormat="1" applyFont="1" applyFill="1" applyAlignment="1">
      <alignment horizontal="right" indent="1"/>
    </xf>
    <xf numFmtId="0" fontId="7" fillId="2" borderId="0" xfId="0" applyFont="1" applyFill="1" applyAlignment="1">
      <alignment horizontal="left" indent="1"/>
    </xf>
    <xf numFmtId="0" fontId="8" fillId="2" borderId="0" xfId="0" applyFont="1" applyFill="1" applyAlignment="1">
      <alignment horizontal="left" indent="2"/>
    </xf>
    <xf numFmtId="0" fontId="8" fillId="2" borderId="0" xfId="0" applyFont="1" applyFill="1"/>
    <xf numFmtId="166" fontId="8" fillId="4" borderId="0" xfId="0" applyNumberFormat="1" applyFont="1" applyFill="1" applyAlignment="1">
      <alignment horizontal="right" indent="1"/>
    </xf>
    <xf numFmtId="166" fontId="8" fillId="2" borderId="0" xfId="0" applyNumberFormat="1" applyFont="1" applyFill="1" applyAlignment="1">
      <alignment horizontal="right" indent="1"/>
    </xf>
    <xf numFmtId="167" fontId="8" fillId="2" borderId="0" xfId="0" applyNumberFormat="1" applyFont="1" applyFill="1" applyAlignment="1">
      <alignment horizontal="right" indent="1"/>
    </xf>
    <xf numFmtId="0" fontId="2" fillId="2" borderId="0" xfId="0" applyFont="1" applyFill="1" applyAlignment="1">
      <alignment horizontal="left" indent="4"/>
    </xf>
    <xf numFmtId="0" fontId="8" fillId="2" borderId="0" xfId="0" applyFont="1" applyFill="1" applyAlignment="1">
      <alignment horizontal="left" indent="4"/>
    </xf>
    <xf numFmtId="167" fontId="7" fillId="2" borderId="6" xfId="0" applyNumberFormat="1" applyFont="1" applyFill="1" applyBorder="1" applyAlignment="1">
      <alignment horizontal="right" indent="1"/>
    </xf>
    <xf numFmtId="0" fontId="8" fillId="2" borderId="0" xfId="0" applyFont="1" applyFill="1" applyAlignment="1">
      <alignment horizontal="left" indent="6"/>
    </xf>
    <xf numFmtId="164" fontId="8" fillId="4" borderId="0" xfId="0" applyNumberFormat="1" applyFont="1" applyFill="1" applyAlignment="1">
      <alignment horizontal="right" indent="1"/>
    </xf>
    <xf numFmtId="164" fontId="8" fillId="2" borderId="0" xfId="0" applyNumberFormat="1" applyFont="1" applyFill="1" applyAlignment="1">
      <alignment horizontal="right" indent="1"/>
    </xf>
    <xf numFmtId="0" fontId="8" fillId="2" borderId="0" xfId="0" applyFont="1" applyFill="1" applyAlignment="1">
      <alignment horizontal="right" indent="1"/>
    </xf>
    <xf numFmtId="0" fontId="7" fillId="2" borderId="7" xfId="0" applyFont="1" applyFill="1" applyBorder="1"/>
    <xf numFmtId="0" fontId="7" fillId="2" borderId="6" xfId="0" applyFont="1" applyFill="1" applyBorder="1"/>
    <xf numFmtId="166" fontId="7" fillId="4" borderId="4" xfId="0" applyNumberFormat="1" applyFont="1" applyFill="1" applyBorder="1" applyAlignment="1">
      <alignment horizontal="right" indent="1"/>
    </xf>
    <xf numFmtId="166" fontId="7" fillId="2" borderId="7" xfId="0" applyNumberFormat="1" applyFont="1" applyFill="1" applyBorder="1" applyAlignment="1">
      <alignment horizontal="right" indent="1"/>
    </xf>
    <xf numFmtId="167" fontId="7" fillId="2" borderId="7" xfId="0" applyNumberFormat="1" applyFont="1" applyFill="1" applyBorder="1" applyAlignment="1">
      <alignment horizontal="right" indent="1"/>
    </xf>
    <xf numFmtId="0" fontId="7" fillId="2" borderId="4" xfId="0" applyFont="1" applyFill="1" applyBorder="1" applyAlignment="1">
      <alignment horizontal="left" indent="1"/>
    </xf>
    <xf numFmtId="0" fontId="8" fillId="2" borderId="0" xfId="0" applyFont="1" applyFill="1" applyBorder="1" applyAlignment="1">
      <alignment horizontal="left" indent="2"/>
    </xf>
    <xf numFmtId="164" fontId="8" fillId="4" borderId="0" xfId="0" applyNumberFormat="1" applyFont="1" applyFill="1" applyBorder="1" applyAlignment="1">
      <alignment horizontal="right" indent="1"/>
    </xf>
    <xf numFmtId="164" fontId="8" fillId="2" borderId="0" xfId="0" applyNumberFormat="1" applyFont="1" applyFill="1" applyBorder="1" applyAlignment="1">
      <alignment horizontal="right" indent="1"/>
    </xf>
    <xf numFmtId="0" fontId="8" fillId="2" borderId="0" xfId="0" applyFont="1" applyFill="1" applyBorder="1" applyAlignment="1">
      <alignment horizontal="right" indent="1"/>
    </xf>
    <xf numFmtId="0" fontId="5" fillId="2" borderId="0" xfId="0" applyFont="1" applyFill="1" applyBorder="1"/>
    <xf numFmtId="0" fontId="2" fillId="2" borderId="0" xfId="0" applyFont="1" applyFill="1" applyBorder="1"/>
    <xf numFmtId="0" fontId="4" fillId="2" borderId="0" xfId="0" applyFont="1" applyFill="1" applyBorder="1" applyAlignment="1">
      <alignment horizontal="right" indent="1"/>
    </xf>
    <xf numFmtId="0" fontId="6" fillId="2" borderId="0" xfId="0" applyFont="1" applyFill="1" applyBorder="1"/>
    <xf numFmtId="0" fontId="8" fillId="2" borderId="3" xfId="0" applyFont="1" applyFill="1" applyBorder="1" applyAlignment="1">
      <alignment horizontal="left" indent="2"/>
    </xf>
    <xf numFmtId="164" fontId="8" fillId="4" borderId="3" xfId="0" applyNumberFormat="1" applyFont="1" applyFill="1" applyBorder="1" applyAlignment="1">
      <alignment horizontal="right" indent="1"/>
    </xf>
    <xf numFmtId="164" fontId="8" fillId="2" borderId="3" xfId="0" applyNumberFormat="1" applyFont="1" applyFill="1" applyBorder="1" applyAlignment="1">
      <alignment horizontal="right" indent="1"/>
    </xf>
    <xf numFmtId="0" fontId="8" fillId="2" borderId="3" xfId="0" applyFont="1" applyFill="1" applyBorder="1" applyAlignment="1">
      <alignment horizontal="right" indent="1"/>
    </xf>
    <xf numFmtId="0" fontId="7" fillId="2" borderId="0" xfId="0" applyFont="1" applyFill="1" applyBorder="1"/>
    <xf numFmtId="166" fontId="7" fillId="2" borderId="0" xfId="0" applyNumberFormat="1" applyFont="1" applyFill="1" applyBorder="1" applyAlignment="1">
      <alignment horizontal="right" indent="1"/>
    </xf>
    <xf numFmtId="167" fontId="7" fillId="2" borderId="0" xfId="0" applyNumberFormat="1" applyFont="1" applyFill="1" applyBorder="1" applyAlignment="1">
      <alignment horizontal="right" indent="1"/>
    </xf>
    <xf numFmtId="0" fontId="2" fillId="2" borderId="0" xfId="0" applyFont="1" applyFill="1" applyBorder="1" applyAlignment="1">
      <alignment horizontal="left" indent="2"/>
    </xf>
    <xf numFmtId="166" fontId="2" fillId="2" borderId="0" xfId="0" applyNumberFormat="1" applyFont="1" applyFill="1" applyBorder="1" applyAlignment="1">
      <alignment horizontal="right" indent="1"/>
    </xf>
    <xf numFmtId="167" fontId="2" fillId="2" borderId="0" xfId="0" applyNumberFormat="1" applyFont="1" applyFill="1" applyBorder="1" applyAlignment="1">
      <alignment horizontal="right" indent="1"/>
    </xf>
    <xf numFmtId="165" fontId="2" fillId="2" borderId="0" xfId="0" applyNumberFormat="1" applyFont="1" applyFill="1"/>
    <xf numFmtId="0" fontId="8" fillId="2" borderId="0" xfId="0" applyFont="1" applyFill="1" applyBorder="1"/>
    <xf numFmtId="0" fontId="7" fillId="2" borderId="0" xfId="0" applyFont="1" applyFill="1" applyBorder="1" applyAlignment="1">
      <alignment horizontal="left" indent="1"/>
    </xf>
    <xf numFmtId="0" fontId="8" fillId="2" borderId="0" xfId="0" applyFont="1" applyFill="1" applyBorder="1" applyAlignment="1">
      <alignment horizontal="left" indent="4"/>
    </xf>
    <xf numFmtId="166" fontId="8" fillId="2" borderId="0" xfId="0" applyNumberFormat="1" applyFont="1" applyFill="1" applyBorder="1" applyAlignment="1">
      <alignment horizontal="right" indent="1"/>
    </xf>
    <xf numFmtId="167" fontId="8" fillId="2" borderId="0" xfId="0" applyNumberFormat="1" applyFont="1" applyFill="1" applyBorder="1" applyAlignment="1">
      <alignment horizontal="right" indent="1"/>
    </xf>
    <xf numFmtId="0" fontId="2" fillId="2" borderId="0" xfId="0" applyFont="1" applyFill="1" applyBorder="1" applyAlignment="1">
      <alignment horizontal="left" indent="4"/>
    </xf>
    <xf numFmtId="166" fontId="7" fillId="2" borderId="6" xfId="0" applyNumberFormat="1" applyFont="1" applyFill="1" applyBorder="1" applyAlignment="1">
      <alignment horizontal="right" indent="1"/>
    </xf>
    <xf numFmtId="0" fontId="7" fillId="2" borderId="3" xfId="0" applyFont="1" applyFill="1" applyBorder="1"/>
    <xf numFmtId="166" fontId="7" fillId="4" borderId="3" xfId="0" applyNumberFormat="1" applyFont="1" applyFill="1" applyBorder="1" applyAlignment="1">
      <alignment horizontal="right" indent="1"/>
    </xf>
    <xf numFmtId="166" fontId="7" fillId="2" borderId="3" xfId="0" applyNumberFormat="1" applyFont="1" applyFill="1" applyBorder="1" applyAlignment="1">
      <alignment horizontal="right" indent="1"/>
    </xf>
    <xf numFmtId="167" fontId="7" fillId="2" borderId="3" xfId="0" applyNumberFormat="1" applyFont="1" applyFill="1" applyBorder="1" applyAlignment="1">
      <alignment horizontal="right" indent="1"/>
    </xf>
    <xf numFmtId="0" fontId="2" fillId="5" borderId="0" xfId="0" applyFont="1" applyFill="1"/>
    <xf numFmtId="0" fontId="9" fillId="2" borderId="0" xfId="0" applyFont="1" applyFill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RUPO%20PRISA/CUADRO%20DE%20MANDO/Ejercicio%202020/9.%20Septiembre/Nota%20IR/TABLAS%20NOTA%20IR%20de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UPO"/>
      <sheetName val="SANTILLANA"/>
      <sheetName val="RADIO"/>
      <sheetName val="NOTICIAS"/>
      <sheetName val="TRANSFORMACIÓN"/>
      <sheetName val="To Publish 3Q"/>
      <sheetName val="MEDIA CAPITAL"/>
      <sheetName val="To Publish 2Q"/>
      <sheetName val="Hoja1"/>
    </sheetNames>
    <sheetDataSet>
      <sheetData sheetId="0">
        <row r="10">
          <cell r="K10">
            <v>392.79505977231901</v>
          </cell>
          <cell r="T10">
            <v>615.97988395455809</v>
          </cell>
          <cell r="U10">
            <v>796.88588326507397</v>
          </cell>
          <cell r="X10">
            <v>223.18482418223908</v>
          </cell>
          <cell r="Y10">
            <v>311.21833101564198</v>
          </cell>
        </row>
        <row r="11">
          <cell r="T11">
            <v>312.06880735259108</v>
          </cell>
          <cell r="U11">
            <v>416.34925954256704</v>
          </cell>
          <cell r="X11">
            <v>146.33153550912925</v>
          </cell>
          <cell r="Y11">
            <v>182.37677450004651</v>
          </cell>
        </row>
        <row r="12">
          <cell r="T12">
            <v>303.91107660196701</v>
          </cell>
          <cell r="U12">
            <v>380.53662372250693</v>
          </cell>
          <cell r="X12">
            <v>76.85328867310983</v>
          </cell>
          <cell r="Y12">
            <v>128.84155651559547</v>
          </cell>
        </row>
        <row r="13">
          <cell r="T13">
            <v>299.53412260196694</v>
          </cell>
          <cell r="U13">
            <v>376.70342572250695</v>
          </cell>
          <cell r="X13">
            <v>73.272410673109761</v>
          </cell>
          <cell r="Y13">
            <v>125.2279475155955</v>
          </cell>
        </row>
        <row r="14">
          <cell r="T14">
            <v>4.3769539999999996</v>
          </cell>
          <cell r="U14">
            <v>3.8331979999999999</v>
          </cell>
          <cell r="X14">
            <v>3.5808779999999993</v>
          </cell>
          <cell r="Y14">
            <v>3.6136089999999998</v>
          </cell>
        </row>
        <row r="15">
          <cell r="T15">
            <v>533.85287787861296</v>
          </cell>
          <cell r="U15">
            <v>682.671241065912</v>
          </cell>
          <cell r="X15">
            <v>173.16270380260835</v>
          </cell>
          <cell r="Y15">
            <v>231.6562819250388</v>
          </cell>
        </row>
        <row r="16">
          <cell r="T16">
            <v>290.80900762711622</v>
          </cell>
          <cell r="U16">
            <v>390.45838301256731</v>
          </cell>
          <cell r="X16">
            <v>108.85558669512832</v>
          </cell>
          <cell r="Y16">
            <v>128.91788300004657</v>
          </cell>
        </row>
        <row r="17">
          <cell r="T17">
            <v>243.04387025149674</v>
          </cell>
          <cell r="U17">
            <v>292.21285805334463</v>
          </cell>
          <cell r="X17">
            <v>64.307117107480025</v>
          </cell>
          <cell r="Y17">
            <v>102.7383989249922</v>
          </cell>
        </row>
        <row r="18">
          <cell r="T18">
            <v>241.25389696149671</v>
          </cell>
          <cell r="U18">
            <v>290.76919905334466</v>
          </cell>
          <cell r="X18">
            <v>63.157128407480002</v>
          </cell>
          <cell r="Y18">
            <v>101.74702492499225</v>
          </cell>
        </row>
        <row r="19">
          <cell r="T19">
            <v>1.7899732899999896</v>
          </cell>
          <cell r="U19">
            <v>1.4436589999999998</v>
          </cell>
          <cell r="X19">
            <v>1.1499886999999815</v>
          </cell>
          <cell r="Y19">
            <v>0.99137399999999976</v>
          </cell>
        </row>
        <row r="20">
          <cell r="T20">
            <v>82.127006075945104</v>
          </cell>
          <cell r="U20">
            <v>114.21464219916199</v>
          </cell>
          <cell r="X20">
            <v>50.022120379630707</v>
          </cell>
          <cell r="Y20">
            <v>79.562049090603182</v>
          </cell>
        </row>
        <row r="21">
          <cell r="T21">
            <v>21.259799725474849</v>
          </cell>
          <cell r="U21">
            <v>25.890876529999701</v>
          </cell>
          <cell r="X21">
            <v>37.475948814000922</v>
          </cell>
          <cell r="Y21">
            <v>53.458891499999929</v>
          </cell>
        </row>
        <row r="22">
          <cell r="T22">
            <v>60.867206350470255</v>
          </cell>
          <cell r="U22">
            <v>88.323765669162285</v>
          </cell>
          <cell r="X22">
            <v>12.546171565629784</v>
          </cell>
          <cell r="Y22">
            <v>26.103157590603253</v>
          </cell>
        </row>
        <row r="23">
          <cell r="T23">
            <v>58.280225640470242</v>
          </cell>
          <cell r="U23">
            <v>85.934226669162285</v>
          </cell>
          <cell r="X23">
            <v>10.115282265629766</v>
          </cell>
          <cell r="Y23">
            <v>23.480922590603249</v>
          </cell>
        </row>
        <row r="24">
          <cell r="T24">
            <v>2.58698071000001</v>
          </cell>
          <cell r="U24">
            <v>2.3895390000000001</v>
          </cell>
          <cell r="X24">
            <v>2.4308893000000178</v>
          </cell>
          <cell r="Y24">
            <v>2.6222349999999999</v>
          </cell>
        </row>
        <row r="26">
          <cell r="T26">
            <v>-9.2385504609870772E-2</v>
          </cell>
          <cell r="U26">
            <v>49.595165304386299</v>
          </cell>
          <cell r="X26">
            <v>27.728445531258867</v>
          </cell>
          <cell r="Y26">
            <v>56.932713847507294</v>
          </cell>
        </row>
        <row r="27">
          <cell r="T27">
            <v>-9.8018181352865312</v>
          </cell>
          <cell r="U27">
            <v>-3.6595852202175152</v>
          </cell>
          <cell r="X27">
            <v>23.167043037471792</v>
          </cell>
          <cell r="Y27">
            <v>39.267929330793919</v>
          </cell>
        </row>
        <row r="28">
          <cell r="T28">
            <v>9.7094326306766607</v>
          </cell>
          <cell r="U28">
            <v>53.254750524603814</v>
          </cell>
          <cell r="X28">
            <v>4.5614024937870781</v>
          </cell>
          <cell r="Y28">
            <v>17.664784516713375</v>
          </cell>
        </row>
        <row r="29">
          <cell r="T29">
            <v>7.2519819206766511</v>
          </cell>
          <cell r="U29">
            <v>50.919221524603813</v>
          </cell>
          <cell r="X29">
            <v>2.251756193787056</v>
          </cell>
          <cell r="Y29">
            <v>15.280095516713367</v>
          </cell>
        </row>
        <row r="30">
          <cell r="T30">
            <v>2.45745071000001</v>
          </cell>
          <cell r="U30">
            <v>2.3355290000000002</v>
          </cell>
          <cell r="X30">
            <v>2.3096463000000229</v>
          </cell>
          <cell r="Y30">
            <v>2.3846890000000003</v>
          </cell>
        </row>
        <row r="32">
          <cell r="T32">
            <v>-59.652897644117104</v>
          </cell>
          <cell r="U32">
            <v>-61.435525641319302</v>
          </cell>
          <cell r="X32">
            <v>-21.906743752638903</v>
          </cell>
          <cell r="Y32">
            <v>-21.976677437270396</v>
          </cell>
        </row>
        <row r="33">
          <cell r="T33">
            <v>-52.888720347001204</v>
          </cell>
          <cell r="U33">
            <v>-44.158677069347199</v>
          </cell>
          <cell r="X33">
            <v>-19.0051506044056</v>
          </cell>
          <cell r="Y33">
            <v>-15.651786847649802</v>
          </cell>
        </row>
        <row r="34">
          <cell r="T34">
            <v>-6.7641772971159</v>
          </cell>
          <cell r="U34">
            <v>-17.276848571972103</v>
          </cell>
          <cell r="X34">
            <v>-2.9015931482333031</v>
          </cell>
          <cell r="Y34">
            <v>-6.324890589620594</v>
          </cell>
        </row>
        <row r="35">
          <cell r="T35">
            <v>-6.8207779943065194</v>
          </cell>
          <cell r="U35">
            <v>1.13788140134777</v>
          </cell>
          <cell r="X35">
            <v>0.1204097669016404</v>
          </cell>
          <cell r="Y35">
            <v>0.54172976482838409</v>
          </cell>
        </row>
        <row r="36">
          <cell r="T36">
            <v>-66.566061143033494</v>
          </cell>
          <cell r="U36">
            <v>-10.702478935585233</v>
          </cell>
          <cell r="X36">
            <v>5.9421115455215983</v>
          </cell>
          <cell r="Y36">
            <v>35.49776617506528</v>
          </cell>
        </row>
        <row r="37">
          <cell r="T37">
            <v>80.442630347367341</v>
          </cell>
          <cell r="U37">
            <v>29.56358476505785</v>
          </cell>
          <cell r="X37">
            <v>4.4646105278321784</v>
          </cell>
          <cell r="Y37">
            <v>16.446725799241889</v>
          </cell>
        </row>
        <row r="38">
          <cell r="T38">
            <v>-76.518274609643996</v>
          </cell>
          <cell r="U38">
            <v>-69.859885081028111</v>
          </cell>
          <cell r="X38">
            <v>-1.3749079395604866</v>
          </cell>
          <cell r="Y38">
            <v>-76.871206105722337</v>
          </cell>
        </row>
        <row r="39">
          <cell r="T39">
            <v>-14.2276571647604</v>
          </cell>
          <cell r="U39">
            <v>0.31189006975065148</v>
          </cell>
          <cell r="X39">
            <v>-2.6488924393388</v>
          </cell>
          <cell r="Y39">
            <v>1.0696159104756386</v>
          </cell>
        </row>
        <row r="40">
          <cell r="T40">
            <v>-209.29930893528444</v>
          </cell>
          <cell r="U40">
            <v>-110.43783885142184</v>
          </cell>
          <cell r="X40">
            <v>2.751485517467728</v>
          </cell>
          <cell r="Y40">
            <v>-58.889781640374579</v>
          </cell>
        </row>
        <row r="41">
          <cell r="T41">
            <v>77.290000000000006</v>
          </cell>
          <cell r="U41">
            <v>76.379000000000005</v>
          </cell>
          <cell r="X41">
            <v>0</v>
          </cell>
          <cell r="Y41">
            <v>76.379000000000005</v>
          </cell>
        </row>
        <row r="42">
          <cell r="U42">
            <v>40.828660400000004</v>
          </cell>
          <cell r="Y42">
            <v>0</v>
          </cell>
        </row>
        <row r="43">
          <cell r="T43">
            <v>64.486310131588951</v>
          </cell>
          <cell r="X43">
            <v>0</v>
          </cell>
        </row>
        <row r="44">
          <cell r="T44">
            <v>21.921520523455278</v>
          </cell>
          <cell r="X44">
            <v>0</v>
          </cell>
        </row>
        <row r="45">
          <cell r="T45">
            <v>-45.601478280240194</v>
          </cell>
          <cell r="U45">
            <v>6.7698215485781645</v>
          </cell>
          <cell r="X45">
            <v>2.7514855174677564</v>
          </cell>
          <cell r="Y45">
            <v>17.489218359625426</v>
          </cell>
        </row>
        <row r="49">
          <cell r="T49">
            <v>615.97988395455809</v>
          </cell>
          <cell r="U49">
            <v>796.88588326507397</v>
          </cell>
          <cell r="X49">
            <v>223.18482418223908</v>
          </cell>
          <cell r="Y49">
            <v>311.21833101564198</v>
          </cell>
        </row>
        <row r="50">
          <cell r="T50">
            <v>312.06880735259108</v>
          </cell>
          <cell r="U50">
            <v>416.34925954256704</v>
          </cell>
          <cell r="X50">
            <v>146.33153550912925</v>
          </cell>
          <cell r="Y50">
            <v>182.37677450004651</v>
          </cell>
        </row>
        <row r="51">
          <cell r="T51">
            <v>303.91107660196701</v>
          </cell>
          <cell r="U51">
            <v>380.53662372250693</v>
          </cell>
          <cell r="X51">
            <v>76.85328867310983</v>
          </cell>
          <cell r="Y51">
            <v>128.84155651559547</v>
          </cell>
        </row>
        <row r="52">
          <cell r="T52">
            <v>299.53412260196694</v>
          </cell>
          <cell r="U52">
            <v>376.70342572250695</v>
          </cell>
          <cell r="X52">
            <v>73.272410673109761</v>
          </cell>
          <cell r="Y52">
            <v>125.2279475155955</v>
          </cell>
        </row>
        <row r="53">
          <cell r="T53">
            <v>4.3769539999999996</v>
          </cell>
          <cell r="U53">
            <v>3.8331979999999999</v>
          </cell>
          <cell r="X53">
            <v>3.5808779999999993</v>
          </cell>
          <cell r="Y53">
            <v>3.6136089999999998</v>
          </cell>
        </row>
        <row r="54">
          <cell r="T54">
            <v>82.127006075945104</v>
          </cell>
          <cell r="U54">
            <v>165.25046769916199</v>
          </cell>
          <cell r="X54">
            <v>50.022120379630707</v>
          </cell>
          <cell r="Y54">
            <v>79.562049090603182</v>
          </cell>
        </row>
        <row r="55">
          <cell r="T55">
            <v>21.259799725474849</v>
          </cell>
          <cell r="U55">
            <v>76.926702029999703</v>
          </cell>
          <cell r="X55">
            <v>37.475948814000922</v>
          </cell>
          <cell r="Y55">
            <v>53.458891499999929</v>
          </cell>
        </row>
        <row r="56">
          <cell r="T56">
            <v>60.867206350470255</v>
          </cell>
          <cell r="U56">
            <v>88.323765669162285</v>
          </cell>
          <cell r="X56">
            <v>12.546171565629784</v>
          </cell>
          <cell r="Y56">
            <v>26.103157590603253</v>
          </cell>
        </row>
        <row r="57">
          <cell r="T57">
            <v>58.280225640470242</v>
          </cell>
          <cell r="U57">
            <v>85.934226669162285</v>
          </cell>
          <cell r="X57">
            <v>10.115282265629766</v>
          </cell>
          <cell r="Y57">
            <v>23.480922590603249</v>
          </cell>
        </row>
        <row r="58">
          <cell r="T58">
            <v>2.58698071000001</v>
          </cell>
          <cell r="U58">
            <v>2.3895390000000001</v>
          </cell>
          <cell r="X58">
            <v>2.4308893000000178</v>
          </cell>
          <cell r="Y58">
            <v>2.6222349999999999</v>
          </cell>
        </row>
        <row r="60">
          <cell r="T60">
            <v>18.909515149709225</v>
          </cell>
          <cell r="U60">
            <v>100.6309908043863</v>
          </cell>
          <cell r="X60">
            <v>27.728445531258867</v>
          </cell>
          <cell r="Y60">
            <v>56.932713847507294</v>
          </cell>
        </row>
        <row r="61">
          <cell r="T61">
            <v>-9.8018181352865348</v>
          </cell>
          <cell r="U61">
            <v>47.376240279782486</v>
          </cell>
          <cell r="X61">
            <v>23.167043037471789</v>
          </cell>
          <cell r="Y61">
            <v>39.267929330793919</v>
          </cell>
        </row>
        <row r="62">
          <cell r="T62">
            <v>28.71133328499576</v>
          </cell>
          <cell r="U62">
            <v>53.254750524603814</v>
          </cell>
          <cell r="X62">
            <v>4.5614024937870781</v>
          </cell>
          <cell r="Y62">
            <v>17.664784516713375</v>
          </cell>
        </row>
        <row r="63">
          <cell r="T63">
            <v>26.25388257499575</v>
          </cell>
          <cell r="U63">
            <v>50.919221524603813</v>
          </cell>
          <cell r="X63">
            <v>2.251756193787056</v>
          </cell>
          <cell r="Y63">
            <v>15.280095516713367</v>
          </cell>
        </row>
        <row r="64">
          <cell r="T64">
            <v>2.45745071000001</v>
          </cell>
          <cell r="U64">
            <v>2.3355290000000002</v>
          </cell>
          <cell r="X64">
            <v>2.3096463000000229</v>
          </cell>
          <cell r="Y64">
            <v>2.3846890000000003</v>
          </cell>
        </row>
        <row r="69">
          <cell r="T69">
            <v>660.0058486456137</v>
          </cell>
          <cell r="U69">
            <v>796.88588326507397</v>
          </cell>
          <cell r="X69">
            <v>238.61797162918282</v>
          </cell>
          <cell r="Y69">
            <v>311.21833101564198</v>
          </cell>
        </row>
        <row r="70">
          <cell r="T70">
            <v>312.06880735259114</v>
          </cell>
          <cell r="U70">
            <v>416.34925954256704</v>
          </cell>
          <cell r="X70">
            <v>146.33153550912934</v>
          </cell>
          <cell r="Y70">
            <v>182.37677450004651</v>
          </cell>
        </row>
        <row r="71">
          <cell r="T71">
            <v>347.93704129302256</v>
          </cell>
          <cell r="U71">
            <v>380.53662372250693</v>
          </cell>
          <cell r="X71">
            <v>92.28643612005348</v>
          </cell>
          <cell r="Y71">
            <v>128.84155651559547</v>
          </cell>
        </row>
        <row r="72">
          <cell r="T72">
            <v>343.56008729302255</v>
          </cell>
          <cell r="U72">
            <v>376.70342572250695</v>
          </cell>
          <cell r="X72">
            <v>88.705558120053468</v>
          </cell>
          <cell r="Y72">
            <v>125.2279475155955</v>
          </cell>
        </row>
        <row r="73">
          <cell r="T73">
            <v>4.3769539999999996</v>
          </cell>
          <cell r="U73">
            <v>3.8331979999999999</v>
          </cell>
          <cell r="X73">
            <v>3.5808779999999993</v>
          </cell>
          <cell r="Y73">
            <v>3.6136089999999998</v>
          </cell>
        </row>
        <row r="74">
          <cell r="T74">
            <v>87.573385823876819</v>
          </cell>
          <cell r="U74">
            <v>165.25046769916199</v>
          </cell>
          <cell r="X74">
            <v>50.878236841511622</v>
          </cell>
          <cell r="Y74">
            <v>79.562049090603182</v>
          </cell>
        </row>
        <row r="75">
          <cell r="T75">
            <v>21.259799725474849</v>
          </cell>
          <cell r="U75">
            <v>76.926702029999703</v>
          </cell>
          <cell r="X75">
            <v>37.475948814000915</v>
          </cell>
          <cell r="Y75">
            <v>53.458891499999929</v>
          </cell>
        </row>
        <row r="76">
          <cell r="T76">
            <v>66.31358609840197</v>
          </cell>
          <cell r="U76">
            <v>88.323765669162285</v>
          </cell>
          <cell r="X76">
            <v>13.402288027510707</v>
          </cell>
          <cell r="Y76">
            <v>26.103157590603253</v>
          </cell>
        </row>
        <row r="77">
          <cell r="T77">
            <v>63.726605388401964</v>
          </cell>
          <cell r="U77">
            <v>85.934226669162285</v>
          </cell>
          <cell r="X77">
            <v>10.971398727510689</v>
          </cell>
          <cell r="Y77">
            <v>23.480922590603249</v>
          </cell>
        </row>
        <row r="78">
          <cell r="T78">
            <v>2.58698071000001</v>
          </cell>
          <cell r="U78">
            <v>2.3895390000000001</v>
          </cell>
          <cell r="X78">
            <v>2.4308893000000178</v>
          </cell>
          <cell r="Y78">
            <v>2.6222349999999999</v>
          </cell>
        </row>
        <row r="80">
          <cell r="T80">
            <v>16.950211788337679</v>
          </cell>
          <cell r="U80">
            <v>100.6309908043863</v>
          </cell>
          <cell r="X80">
            <v>26.886979866176578</v>
          </cell>
          <cell r="Y80">
            <v>56.932713847507294</v>
          </cell>
        </row>
        <row r="81">
          <cell r="T81">
            <v>-9.8018181352865348</v>
          </cell>
          <cell r="U81">
            <v>47.376240279782486</v>
          </cell>
          <cell r="X81">
            <v>23.167043037471789</v>
          </cell>
          <cell r="Y81">
            <v>39.267929330793919</v>
          </cell>
        </row>
        <row r="82">
          <cell r="T82">
            <v>26.752029923624214</v>
          </cell>
          <cell r="U82">
            <v>53.254750524603814</v>
          </cell>
          <cell r="X82">
            <v>3.7199368287047925</v>
          </cell>
          <cell r="Y82">
            <v>17.664784516713375</v>
          </cell>
        </row>
        <row r="83">
          <cell r="T83">
            <v>24.294579213624203</v>
          </cell>
          <cell r="U83">
            <v>50.919221524603813</v>
          </cell>
          <cell r="X83">
            <v>1.4102905287047669</v>
          </cell>
          <cell r="Y83">
            <v>15.280095516713367</v>
          </cell>
        </row>
        <row r="84">
          <cell r="T84">
            <v>2.45745071000001</v>
          </cell>
          <cell r="U84">
            <v>2.3355290000000002</v>
          </cell>
          <cell r="X84">
            <v>2.3096463000000229</v>
          </cell>
          <cell r="Y84">
            <v>2.3846890000000003</v>
          </cell>
        </row>
        <row r="101">
          <cell r="U101">
            <v>51.035825500000001</v>
          </cell>
          <cell r="Y101">
            <v>0</v>
          </cell>
        </row>
        <row r="121">
          <cell r="T121">
            <v>615.97988395455809</v>
          </cell>
          <cell r="U121">
            <v>796.88588326507397</v>
          </cell>
          <cell r="X121">
            <v>223.18482418223908</v>
          </cell>
          <cell r="Y121">
            <v>311.21833101564198</v>
          </cell>
        </row>
        <row r="122">
          <cell r="T122">
            <v>392.343097643124</v>
          </cell>
          <cell r="U122">
            <v>461.13603968567099</v>
          </cell>
          <cell r="X122">
            <v>147.79822406324499</v>
          </cell>
          <cell r="Y122">
            <v>205.156496230269</v>
          </cell>
        </row>
        <row r="123">
          <cell r="T123">
            <v>122.46076654436101</v>
          </cell>
          <cell r="U123">
            <v>196.37257326384102</v>
          </cell>
          <cell r="X123">
            <v>41.0517472864029</v>
          </cell>
          <cell r="Y123">
            <v>61.872456748335026</v>
          </cell>
        </row>
        <row r="124">
          <cell r="T124">
            <v>113.457293515239</v>
          </cell>
          <cell r="U124">
            <v>152.93424918526998</v>
          </cell>
          <cell r="X124">
            <v>37.877398768810991</v>
          </cell>
          <cell r="Y124">
            <v>48.402927849129981</v>
          </cell>
        </row>
        <row r="125">
          <cell r="T125">
            <v>-12.281273748165916</v>
          </cell>
          <cell r="U125">
            <v>-13.556978869708018</v>
          </cell>
          <cell r="X125">
            <v>-3.5425459362197955</v>
          </cell>
          <cell r="Y125">
            <v>-4.2135498120920261</v>
          </cell>
        </row>
        <row r="133">
          <cell r="T133">
            <v>82.127006075945104</v>
          </cell>
          <cell r="U133">
            <v>165.25046769916199</v>
          </cell>
          <cell r="X133">
            <v>50.022120379630707</v>
          </cell>
          <cell r="Y133">
            <v>79.562049090603182</v>
          </cell>
        </row>
        <row r="134">
          <cell r="T134">
            <v>110.092546489529</v>
          </cell>
          <cell r="U134">
            <v>129.21480552604999</v>
          </cell>
          <cell r="X134">
            <v>55.547327172106996</v>
          </cell>
          <cell r="Y134">
            <v>67.362332028400687</v>
          </cell>
        </row>
        <row r="135">
          <cell r="T135">
            <v>-6.2032962586861302</v>
          </cell>
          <cell r="U135">
            <v>41.822380985898704</v>
          </cell>
          <cell r="X135">
            <v>-1.0205478146595306</v>
          </cell>
          <cell r="Y135">
            <v>13.677193606604504</v>
          </cell>
        </row>
        <row r="136">
          <cell r="T136">
            <v>-16.9812513748982</v>
          </cell>
          <cell r="U136">
            <v>1.1243398419538499</v>
          </cell>
          <cell r="X136">
            <v>-3.3421918078174997</v>
          </cell>
          <cell r="Y136">
            <v>-0.52044125079057002</v>
          </cell>
        </row>
        <row r="137">
          <cell r="T137">
            <v>-4.7809927799995648</v>
          </cell>
          <cell r="U137">
            <v>-6.9110586547405521</v>
          </cell>
          <cell r="X137">
            <v>-1.1624671699992604</v>
          </cell>
          <cell r="Y137">
            <v>-0.95703529361143858</v>
          </cell>
        </row>
      </sheetData>
      <sheetData sheetId="1">
        <row r="10">
          <cell r="K10">
            <v>244.54487357987901</v>
          </cell>
          <cell r="T10">
            <v>392.343097643124</v>
          </cell>
          <cell r="U10">
            <v>461.13603968567099</v>
          </cell>
          <cell r="X10">
            <v>147.79822406324499</v>
          </cell>
          <cell r="Y10">
            <v>205.156496230269</v>
          </cell>
        </row>
        <row r="11">
          <cell r="T11">
            <v>121.46594248999999</v>
          </cell>
          <cell r="U11">
            <v>147.94980382999998</v>
          </cell>
          <cell r="X11">
            <v>81.721259279999998</v>
          </cell>
          <cell r="Y11">
            <v>102.58703253999997</v>
          </cell>
        </row>
        <row r="12">
          <cell r="T12">
            <v>269.43991535312404</v>
          </cell>
          <cell r="U12">
            <v>311.623150875671</v>
          </cell>
          <cell r="X12">
            <v>65.396457303245029</v>
          </cell>
          <cell r="Y12">
            <v>102.244634680269</v>
          </cell>
        </row>
        <row r="13">
          <cell r="T13">
            <v>265.06296135312402</v>
          </cell>
          <cell r="U13">
            <v>307.78995287567102</v>
          </cell>
          <cell r="X13">
            <v>61.815579303245016</v>
          </cell>
          <cell r="Y13">
            <v>98.631025680269033</v>
          </cell>
        </row>
        <row r="14">
          <cell r="T14">
            <v>4.3769539999999996</v>
          </cell>
          <cell r="U14">
            <v>3.8331979999999999</v>
          </cell>
          <cell r="X14">
            <v>3.5808779999999993</v>
          </cell>
          <cell r="Y14">
            <v>3.6136089999999998</v>
          </cell>
        </row>
        <row r="15">
          <cell r="T15">
            <v>1.4372398000000002</v>
          </cell>
          <cell r="U15">
            <v>1.5630849800000013</v>
          </cell>
          <cell r="X15">
            <v>0.68050747999999983</v>
          </cell>
          <cell r="Y15">
            <v>0.32482901000000108</v>
          </cell>
        </row>
        <row r="16">
          <cell r="T16">
            <v>282.25055115359498</v>
          </cell>
          <cell r="U16">
            <v>331.92123415962101</v>
          </cell>
          <cell r="X16">
            <v>92.250896891137984</v>
          </cell>
          <cell r="Y16">
            <v>137.79416420186831</v>
          </cell>
        </row>
        <row r="17">
          <cell r="T17">
            <v>63.826075524525741</v>
          </cell>
          <cell r="U17">
            <v>77.905369839999992</v>
          </cell>
          <cell r="X17">
            <v>35.407999316000009</v>
          </cell>
          <cell r="Y17">
            <v>46.329249479999987</v>
          </cell>
        </row>
        <row r="18">
          <cell r="T18">
            <v>201.54786118906929</v>
          </cell>
          <cell r="U18">
            <v>236.296697579621</v>
          </cell>
          <cell r="X18">
            <v>51.239592795138037</v>
          </cell>
          <cell r="Y18">
            <v>85.748459331868304</v>
          </cell>
        </row>
        <row r="19">
          <cell r="T19">
            <v>199.85313618906929</v>
          </cell>
          <cell r="U19">
            <v>234.853038579621</v>
          </cell>
          <cell r="X19">
            <v>50.137265795138035</v>
          </cell>
          <cell r="Y19">
            <v>84.757085331868296</v>
          </cell>
        </row>
        <row r="20">
          <cell r="T20">
            <v>1.6947249999999996</v>
          </cell>
          <cell r="U20">
            <v>1.4436589999999998</v>
          </cell>
          <cell r="X20">
            <v>1.1023269999999996</v>
          </cell>
          <cell r="Y20">
            <v>0.99137399999999976</v>
          </cell>
        </row>
        <row r="21">
          <cell r="T21">
            <v>16.876614440000001</v>
          </cell>
          <cell r="U21">
            <v>17.719166740000006</v>
          </cell>
          <cell r="X21">
            <v>5.6033047800000038</v>
          </cell>
          <cell r="Y21">
            <v>5.7164553900000055</v>
          </cell>
        </row>
        <row r="22">
          <cell r="T22">
            <v>110.092546489529</v>
          </cell>
          <cell r="U22">
            <v>129.21480552604999</v>
          </cell>
          <cell r="X22">
            <v>55.547327172106996</v>
          </cell>
          <cell r="Y22">
            <v>67.362332028400687</v>
          </cell>
        </row>
        <row r="23">
          <cell r="T23">
            <v>57.639866965474248</v>
          </cell>
          <cell r="U23">
            <v>70.044433989999987</v>
          </cell>
          <cell r="X23">
            <v>46.313259963999982</v>
          </cell>
          <cell r="Y23">
            <v>56.257783059999987</v>
          </cell>
        </row>
        <row r="24">
          <cell r="T24">
            <v>67.892054164054755</v>
          </cell>
          <cell r="U24">
            <v>75.326453296050005</v>
          </cell>
          <cell r="X24">
            <v>14.15686450810702</v>
          </cell>
          <cell r="Y24">
            <v>16.496175348400705</v>
          </cell>
        </row>
        <row r="25">
          <cell r="T25">
            <v>65.209825164054749</v>
          </cell>
          <cell r="U25">
            <v>72.936914296050006</v>
          </cell>
          <cell r="X25">
            <v>11.67831350810701</v>
          </cell>
          <cell r="Y25">
            <v>13.873940348400708</v>
          </cell>
        </row>
        <row r="26">
          <cell r="T26">
            <v>2.682229</v>
          </cell>
          <cell r="U26">
            <v>2.3895390000000001</v>
          </cell>
          <cell r="X26">
            <v>2.4785509999999999</v>
          </cell>
          <cell r="Y26">
            <v>2.6222349999999999</v>
          </cell>
        </row>
        <row r="27">
          <cell r="T27">
            <v>-15.439374640000002</v>
          </cell>
          <cell r="U27">
            <v>-16.156081760000003</v>
          </cell>
          <cell r="X27">
            <v>-4.9227973000000063</v>
          </cell>
          <cell r="Y27">
            <v>-5.3916263800000035</v>
          </cell>
        </row>
        <row r="29">
          <cell r="T29">
            <v>71.049194857341803</v>
          </cell>
          <cell r="U29">
            <v>86.389801575300794</v>
          </cell>
          <cell r="X29">
            <v>40.609524293430908</v>
          </cell>
          <cell r="Y29">
            <v>51.859808965320795</v>
          </cell>
        </row>
        <row r="30">
          <cell r="T30">
            <v>49.031532230544371</v>
          </cell>
          <cell r="U30">
            <v>61.062417812210342</v>
          </cell>
          <cell r="X30">
            <v>39.746947944971524</v>
          </cell>
          <cell r="Y30">
            <v>49.528837853221269</v>
          </cell>
        </row>
        <row r="31">
          <cell r="T31">
            <v>40.852516482628573</v>
          </cell>
          <cell r="U31">
            <v>45.449534995518334</v>
          </cell>
          <cell r="X31">
            <v>7.7153705559591543</v>
          </cell>
          <cell r="Y31">
            <v>9.6367580545274123</v>
          </cell>
        </row>
        <row r="32">
          <cell r="T32">
            <v>38.299817482628576</v>
          </cell>
          <cell r="U32">
            <v>43.114005995518333</v>
          </cell>
          <cell r="X32">
            <v>5.3580625559591581</v>
          </cell>
          <cell r="Y32">
            <v>7.2520690545274107</v>
          </cell>
        </row>
        <row r="33">
          <cell r="T33">
            <v>2.5526990000000001</v>
          </cell>
          <cell r="U33">
            <v>2.3355290000000002</v>
          </cell>
          <cell r="X33">
            <v>2.3573080000000002</v>
          </cell>
          <cell r="Y33">
            <v>2.3846890000000003</v>
          </cell>
        </row>
        <row r="34">
          <cell r="T34">
            <v>-18.834853855831142</v>
          </cell>
          <cell r="U34">
            <v>-20.122151232427886</v>
          </cell>
          <cell r="X34">
            <v>-6.8527942074997661</v>
          </cell>
          <cell r="Y34">
            <v>-7.3057869424278845</v>
          </cell>
        </row>
        <row r="39">
          <cell r="T39">
            <v>431.18259365239561</v>
          </cell>
          <cell r="U39">
            <v>461.13603968567099</v>
          </cell>
          <cell r="X39">
            <v>161.46557373385627</v>
          </cell>
          <cell r="Y39">
            <v>205.156496230269</v>
          </cell>
        </row>
        <row r="40">
          <cell r="T40">
            <v>121.46594248999999</v>
          </cell>
          <cell r="U40">
            <v>147.94980382999998</v>
          </cell>
          <cell r="X40">
            <v>81.721259279999998</v>
          </cell>
          <cell r="Y40">
            <v>102.58703253999997</v>
          </cell>
        </row>
        <row r="41">
          <cell r="T41">
            <v>308.27941136239565</v>
          </cell>
          <cell r="U41">
            <v>311.623150875671</v>
          </cell>
          <cell r="X41">
            <v>79.063806973856316</v>
          </cell>
          <cell r="Y41">
            <v>102.244634680269</v>
          </cell>
        </row>
        <row r="42">
          <cell r="T42">
            <v>303.90245736239564</v>
          </cell>
          <cell r="U42">
            <v>307.78995287567102</v>
          </cell>
          <cell r="X42">
            <v>75.482928973856303</v>
          </cell>
          <cell r="Y42">
            <v>98.631025680269033</v>
          </cell>
        </row>
        <row r="43">
          <cell r="T43">
            <v>4.3769539999999996</v>
          </cell>
          <cell r="U43">
            <v>3.8331979999999999</v>
          </cell>
          <cell r="X43">
            <v>3.5808779999999993</v>
          </cell>
          <cell r="Y43">
            <v>3.6136089999999998</v>
          </cell>
        </row>
        <row r="44">
          <cell r="T44">
            <v>1.4372398000000002</v>
          </cell>
          <cell r="U44">
            <v>1.5630849800000013</v>
          </cell>
          <cell r="X44">
            <v>0.68050747999999983</v>
          </cell>
          <cell r="Y44">
            <v>0.32482901000000108</v>
          </cell>
        </row>
        <row r="45">
          <cell r="T45">
            <v>117.09180464691327</v>
          </cell>
          <cell r="U45">
            <v>129.21480552604999</v>
          </cell>
          <cell r="X45">
            <v>56.984243077258853</v>
          </cell>
          <cell r="Y45">
            <v>67.362332028400687</v>
          </cell>
        </row>
        <row r="46">
          <cell r="T46">
            <v>57.639866965474248</v>
          </cell>
          <cell r="U46">
            <v>70.044433989999987</v>
          </cell>
          <cell r="X46">
            <v>46.313259963999982</v>
          </cell>
          <cell r="Y46">
            <v>56.257783059999987</v>
          </cell>
        </row>
        <row r="47">
          <cell r="T47">
            <v>74.891312321439017</v>
          </cell>
          <cell r="U47">
            <v>75.326453296050005</v>
          </cell>
          <cell r="X47">
            <v>15.59378041325887</v>
          </cell>
          <cell r="Y47">
            <v>16.496175348400705</v>
          </cell>
        </row>
        <row r="48">
          <cell r="T48">
            <v>72.20908332143901</v>
          </cell>
          <cell r="U48">
            <v>72.936914296050006</v>
          </cell>
          <cell r="X48">
            <v>13.115229413258859</v>
          </cell>
          <cell r="Y48">
            <v>13.873940348400708</v>
          </cell>
        </row>
        <row r="49">
          <cell r="T49">
            <v>2.682229</v>
          </cell>
          <cell r="U49">
            <v>2.3895390000000001</v>
          </cell>
          <cell r="X49">
            <v>2.4785509999999999</v>
          </cell>
          <cell r="Y49">
            <v>2.6222349999999999</v>
          </cell>
        </row>
        <row r="50">
          <cell r="T50">
            <v>-15.439374640000002</v>
          </cell>
          <cell r="U50">
            <v>-16.156081760000003</v>
          </cell>
          <cell r="X50">
            <v>-4.9227973000000063</v>
          </cell>
          <cell r="Y50">
            <v>-5.3916263800000035</v>
          </cell>
        </row>
        <row r="52">
          <cell r="T52">
            <v>73.697890295157663</v>
          </cell>
          <cell r="U52">
            <v>86.389801575300794</v>
          </cell>
          <cell r="X52">
            <v>40.580928401739513</v>
          </cell>
          <cell r="Y52">
            <v>51.859808965320795</v>
          </cell>
        </row>
        <row r="53">
          <cell r="T53">
            <v>49.031532230544371</v>
          </cell>
          <cell r="U53">
            <v>61.062417812210342</v>
          </cell>
          <cell r="X53">
            <v>39.746947944971524</v>
          </cell>
          <cell r="Y53">
            <v>49.528837853221269</v>
          </cell>
        </row>
        <row r="54">
          <cell r="T54">
            <v>43.501211920444426</v>
          </cell>
          <cell r="U54">
            <v>45.449534995518334</v>
          </cell>
          <cell r="X54">
            <v>7.6867746642677517</v>
          </cell>
          <cell r="Y54">
            <v>9.6367580545274123</v>
          </cell>
        </row>
        <row r="55">
          <cell r="T55">
            <v>40.948512920444429</v>
          </cell>
          <cell r="U55">
            <v>43.114005995518333</v>
          </cell>
          <cell r="X55">
            <v>5.3294666642677555</v>
          </cell>
          <cell r="Y55">
            <v>7.2520690545274107</v>
          </cell>
        </row>
        <row r="56">
          <cell r="T56">
            <v>2.5526990000000001</v>
          </cell>
          <cell r="U56">
            <v>2.3355290000000002</v>
          </cell>
          <cell r="X56">
            <v>2.3573080000000002</v>
          </cell>
          <cell r="Y56">
            <v>2.3846890000000003</v>
          </cell>
        </row>
        <row r="57">
          <cell r="T57">
            <v>-18.834853855831142</v>
          </cell>
          <cell r="U57">
            <v>-20.122151232427886</v>
          </cell>
          <cell r="X57">
            <v>-6.8527942074997661</v>
          </cell>
          <cell r="Y57">
            <v>-7.3057869424278845</v>
          </cell>
        </row>
        <row r="69">
          <cell r="T69">
            <v>392.343097643124</v>
          </cell>
          <cell r="U69">
            <v>461.13603968567099</v>
          </cell>
          <cell r="X69">
            <v>147.79822406324499</v>
          </cell>
          <cell r="Y69">
            <v>205.156496230269</v>
          </cell>
        </row>
        <row r="70">
          <cell r="T70">
            <v>190.16829048387328</v>
          </cell>
          <cell r="U70">
            <v>184.22594586392043</v>
          </cell>
          <cell r="X70">
            <v>25.816872447266462</v>
          </cell>
          <cell r="Y70">
            <v>22.968733651956057</v>
          </cell>
        </row>
        <row r="71">
          <cell r="T71">
            <v>96.010169379587055</v>
          </cell>
          <cell r="U71">
            <v>70.919458418775093</v>
          </cell>
          <cell r="X71">
            <v>25.627748627763737</v>
          </cell>
          <cell r="Y71">
            <v>15.201062274817104</v>
          </cell>
        </row>
        <row r="72">
          <cell r="T72">
            <v>94.158121104286224</v>
          </cell>
          <cell r="U72">
            <v>113.30648744514534</v>
          </cell>
          <cell r="X72">
            <v>0.18912381950272561</v>
          </cell>
          <cell r="Y72">
            <v>7.7676713771389529</v>
          </cell>
        </row>
        <row r="73">
          <cell r="T73">
            <v>200.73638114167895</v>
          </cell>
          <cell r="U73">
            <v>275.34365186664047</v>
          </cell>
          <cell r="X73">
            <v>121.29595228925452</v>
          </cell>
          <cell r="Y73">
            <v>181.86114414649464</v>
          </cell>
        </row>
        <row r="74">
          <cell r="T74">
            <v>121.46594248999999</v>
          </cell>
          <cell r="U74">
            <v>147.94980382999998</v>
          </cell>
          <cell r="X74">
            <v>81.721259279999998</v>
          </cell>
          <cell r="Y74">
            <v>102.58703253999997</v>
          </cell>
        </row>
        <row r="75">
          <cell r="T75">
            <v>59.634379330763828</v>
          </cell>
          <cell r="U75">
            <v>85.14676465792931</v>
          </cell>
          <cell r="X75">
            <v>29.99511577561363</v>
          </cell>
          <cell r="Y75">
            <v>53.674146661236563</v>
          </cell>
        </row>
        <row r="76">
          <cell r="T76">
            <v>19.63605932091513</v>
          </cell>
          <cell r="U76">
            <v>42.247083378711181</v>
          </cell>
          <cell r="X76">
            <v>9.5795772336408938</v>
          </cell>
          <cell r="Y76">
            <v>25.599964945258101</v>
          </cell>
        </row>
        <row r="77">
          <cell r="T77">
            <v>1.4372398000000002</v>
          </cell>
          <cell r="U77">
            <v>1.5630849800000013</v>
          </cell>
          <cell r="X77">
            <v>0.68050747999999983</v>
          </cell>
          <cell r="Y77">
            <v>0.32482901000000108</v>
          </cell>
        </row>
        <row r="83">
          <cell r="T83">
            <v>431.18259365239561</v>
          </cell>
          <cell r="U83">
            <v>461.13603968567099</v>
          </cell>
          <cell r="X83">
            <v>161.46557373385627</v>
          </cell>
          <cell r="Y83">
            <v>205.156496230269</v>
          </cell>
        </row>
        <row r="84">
          <cell r="T84">
            <v>218.97028900185063</v>
          </cell>
          <cell r="U84">
            <v>184.22594586392043</v>
          </cell>
          <cell r="X84">
            <v>33.171334295857065</v>
          </cell>
          <cell r="Y84">
            <v>22.968733651956057</v>
          </cell>
        </row>
        <row r="85">
          <cell r="T85">
            <v>114.71444704184998</v>
          </cell>
          <cell r="U85">
            <v>70.919458418775093</v>
          </cell>
          <cell r="X85">
            <v>37.043994606492078</v>
          </cell>
          <cell r="Y85">
            <v>15.201062274817104</v>
          </cell>
        </row>
        <row r="86">
          <cell r="T86">
            <v>104.25584196000065</v>
          </cell>
          <cell r="U86">
            <v>113.30648744514534</v>
          </cell>
          <cell r="X86">
            <v>-3.8726603106350126</v>
          </cell>
          <cell r="Y86">
            <v>7.7676713771389529</v>
          </cell>
        </row>
        <row r="87">
          <cell r="T87">
            <v>210.77387863297324</v>
          </cell>
          <cell r="U87">
            <v>275.34365186664047</v>
          </cell>
          <cell r="X87">
            <v>127.60884011127524</v>
          </cell>
          <cell r="Y87">
            <v>181.86114414649464</v>
          </cell>
        </row>
        <row r="88">
          <cell r="T88">
            <v>121.46594248999999</v>
          </cell>
          <cell r="U88">
            <v>147.94980382999998</v>
          </cell>
          <cell r="X88">
            <v>81.721259279999998</v>
          </cell>
          <cell r="Y88">
            <v>102.58703253999997</v>
          </cell>
        </row>
        <row r="89">
          <cell r="T89">
            <v>69.274601657202211</v>
          </cell>
          <cell r="U89">
            <v>85.14676465792931</v>
          </cell>
          <cell r="X89">
            <v>35.72321665413191</v>
          </cell>
          <cell r="Y89">
            <v>53.674146661236563</v>
          </cell>
        </row>
        <row r="90">
          <cell r="T90">
            <v>20.033334485771036</v>
          </cell>
          <cell r="U90">
            <v>42.247083378711181</v>
          </cell>
          <cell r="X90">
            <v>10.164364177143341</v>
          </cell>
          <cell r="Y90">
            <v>25.599964945258101</v>
          </cell>
        </row>
        <row r="91">
          <cell r="T91">
            <v>1.4372398000000002</v>
          </cell>
          <cell r="U91">
            <v>1.5630849800000013</v>
          </cell>
          <cell r="X91">
            <v>0.68050747999999983</v>
          </cell>
          <cell r="Y91">
            <v>0.32482901000000108</v>
          </cell>
        </row>
        <row r="100">
          <cell r="T100">
            <v>110.092546489529</v>
          </cell>
          <cell r="U100">
            <v>129.21480552604999</v>
          </cell>
          <cell r="X100">
            <v>55.547327172106996</v>
          </cell>
          <cell r="Y100">
            <v>67.362332028400687</v>
          </cell>
        </row>
        <row r="101">
          <cell r="T101">
            <v>50.853964643483536</v>
          </cell>
          <cell r="U101">
            <v>24.64176381382325</v>
          </cell>
          <cell r="X101">
            <v>-1.0225041194580271</v>
          </cell>
          <cell r="Y101">
            <v>-22.689288768085898</v>
          </cell>
        </row>
        <row r="102">
          <cell r="T102">
            <v>23.574143490802065</v>
          </cell>
          <cell r="U102">
            <v>-7.1171239225243887</v>
          </cell>
          <cell r="X102">
            <v>2.9665802839878523</v>
          </cell>
          <cell r="Y102">
            <v>-12.946646279080255</v>
          </cell>
        </row>
        <row r="103">
          <cell r="T103">
            <v>27.279821152681471</v>
          </cell>
          <cell r="U103">
            <v>31.758887736347639</v>
          </cell>
          <cell r="X103">
            <v>-3.9890844034458794</v>
          </cell>
          <cell r="Y103">
            <v>-9.7426424890056396</v>
          </cell>
        </row>
        <row r="104">
          <cell r="T104">
            <v>76.755765393374844</v>
          </cell>
          <cell r="U104">
            <v>118.07222622240502</v>
          </cell>
          <cell r="X104">
            <v>61.741764539468875</v>
          </cell>
          <cell r="Y104">
            <v>93.073070287179775</v>
          </cell>
        </row>
        <row r="105">
          <cell r="T105">
            <v>57.639866965474248</v>
          </cell>
          <cell r="U105">
            <v>70.044433989999987</v>
          </cell>
          <cell r="X105">
            <v>46.313259963999982</v>
          </cell>
          <cell r="Y105">
            <v>56.257783059999987</v>
          </cell>
        </row>
        <row r="106">
          <cell r="T106">
            <v>17.514276304550002</v>
          </cell>
          <cell r="U106">
            <v>28.53430636585815</v>
          </cell>
          <cell r="X106">
            <v>12.261340152964442</v>
          </cell>
          <cell r="Y106">
            <v>20.508537165487475</v>
          </cell>
        </row>
        <row r="107">
          <cell r="T107">
            <v>1.6016221233505945</v>
          </cell>
          <cell r="U107">
            <v>19.493485866546884</v>
          </cell>
          <cell r="X107">
            <v>3.1671644225044506</v>
          </cell>
          <cell r="Y107">
            <v>16.30675006169232</v>
          </cell>
        </row>
        <row r="108">
          <cell r="T108">
            <v>-17.520186951171485</v>
          </cell>
          <cell r="U108">
            <v>-13.499264093333339</v>
          </cell>
          <cell r="X108">
            <v>-5.1747223000000044</v>
          </cell>
          <cell r="Y108">
            <v>-3.0218087133333409</v>
          </cell>
        </row>
        <row r="114">
          <cell r="T114">
            <v>117.09180464691327</v>
          </cell>
          <cell r="U114">
            <v>129.21480552604999</v>
          </cell>
          <cell r="X114">
            <v>56.984243077258853</v>
          </cell>
          <cell r="Y114">
            <v>67.362332028400687</v>
          </cell>
        </row>
        <row r="115">
          <cell r="T115">
            <v>53.833814956495132</v>
          </cell>
          <cell r="U115">
            <v>24.64176381382325</v>
          </cell>
          <cell r="X115">
            <v>-2.2167936920847211</v>
          </cell>
          <cell r="Y115">
            <v>-22.689288768085898</v>
          </cell>
        </row>
        <row r="116">
          <cell r="T116">
            <v>24.493678583766471</v>
          </cell>
          <cell r="U116">
            <v>-7.1171239225243887</v>
          </cell>
          <cell r="X116">
            <v>4.4366757415904061</v>
          </cell>
          <cell r="Y116">
            <v>-12.946646279080255</v>
          </cell>
        </row>
        <row r="117">
          <cell r="T117">
            <v>29.340136372728661</v>
          </cell>
          <cell r="U117">
            <v>31.758887736347639</v>
          </cell>
          <cell r="X117">
            <v>-6.6534694336751308</v>
          </cell>
          <cell r="Y117">
            <v>-9.7426424890056396</v>
          </cell>
        </row>
        <row r="118">
          <cell r="T118">
            <v>80.775173237747524</v>
          </cell>
          <cell r="U118">
            <v>118.07222622240502</v>
          </cell>
          <cell r="X118">
            <v>64.372970017247411</v>
          </cell>
          <cell r="Y118">
            <v>93.073070287179775</v>
          </cell>
        </row>
        <row r="119">
          <cell r="T119">
            <v>57.639866965474248</v>
          </cell>
          <cell r="U119">
            <v>70.044433989999987</v>
          </cell>
          <cell r="X119">
            <v>46.313259963999982</v>
          </cell>
          <cell r="Y119">
            <v>56.257783059999987</v>
          </cell>
        </row>
        <row r="120">
          <cell r="T120">
            <v>21.398039126399198</v>
          </cell>
          <cell r="U120">
            <v>28.53430636585815</v>
          </cell>
          <cell r="X120">
            <v>14.69793460615071</v>
          </cell>
          <cell r="Y120">
            <v>20.508537165487475</v>
          </cell>
        </row>
        <row r="121">
          <cell r="T121">
            <v>1.7372671458740783</v>
          </cell>
          <cell r="U121">
            <v>19.493485866546884</v>
          </cell>
          <cell r="X121">
            <v>3.3617754470967167</v>
          </cell>
          <cell r="Y121">
            <v>16.30675006169232</v>
          </cell>
        </row>
        <row r="122">
          <cell r="T122">
            <v>-17.520186951171485</v>
          </cell>
          <cell r="U122">
            <v>-13.499264093333339</v>
          </cell>
          <cell r="X122">
            <v>-5.1747223000000044</v>
          </cell>
          <cell r="Y122">
            <v>-3.0218087133333409</v>
          </cell>
        </row>
      </sheetData>
      <sheetData sheetId="2">
        <row r="10">
          <cell r="K10">
            <v>81.409019257958107</v>
          </cell>
          <cell r="T10">
            <v>122.46076654436101</v>
          </cell>
          <cell r="U10">
            <v>196.37257326384102</v>
          </cell>
          <cell r="X10">
            <v>41.0517472864029</v>
          </cell>
          <cell r="Y10">
            <v>61.872456748335026</v>
          </cell>
        </row>
        <row r="11">
          <cell r="T11">
            <v>91.665159710000012</v>
          </cell>
          <cell r="U11">
            <v>133.15707760000001</v>
          </cell>
          <cell r="X11">
            <v>30.812351190000015</v>
          </cell>
          <cell r="Y11">
            <v>37.155630799999997</v>
          </cell>
        </row>
        <row r="12">
          <cell r="T12">
            <v>33.595204297656394</v>
          </cell>
          <cell r="U12">
            <v>66.196770385400299</v>
          </cell>
          <cell r="X12">
            <v>11.117109046354596</v>
          </cell>
          <cell r="Y12">
            <v>25.663951134878801</v>
          </cell>
        </row>
        <row r="20">
          <cell r="T20">
            <v>-6.2032962586861302</v>
          </cell>
          <cell r="U20">
            <v>41.822380985898704</v>
          </cell>
          <cell r="X20">
            <v>-1.0205478146595306</v>
          </cell>
          <cell r="Y20">
            <v>13.677193606604504</v>
          </cell>
        </row>
        <row r="21">
          <cell r="T21">
            <v>-1.4996078699999502</v>
          </cell>
          <cell r="U21">
            <v>25.024464700000099</v>
          </cell>
          <cell r="X21">
            <v>-3.3965719999940136E-2</v>
          </cell>
          <cell r="Y21">
            <v>3.4758251299999969</v>
          </cell>
        </row>
        <row r="22">
          <cell r="T22">
            <v>-5.0433008186862098</v>
          </cell>
          <cell r="U22">
            <v>16.931259415898701</v>
          </cell>
          <cell r="X22">
            <v>-0.98532006465968003</v>
          </cell>
          <cell r="Y22">
            <v>10.223321476604522</v>
          </cell>
        </row>
        <row r="26">
          <cell r="T26">
            <v>-39.210839711195305</v>
          </cell>
          <cell r="U26">
            <v>28.3653771076156</v>
          </cell>
          <cell r="X26">
            <v>-5.4019267435485077</v>
          </cell>
          <cell r="Y26">
            <v>9.3572877868645996</v>
          </cell>
        </row>
        <row r="27">
          <cell r="T27">
            <v>-10.282283130000017</v>
          </cell>
          <cell r="U27">
            <v>16.5681210300001</v>
          </cell>
          <cell r="X27">
            <v>-2.9252422399999976</v>
          </cell>
          <cell r="Y27">
            <v>0.67812074000000244</v>
          </cell>
        </row>
        <row r="28">
          <cell r="T28">
            <v>-25.710169011195202</v>
          </cell>
          <cell r="U28">
            <v>11.9305992076153</v>
          </cell>
          <cell r="X28">
            <v>-2.4754224735486012</v>
          </cell>
          <cell r="Y28">
            <v>8.7011200468644709</v>
          </cell>
        </row>
        <row r="35">
          <cell r="T35">
            <v>127.52187292902801</v>
          </cell>
          <cell r="U35">
            <v>196.37257326384102</v>
          </cell>
          <cell r="X35">
            <v>42.76234650838451</v>
          </cell>
          <cell r="Y35">
            <v>61.872456748335026</v>
          </cell>
        </row>
        <row r="36">
          <cell r="T36">
            <v>91.665159710000012</v>
          </cell>
          <cell r="U36">
            <v>133.15707760000001</v>
          </cell>
          <cell r="X36">
            <v>30.812351190000015</v>
          </cell>
          <cell r="Y36">
            <v>37.155630799999997</v>
          </cell>
        </row>
        <row r="37">
          <cell r="T37">
            <v>38.656831930228201</v>
          </cell>
          <cell r="U37">
            <v>66.196770385400299</v>
          </cell>
          <cell r="X37">
            <v>12.837203253908701</v>
          </cell>
          <cell r="Y37">
            <v>25.663951134878801</v>
          </cell>
        </row>
        <row r="41">
          <cell r="T41">
            <v>-7.2126942093973705</v>
          </cell>
          <cell r="U41">
            <v>41.822380985898704</v>
          </cell>
          <cell r="X41">
            <v>-0.9877030564229603</v>
          </cell>
          <cell r="Y41">
            <v>13.677193606604504</v>
          </cell>
        </row>
        <row r="42">
          <cell r="T42">
            <v>-1.4996078699999502</v>
          </cell>
          <cell r="U42">
            <v>25.024464700000099</v>
          </cell>
          <cell r="X42">
            <v>-3.3965719999940136E-2</v>
          </cell>
          <cell r="Y42">
            <v>3.4758251299999969</v>
          </cell>
        </row>
        <row r="43">
          <cell r="T43">
            <v>-6.0526987693974199</v>
          </cell>
          <cell r="U43">
            <v>16.931259415898701</v>
          </cell>
          <cell r="X43">
            <v>-0.95247530642309997</v>
          </cell>
          <cell r="Y43">
            <v>10.223321476604522</v>
          </cell>
        </row>
        <row r="48">
          <cell r="T48">
            <v>-43.2519540018519</v>
          </cell>
          <cell r="U48">
            <v>28.3653771076156</v>
          </cell>
          <cell r="X48">
            <v>-5.5777482656423985</v>
          </cell>
          <cell r="Y48">
            <v>9.3572877868645996</v>
          </cell>
        </row>
        <row r="49">
          <cell r="T49">
            <v>-10.282283130000017</v>
          </cell>
          <cell r="U49">
            <v>16.5681210300001</v>
          </cell>
          <cell r="X49">
            <v>-2.9252422399999976</v>
          </cell>
          <cell r="Y49">
            <v>0.67812074000000244</v>
          </cell>
        </row>
        <row r="50">
          <cell r="T50">
            <v>-29.751283301851799</v>
          </cell>
          <cell r="U50">
            <v>11.9305992076153</v>
          </cell>
          <cell r="X50">
            <v>-2.6512439956423997</v>
          </cell>
          <cell r="Y50">
            <v>8.7011200468644709</v>
          </cell>
        </row>
      </sheetData>
      <sheetData sheetId="3">
        <row r="10">
          <cell r="K10">
            <v>75.57989474642801</v>
          </cell>
          <cell r="T10">
            <v>113.457293515239</v>
          </cell>
          <cell r="U10">
            <v>152.93424918526998</v>
          </cell>
          <cell r="X10">
            <v>37.877398768810991</v>
          </cell>
          <cell r="Y10">
            <v>48.402927849129981</v>
          </cell>
        </row>
        <row r="11">
          <cell r="T11">
            <v>100.290903809412</v>
          </cell>
          <cell r="U11">
            <v>136.38621281489299</v>
          </cell>
          <cell r="X11">
            <v>33.791343402898505</v>
          </cell>
          <cell r="Y11">
            <v>42.176887576143983</v>
          </cell>
        </row>
        <row r="12">
          <cell r="T12">
            <v>51.921725326989801</v>
          </cell>
          <cell r="U12">
            <v>72.183539512369308</v>
          </cell>
          <cell r="X12">
            <v>16.772129674774</v>
          </cell>
          <cell r="Y12">
            <v>20.754648784530907</v>
          </cell>
        </row>
        <row r="13">
          <cell r="T13">
            <v>36.035964849783298</v>
          </cell>
          <cell r="U13">
            <v>41.123923795723599</v>
          </cell>
          <cell r="X13">
            <v>11.864590044754799</v>
          </cell>
          <cell r="Y13">
            <v>12.643195757619598</v>
          </cell>
        </row>
        <row r="14">
          <cell r="T14">
            <v>21.528662642722743</v>
          </cell>
          <cell r="U14">
            <v>25.136251411394497</v>
          </cell>
          <cell r="X14">
            <v>6.4362322495335231</v>
          </cell>
          <cell r="Y14">
            <v>7.5628177218406343</v>
          </cell>
        </row>
        <row r="15">
          <cell r="T15">
            <v>13.338103962990601</v>
          </cell>
          <cell r="U15">
            <v>14.3536333579291</v>
          </cell>
          <cell r="X15">
            <v>5.0773450528013413</v>
          </cell>
          <cell r="Y15">
            <v>4.579453482628951</v>
          </cell>
        </row>
        <row r="16">
          <cell r="T16">
            <v>1.1691982440699533</v>
          </cell>
          <cell r="U16">
            <v>1.6340390264000018</v>
          </cell>
          <cell r="X16">
            <v>0.3510127424199343</v>
          </cell>
          <cell r="Y16">
            <v>0.50092455315001239</v>
          </cell>
        </row>
        <row r="17">
          <cell r="T17">
            <v>15.885760477206503</v>
          </cell>
          <cell r="U17">
            <v>31.059615716645709</v>
          </cell>
          <cell r="X17">
            <v>4.9075396300192011</v>
          </cell>
          <cell r="Y17">
            <v>8.1114530269113096</v>
          </cell>
        </row>
        <row r="18">
          <cell r="T18">
            <v>12.218546698033663</v>
          </cell>
          <cell r="U18">
            <v>24.611763274261406</v>
          </cell>
          <cell r="X18">
            <v>3.6468103323390846</v>
          </cell>
          <cell r="Y18">
            <v>6.475440440608569</v>
          </cell>
        </row>
        <row r="19">
          <cell r="T19">
            <v>1.939670363242799</v>
          </cell>
          <cell r="U19">
            <v>4.1393009587842986</v>
          </cell>
          <cell r="X19">
            <v>0.64099831010002895</v>
          </cell>
          <cell r="Y19">
            <v>1.1782384194527467</v>
          </cell>
        </row>
        <row r="20">
          <cell r="T20">
            <v>1.7275434159300413</v>
          </cell>
          <cell r="U20">
            <v>2.3085514836000041</v>
          </cell>
          <cell r="X20">
            <v>0.6197309875800876</v>
          </cell>
          <cell r="Y20">
            <v>0.45777416684999395</v>
          </cell>
        </row>
        <row r="21">
          <cell r="T21">
            <v>36.225229868322593</v>
          </cell>
          <cell r="U21">
            <v>46.458601294430004</v>
          </cell>
          <cell r="X21">
            <v>13.198846837672789</v>
          </cell>
          <cell r="Y21">
            <v>15.744350465085706</v>
          </cell>
        </row>
        <row r="22">
          <cell r="T22">
            <v>12.143948614099607</v>
          </cell>
          <cell r="U22">
            <v>17.744072008093674</v>
          </cell>
          <cell r="X22">
            <v>3.8203668904517158</v>
          </cell>
          <cell r="Y22">
            <v>5.6778883265273699</v>
          </cell>
        </row>
        <row r="23">
          <cell r="T23">
            <v>13.166389705827001</v>
          </cell>
          <cell r="U23">
            <v>16.548036370376991</v>
          </cell>
          <cell r="X23">
            <v>4.0860553659124861</v>
          </cell>
          <cell r="Y23">
            <v>6.2260402729859976</v>
          </cell>
        </row>
        <row r="24">
          <cell r="T24">
            <v>130.43854489013719</v>
          </cell>
          <cell r="U24">
            <v>151.80990934331612</v>
          </cell>
          <cell r="X24">
            <v>41.219590576628491</v>
          </cell>
          <cell r="Y24">
            <v>48.923369099920549</v>
          </cell>
        </row>
        <row r="25">
          <cell r="T25">
            <v>117.19936176709331</v>
          </cell>
          <cell r="U25">
            <v>134.54792900631804</v>
          </cell>
          <cell r="X25">
            <v>37.410944403279316</v>
          </cell>
          <cell r="Y25">
            <v>43.011470783531038</v>
          </cell>
        </row>
        <row r="26">
          <cell r="T26">
            <v>13.239183123043887</v>
          </cell>
          <cell r="U26">
            <v>17.261980336998079</v>
          </cell>
          <cell r="X26">
            <v>3.8086461733491745</v>
          </cell>
          <cell r="Y26">
            <v>5.9118983163895109</v>
          </cell>
        </row>
        <row r="27">
          <cell r="T27">
            <v>-16.9812513748982</v>
          </cell>
          <cell r="U27">
            <v>1.1243398419538499</v>
          </cell>
          <cell r="X27">
            <v>-3.3421918078174997</v>
          </cell>
          <cell r="Y27">
            <v>-0.52044125079057002</v>
          </cell>
        </row>
        <row r="28">
          <cell r="T28">
            <v>-16.9084579576813</v>
          </cell>
          <cell r="U28">
            <v>1.83828380857494</v>
          </cell>
          <cell r="X28">
            <v>-3.6196010003807988</v>
          </cell>
          <cell r="Y28">
            <v>-0.83458320738706027</v>
          </cell>
        </row>
        <row r="30">
          <cell r="T30">
            <v>-7.2793417216900025E-2</v>
          </cell>
          <cell r="U30">
            <v>-0.71394396662109005</v>
          </cell>
          <cell r="X30">
            <v>0.2774091925632991</v>
          </cell>
          <cell r="Y30">
            <v>0.31414195659649025</v>
          </cell>
        </row>
        <row r="31">
          <cell r="T31">
            <v>-26.040505220756636</v>
          </cell>
          <cell r="U31">
            <v>-6.1888904937896898</v>
          </cell>
          <cell r="X31">
            <v>-5.8558798286234968</v>
          </cell>
          <cell r="Y31">
            <v>-2.9710720010672595</v>
          </cell>
        </row>
        <row r="32">
          <cell r="T32">
            <v>-24.541660193273298</v>
          </cell>
          <cell r="U32">
            <v>-4.0513872028003499</v>
          </cell>
          <cell r="X32">
            <v>-5.6600628041315986</v>
          </cell>
          <cell r="Y32">
            <v>-2.7929252921749002</v>
          </cell>
        </row>
        <row r="34">
          <cell r="T34">
            <v>-1.4988450274833376</v>
          </cell>
          <cell r="U34">
            <v>-2.1375032909893399</v>
          </cell>
          <cell r="X34">
            <v>-0.1958170244918982</v>
          </cell>
          <cell r="Y34">
            <v>-0.1781467088923594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2:AU166"/>
  <sheetViews>
    <sheetView tabSelected="1" zoomScale="80" zoomScaleNormal="80" workbookViewId="0">
      <pane xSplit="3" ySplit="6" topLeftCell="D7" activePane="bottomRight" state="frozen"/>
      <selection activeCell="G33" sqref="G33"/>
      <selection pane="topRight" activeCell="G33" sqref="G33"/>
      <selection pane="bottomLeft" activeCell="G33" sqref="G33"/>
      <selection pane="bottomRight" activeCell="G33" sqref="G33"/>
    </sheetView>
  </sheetViews>
  <sheetFormatPr baseColWidth="10" defaultColWidth="11.42578125" defaultRowHeight="12.75"/>
  <cols>
    <col min="1" max="1" width="6.5703125" style="1" bestFit="1" customWidth="1"/>
    <col min="2" max="3" width="11.42578125" style="1"/>
    <col min="4" max="4" width="48.7109375" style="1" customWidth="1"/>
    <col min="5" max="5" width="1" style="1" customWidth="1"/>
    <col min="6" max="8" width="11.42578125" style="1" customWidth="1"/>
    <col min="9" max="9" width="1" style="1" customWidth="1"/>
    <col min="10" max="12" width="11.42578125" style="1" customWidth="1"/>
    <col min="13" max="13" width="6.85546875" style="1" customWidth="1"/>
    <col min="14" max="14" width="11.42578125" style="1"/>
    <col min="15" max="15" width="48.7109375" style="1" customWidth="1"/>
    <col min="16" max="16" width="0.85546875" style="1" customWidth="1"/>
    <col min="17" max="19" width="11.42578125" style="1"/>
    <col min="20" max="20" width="0.85546875" style="1" customWidth="1"/>
    <col min="21" max="23" width="11.42578125" style="1"/>
    <col min="24" max="24" width="6.85546875" style="1" customWidth="1"/>
    <col min="25" max="25" width="11.42578125" style="1"/>
    <col min="26" max="26" width="48.7109375" style="1" customWidth="1"/>
    <col min="27" max="27" width="0.85546875" style="1" customWidth="1"/>
    <col min="28" max="30" width="11.42578125" style="1"/>
    <col min="31" max="31" width="0.85546875" style="1" customWidth="1"/>
    <col min="32" max="34" width="11.42578125" style="1"/>
    <col min="35" max="35" width="6.85546875" style="1" customWidth="1"/>
    <col min="36" max="36" width="11.42578125" style="1"/>
    <col min="37" max="37" width="48.7109375" style="1" customWidth="1"/>
    <col min="38" max="38" width="0.85546875" style="1" customWidth="1"/>
    <col min="39" max="41" width="11.42578125" style="1"/>
    <col min="42" max="42" width="0.85546875" style="1" customWidth="1"/>
    <col min="43" max="45" width="11.42578125" style="1"/>
    <col min="46" max="46" width="6.85546875" style="1" customWidth="1"/>
    <col min="47" max="16384" width="11.42578125" style="1"/>
  </cols>
  <sheetData>
    <row r="2" spans="1:46" ht="13.5" thickBot="1"/>
    <row r="3" spans="1:46" ht="16.5" thickBot="1">
      <c r="A3" s="1" t="s">
        <v>0</v>
      </c>
      <c r="B3" s="2" t="s">
        <v>1</v>
      </c>
      <c r="D3" s="3" t="str">
        <f>+IF($B$3="esp","GRUPO","GROUP")</f>
        <v>GROUP</v>
      </c>
      <c r="E3" s="4"/>
      <c r="F3" s="4"/>
      <c r="G3" s="5"/>
      <c r="H3" s="4"/>
      <c r="I3" s="4"/>
      <c r="J3" s="4"/>
      <c r="K3" s="5"/>
      <c r="L3" s="4"/>
      <c r="M3" s="4"/>
      <c r="O3" s="3" t="str">
        <f>+IF($B$3="esp","EDUCACIÓN","EDUCATION")</f>
        <v>EDUCATION</v>
      </c>
      <c r="P3" s="4"/>
      <c r="Q3" s="4"/>
      <c r="R3" s="5"/>
      <c r="S3" s="4"/>
      <c r="T3" s="4"/>
      <c r="U3" s="4"/>
      <c r="V3" s="5"/>
      <c r="W3" s="4"/>
      <c r="X3" s="4"/>
      <c r="Z3" s="3" t="str">
        <f>+IF($B$3="esp","RADIO","RADIO")</f>
        <v>RADIO</v>
      </c>
      <c r="AA3" s="4"/>
      <c r="AB3" s="4"/>
      <c r="AC3" s="5"/>
      <c r="AD3" s="4"/>
      <c r="AE3" s="4"/>
      <c r="AF3" s="4"/>
      <c r="AG3" s="5"/>
      <c r="AH3" s="4"/>
      <c r="AI3" s="4"/>
      <c r="AK3" s="3" t="str">
        <f>+IF($B$3="esp","PRENSA - incluye PBS y Tecnología","PRESS - includes PBS &amp; IT")</f>
        <v>PRESS - includes PBS &amp; IT</v>
      </c>
      <c r="AL3" s="4"/>
      <c r="AM3" s="4"/>
      <c r="AN3" s="5"/>
      <c r="AO3" s="4"/>
      <c r="AP3" s="4"/>
      <c r="AQ3" s="4"/>
      <c r="AR3" s="5"/>
      <c r="AS3" s="4"/>
      <c r="AT3" s="4"/>
    </row>
    <row r="4" spans="1:46">
      <c r="A4" s="1" t="s">
        <v>2</v>
      </c>
      <c r="B4" s="6" t="s">
        <v>3</v>
      </c>
    </row>
    <row r="5" spans="1:46">
      <c r="A5" s="1" t="s">
        <v>1</v>
      </c>
      <c r="B5" s="1" t="s">
        <v>4</v>
      </c>
    </row>
    <row r="6" spans="1:46">
      <c r="F6" s="7" t="str">
        <f>+IF($B$3="esp","ENERO - SEPTIEMBRE","JANUARY - SEPTEMBER")</f>
        <v>JANUARY - SEPTEMBER</v>
      </c>
      <c r="G6" s="8"/>
      <c r="H6" s="8"/>
      <c r="J6" s="7" t="str">
        <f>+IF($B$3="esp","JULIO - SEPTIEMBRE","JULY - SEPTEMBER")</f>
        <v>JULY - SEPTEMBER</v>
      </c>
      <c r="K6" s="8"/>
      <c r="L6" s="8"/>
      <c r="Q6" s="7" t="str">
        <f>+IF($B$3="esp","ENERO - SEPTIEMBRE","JANUARY - SEPTEMBER")</f>
        <v>JANUARY - SEPTEMBER</v>
      </c>
      <c r="R6" s="8"/>
      <c r="S6" s="8"/>
      <c r="U6" s="7" t="str">
        <f>+IF($B$3="esp","JULIO - SEPTIEMBRE","JULY - SEPTEMBER")</f>
        <v>JULY - SEPTEMBER</v>
      </c>
      <c r="V6" s="8"/>
      <c r="W6" s="8"/>
      <c r="AB6" s="7" t="str">
        <f>+IF($B$3="esp","ENERO - SEPTIEMBRE","JANUARY - SEPTEMBER")</f>
        <v>JANUARY - SEPTEMBER</v>
      </c>
      <c r="AC6" s="8"/>
      <c r="AD6" s="8"/>
      <c r="AF6" s="7" t="str">
        <f>+IF($B$3="esp","JULIO - SEPTIEMBRE","JULY - SEPTEMBER")</f>
        <v>JULY - SEPTEMBER</v>
      </c>
      <c r="AG6" s="8"/>
      <c r="AH6" s="8"/>
      <c r="AM6" s="7" t="str">
        <f>+IF($B$3="esp","ENERO - SEPTIEMBRE","JANUARY - SEPTEMBER")</f>
        <v>JANUARY - SEPTEMBER</v>
      </c>
      <c r="AN6" s="8"/>
      <c r="AO6" s="8"/>
      <c r="AQ6" s="7" t="str">
        <f>+IF($B$3="esp","JULIO - SEPTIEMBRE","JULY - SEPTEMBER")</f>
        <v>JULY - SEPTEMBER</v>
      </c>
      <c r="AR6" s="8"/>
      <c r="AS6" s="8"/>
    </row>
    <row r="8" spans="1:46">
      <c r="D8" s="9" t="str">
        <f>+IF($B$3="esp","Millones de €","€ Millions")</f>
        <v>€ Millions</v>
      </c>
      <c r="F8" s="10">
        <v>2020</v>
      </c>
      <c r="G8" s="10">
        <v>2019</v>
      </c>
      <c r="H8" s="10" t="str">
        <f>+IF($B$3="esp","Var.%","% Chg.")</f>
        <v>% Chg.</v>
      </c>
      <c r="J8" s="10">
        <v>2020</v>
      </c>
      <c r="K8" s="10">
        <v>2019</v>
      </c>
      <c r="L8" s="10" t="str">
        <f>+IF($B$3="esp","Var.%","% Chg.")</f>
        <v>% Chg.</v>
      </c>
      <c r="O8" s="9" t="str">
        <f>+IF($B$3="esp","Millones de €","€ Millions")</f>
        <v>€ Millions</v>
      </c>
      <c r="Q8" s="10">
        <v>2020</v>
      </c>
      <c r="R8" s="10">
        <v>2019</v>
      </c>
      <c r="S8" s="10" t="str">
        <f>+IF($B$3="esp","Var.%","% Chg.")</f>
        <v>% Chg.</v>
      </c>
      <c r="U8" s="10">
        <v>2020</v>
      </c>
      <c r="V8" s="10">
        <v>2019</v>
      </c>
      <c r="W8" s="10" t="str">
        <f>+IF($B$3="esp","Var.%","% Chg.")</f>
        <v>% Chg.</v>
      </c>
      <c r="Z8" s="9" t="str">
        <f>+IF($B$3="esp","Millones de €","€ Millions")</f>
        <v>€ Millions</v>
      </c>
      <c r="AB8" s="10">
        <v>2020</v>
      </c>
      <c r="AC8" s="10">
        <v>2019</v>
      </c>
      <c r="AD8" s="10" t="str">
        <f>+IF($B$3="esp","Var.%","% Chg.")</f>
        <v>% Chg.</v>
      </c>
      <c r="AF8" s="10">
        <v>2020</v>
      </c>
      <c r="AG8" s="10">
        <v>2019</v>
      </c>
      <c r="AH8" s="10" t="str">
        <f>+IF($B$3="esp","Var.%","% Chg.")</f>
        <v>% Chg.</v>
      </c>
      <c r="AK8" s="9" t="str">
        <f>+IF($B$3="esp","Millones de €","€ Millions")</f>
        <v>€ Millions</v>
      </c>
      <c r="AM8" s="10">
        <v>2020</v>
      </c>
      <c r="AN8" s="10">
        <v>2019</v>
      </c>
      <c r="AO8" s="10" t="str">
        <f>+IF($B$3="esp","Var.%","% Chg.")</f>
        <v>% Chg.</v>
      </c>
      <c r="AQ8" s="10">
        <v>2020</v>
      </c>
      <c r="AR8" s="10">
        <v>2019</v>
      </c>
      <c r="AS8" s="10" t="str">
        <f>+IF($B$3="esp","Var.%","% Chg.")</f>
        <v>% Chg.</v>
      </c>
    </row>
    <row r="9" spans="1:46" ht="15.75" customHeight="1">
      <c r="D9" s="11" t="str">
        <f>+IF($B$3="esp","Resultados Reportados","Reported Results")</f>
        <v>Reported Results</v>
      </c>
      <c r="F9" s="12"/>
      <c r="G9" s="13"/>
      <c r="H9" s="13"/>
      <c r="J9" s="12"/>
      <c r="K9" s="13"/>
      <c r="L9" s="13"/>
      <c r="O9" s="11" t="str">
        <f>+IF($B$3="esp","Resultados Reportados","Reported Results")</f>
        <v>Reported Results</v>
      </c>
      <c r="Q9" s="13"/>
      <c r="R9" s="13"/>
      <c r="S9" s="13"/>
      <c r="U9" s="13"/>
      <c r="V9" s="13"/>
      <c r="W9" s="13"/>
      <c r="Z9" s="11" t="str">
        <f>+IF($B$3="esp","Resultados Reportados","Reported Results")</f>
        <v>Reported Results</v>
      </c>
      <c r="AB9" s="13"/>
      <c r="AC9" s="13"/>
      <c r="AD9" s="13"/>
      <c r="AF9" s="13"/>
      <c r="AG9" s="13"/>
      <c r="AH9" s="13"/>
      <c r="AK9" s="11" t="str">
        <f>+IF($B$3="esp","Resultados Reportados","Reported Results")</f>
        <v>Reported Results</v>
      </c>
      <c r="AM9" s="13"/>
      <c r="AN9" s="13"/>
      <c r="AO9" s="13"/>
      <c r="AQ9" s="13"/>
      <c r="AR9" s="13"/>
      <c r="AS9" s="13"/>
    </row>
    <row r="10" spans="1:46" s="14" customFormat="1" ht="15" customHeight="1">
      <c r="D10" s="14" t="str">
        <f>+IF($B$3="esp","Ingresos de Explotación","Operating Revenues")</f>
        <v>Operating Revenues</v>
      </c>
      <c r="F10" s="15">
        <f>+[1]GRUPO!T10</f>
        <v>615.97988395455809</v>
      </c>
      <c r="G10" s="16">
        <f>+[1]GRUPO!U10</f>
        <v>796.88588326507397</v>
      </c>
      <c r="H10" s="17">
        <f t="shared" ref="H10:H24" si="0">IF(G10=0,"---",IF(OR(ABS((F10-G10)/ABS(G10))&gt;2,(F10*G10)&lt;0),"---",IF(G10="0","---",((F10-G10)/ABS(G10))*100)))</f>
        <v>-22.701619279449549</v>
      </c>
      <c r="J10" s="15">
        <f>+[1]GRUPO!X10</f>
        <v>223.18482418223908</v>
      </c>
      <c r="K10" s="16">
        <f>+[1]GRUPO!Y10</f>
        <v>311.21833101564198</v>
      </c>
      <c r="L10" s="17">
        <f t="shared" ref="L10:L24" si="1">IF(K10=0,"---",IF(OR(ABS((J10-K10)/ABS(K10))&gt;2,(J10*K10)&lt;0),"---",IF(K10="0","---",((J10-K10)/ABS(K10))*100)))</f>
        <v>-28.286735728615643</v>
      </c>
      <c r="O10" s="14" t="str">
        <f>+IF($B$3="esp","Ingresos de Explotación","Operating Revenues")</f>
        <v>Operating Revenues</v>
      </c>
      <c r="Q10" s="15">
        <f>+[1]SANTILLANA!T10</f>
        <v>392.343097643124</v>
      </c>
      <c r="R10" s="16">
        <f>+[1]SANTILLANA!U10</f>
        <v>461.13603968567099</v>
      </c>
      <c r="S10" s="17">
        <f t="shared" ref="S10:S27" si="2">IF(R10=0,"---",IF(OR(ABS((Q10-R10)/ABS(R10))&gt;2,(Q10*R10)&lt;0),"---",IF(R10="0","---",((Q10-R10)/ABS(R10))*100)))</f>
        <v>-14.918144782055867</v>
      </c>
      <c r="U10" s="15">
        <f>+[1]SANTILLANA!X10</f>
        <v>147.79822406324499</v>
      </c>
      <c r="V10" s="16">
        <f>+[1]SANTILLANA!Y10</f>
        <v>205.156496230269</v>
      </c>
      <c r="W10" s="17">
        <f t="shared" ref="W10:W27" si="3">IF(V10=0,"---",IF(OR(ABS((U10-V10)/ABS(V10))&gt;2,(U10*V10)&lt;0),"---",IF(V10="0","---",((U10-V10)/ABS(V10))*100)))</f>
        <v>-27.958301696985849</v>
      </c>
      <c r="Z10" s="14" t="str">
        <f>+IF($B$3="esp","Ingresos de Explotación","Operating Revenues")</f>
        <v>Operating Revenues</v>
      </c>
      <c r="AB10" s="15">
        <f>+[1]RADIO!T10</f>
        <v>122.46076654436101</v>
      </c>
      <c r="AC10" s="16">
        <f>+[1]RADIO!U10</f>
        <v>196.37257326384102</v>
      </c>
      <c r="AD10" s="17">
        <f>IF(AC10=0,"---",IF(OR(ABS((AB10-AC10)/ABS(AC10))&gt;2,(AB10*AC10)&lt;0),"---",IF(AC10="0","---",((AB10-AC10)/ABS(AC10))*100)))</f>
        <v>-37.638558934690977</v>
      </c>
      <c r="AF10" s="15">
        <f>+[1]RADIO!X10</f>
        <v>41.0517472864029</v>
      </c>
      <c r="AG10" s="16">
        <f>+[1]RADIO!Y10</f>
        <v>61.872456748335026</v>
      </c>
      <c r="AH10" s="17">
        <f t="shared" ref="AH10:AH21" si="4">IF(AG10=0,"---",IF(OR(ABS((AF10-AG10)/ABS(AG10))&gt;2,(AF10*AG10)&lt;0),"---",IF(AG10="0","---",((AF10-AG10)/ABS(AG10))*100)))</f>
        <v>-33.651014613206556</v>
      </c>
      <c r="AK10" s="18" t="str">
        <f>+IF($B$3="esp","Ingresos de Explotación Noticias Gestión","Total Press Operating Revenues")</f>
        <v>Total Press Operating Revenues</v>
      </c>
      <c r="AM10" s="19">
        <f>+[1]NOTICIAS!T10</f>
        <v>113.457293515239</v>
      </c>
      <c r="AN10" s="20">
        <f>+[1]NOTICIAS!U10</f>
        <v>152.93424918526998</v>
      </c>
      <c r="AO10" s="21">
        <f t="shared" ref="AO10:AO28" si="5">IF(AN10=0,"---",IF(OR(ABS((AM10-AN10)/ABS(AN10))&gt;2,(AM10*AN10)&lt;0),"---",IF(AN10="0","---",((AM10-AN10)/ABS(AN10))*100)))</f>
        <v>-25.813024800093793</v>
      </c>
      <c r="AQ10" s="19">
        <f>+[1]NOTICIAS!X10</f>
        <v>37.877398768810991</v>
      </c>
      <c r="AR10" s="20">
        <f>+[1]NOTICIAS!Y10</f>
        <v>48.402927849129981</v>
      </c>
      <c r="AS10" s="21">
        <f t="shared" ref="AS10:AS28" si="6">IF(AR10=0,"---",IF(OR(ABS((AQ10-AR10)/ABS(AR10))&gt;2,(AQ10*AR10)&lt;0),"---",IF(AR10="0","---",((AQ10-AR10)/ABS(AR10))*100)))</f>
        <v>-21.745645455842357</v>
      </c>
    </row>
    <row r="11" spans="1:46" ht="15" customHeight="1">
      <c r="D11" s="22" t="str">
        <f>+IF($B$3="esp","España","Spain")</f>
        <v>Spain</v>
      </c>
      <c r="F11" s="23">
        <f>+[1]GRUPO!T11</f>
        <v>312.06880735259108</v>
      </c>
      <c r="G11" s="24">
        <f>+[1]GRUPO!U11</f>
        <v>416.34925954256704</v>
      </c>
      <c r="H11" s="25">
        <f t="shared" si="0"/>
        <v>-25.046388290577575</v>
      </c>
      <c r="J11" s="23">
        <f>+[1]GRUPO!X11</f>
        <v>146.33153550912925</v>
      </c>
      <c r="K11" s="24">
        <f>+[1]GRUPO!Y11</f>
        <v>182.37677450004651</v>
      </c>
      <c r="L11" s="25">
        <f t="shared" si="1"/>
        <v>-19.76416080925264</v>
      </c>
      <c r="O11" s="22" t="str">
        <f>+IF($B$3="esp","Negocio España","Spain business")</f>
        <v>Spain business</v>
      </c>
      <c r="Q11" s="23">
        <f>+[1]SANTILLANA!T11</f>
        <v>121.46594248999999</v>
      </c>
      <c r="R11" s="24">
        <f>+[1]SANTILLANA!U11</f>
        <v>147.94980382999998</v>
      </c>
      <c r="S11" s="25">
        <f t="shared" si="2"/>
        <v>-17.900572122711946</v>
      </c>
      <c r="U11" s="23">
        <f>+[1]SANTILLANA!X11</f>
        <v>81.721259279999998</v>
      </c>
      <c r="V11" s="24">
        <f>+[1]SANTILLANA!Y11</f>
        <v>102.58703253999997</v>
      </c>
      <c r="W11" s="25">
        <f t="shared" si="3"/>
        <v>-20.339581663856144</v>
      </c>
      <c r="Z11" s="22" t="str">
        <f>+IF($B$3="esp","España","Spain")</f>
        <v>Spain</v>
      </c>
      <c r="AB11" s="23">
        <f>+[1]RADIO!T11</f>
        <v>91.665159710000012</v>
      </c>
      <c r="AC11" s="24">
        <f>+[1]RADIO!U11</f>
        <v>133.15707760000001</v>
      </c>
      <c r="AD11" s="25">
        <f>IF(AC11=0,"---",IF(OR(ABS((AB11-AC11)/ABS(AC11))&gt;2,(AB11*AC11)&lt;0),"---",IF(AC11="0","---",((AB11-AC11)/ABS(AC11))*100)))</f>
        <v>-31.160129553639283</v>
      </c>
      <c r="AF11" s="23">
        <f>+[1]RADIO!X11</f>
        <v>30.812351190000015</v>
      </c>
      <c r="AG11" s="24">
        <f>+[1]RADIO!Y11</f>
        <v>37.155630799999997</v>
      </c>
      <c r="AH11" s="25">
        <f t="shared" si="4"/>
        <v>-17.072189257516204</v>
      </c>
      <c r="AK11" s="26" t="str">
        <f>+IF($B$3="esp","Ingresos de Explotación PRENSA","PRESS Operating Revenues")</f>
        <v>PRESS Operating Revenues</v>
      </c>
      <c r="AL11" s="14"/>
      <c r="AM11" s="15">
        <f>+[1]NOTICIAS!T11</f>
        <v>100.290903809412</v>
      </c>
      <c r="AN11" s="16">
        <f>+[1]NOTICIAS!U11</f>
        <v>136.38621281489299</v>
      </c>
      <c r="AO11" s="17">
        <f t="shared" si="5"/>
        <v>-26.465511623576283</v>
      </c>
      <c r="AP11" s="14"/>
      <c r="AQ11" s="15">
        <f>+[1]NOTICIAS!X11</f>
        <v>33.791343402898505</v>
      </c>
      <c r="AR11" s="16">
        <f>+[1]NOTICIAS!Y11</f>
        <v>42.176887576143983</v>
      </c>
      <c r="AS11" s="17">
        <f t="shared" si="6"/>
        <v>-19.881846800825802</v>
      </c>
    </row>
    <row r="12" spans="1:46" ht="15" customHeight="1">
      <c r="D12" s="22" t="str">
        <f>+IF($B$3="esp","Internacional","International")</f>
        <v>International</v>
      </c>
      <c r="F12" s="23">
        <f>+[1]GRUPO!T12</f>
        <v>303.91107660196701</v>
      </c>
      <c r="G12" s="24">
        <f>+[1]GRUPO!U12</f>
        <v>380.53662372250693</v>
      </c>
      <c r="H12" s="25">
        <f t="shared" si="0"/>
        <v>-20.13618199766665</v>
      </c>
      <c r="J12" s="23">
        <f>+[1]GRUPO!X12</f>
        <v>76.85328867310983</v>
      </c>
      <c r="K12" s="24">
        <f>+[1]GRUPO!Y12</f>
        <v>128.84155651559547</v>
      </c>
      <c r="L12" s="25">
        <f t="shared" si="1"/>
        <v>-40.35054313876811</v>
      </c>
      <c r="O12" s="22" t="str">
        <f>+IF($B$3="esp","Negocio Internacional","International business")</f>
        <v>International business</v>
      </c>
      <c r="Q12" s="23">
        <f>+[1]SANTILLANA!T12</f>
        <v>269.43991535312404</v>
      </c>
      <c r="R12" s="24">
        <f>+[1]SANTILLANA!U12</f>
        <v>311.623150875671</v>
      </c>
      <c r="S12" s="25">
        <f t="shared" si="2"/>
        <v>-13.536617996452039</v>
      </c>
      <c r="U12" s="23">
        <f>+[1]SANTILLANA!X12</f>
        <v>65.396457303245029</v>
      </c>
      <c r="V12" s="24">
        <f>+[1]SANTILLANA!Y12</f>
        <v>102.244634680269</v>
      </c>
      <c r="W12" s="25">
        <f t="shared" si="3"/>
        <v>-36.039228358781422</v>
      </c>
      <c r="Z12" s="22" t="str">
        <f>+IF($B$3="esp","Latam","Latam")</f>
        <v>Latam</v>
      </c>
      <c r="AB12" s="23">
        <f>+[1]RADIO!T12</f>
        <v>33.595204297656394</v>
      </c>
      <c r="AC12" s="24">
        <f>+[1]RADIO!U12</f>
        <v>66.196770385400299</v>
      </c>
      <c r="AD12" s="25">
        <f>IF(AC12=0,"---",IF(OR(ABS((AB12-AC12)/ABS(AC12))&gt;2,(AB12*AC12)&lt;0),"---",IF(AC12="0","---",((AB12-AC12)/ABS(AC12))*100)))</f>
        <v>-49.249481353752238</v>
      </c>
      <c r="AF12" s="23">
        <f>+[1]RADIO!X12</f>
        <v>11.117109046354596</v>
      </c>
      <c r="AG12" s="24">
        <f>+[1]RADIO!Y12</f>
        <v>25.663951134878801</v>
      </c>
      <c r="AH12" s="25">
        <f t="shared" si="4"/>
        <v>-56.682005089832799</v>
      </c>
      <c r="AK12" s="27" t="str">
        <f>+IF($B$3="esp","Publicidad","Advertising")</f>
        <v>Advertising</v>
      </c>
      <c r="AL12" s="28"/>
      <c r="AM12" s="29">
        <f>+[1]NOTICIAS!T12</f>
        <v>51.921725326989801</v>
      </c>
      <c r="AN12" s="30">
        <f>+[1]NOTICIAS!U12</f>
        <v>72.183539512369308</v>
      </c>
      <c r="AO12" s="31">
        <f t="shared" si="5"/>
        <v>-28.069854044643321</v>
      </c>
      <c r="AP12" s="28"/>
      <c r="AQ12" s="29">
        <f>+[1]NOTICIAS!X12</f>
        <v>16.772129674774</v>
      </c>
      <c r="AR12" s="30">
        <f>+[1]NOTICIAS!Y12</f>
        <v>20.754648784530907</v>
      </c>
      <c r="AS12" s="31">
        <f t="shared" si="6"/>
        <v>-19.188564215672031</v>
      </c>
    </row>
    <row r="13" spans="1:46" ht="15" customHeight="1" thickBot="1">
      <c r="D13" s="32" t="str">
        <f>+IF($B$3="esp","Latam","Latam")</f>
        <v>Latam</v>
      </c>
      <c r="F13" s="23">
        <f>+[1]GRUPO!T13</f>
        <v>299.53412260196694</v>
      </c>
      <c r="G13" s="24">
        <f>+[1]GRUPO!U13</f>
        <v>376.70342572250695</v>
      </c>
      <c r="H13" s="25">
        <f t="shared" si="0"/>
        <v>-20.485426425982556</v>
      </c>
      <c r="J13" s="23">
        <f>+[1]GRUPO!X13</f>
        <v>73.272410673109761</v>
      </c>
      <c r="K13" s="24">
        <f>+[1]GRUPO!Y13</f>
        <v>125.2279475155955</v>
      </c>
      <c r="L13" s="25">
        <f t="shared" si="1"/>
        <v>-41.488771375108072</v>
      </c>
      <c r="O13" s="32" t="str">
        <f>+IF($B$3="esp","Latam","Latam")</f>
        <v>Latam</v>
      </c>
      <c r="Q13" s="23">
        <f>+[1]SANTILLANA!T13</f>
        <v>265.06296135312402</v>
      </c>
      <c r="R13" s="24">
        <f>+[1]SANTILLANA!U13</f>
        <v>307.78995287567102</v>
      </c>
      <c r="S13" s="25">
        <f>IF(R13=0,"---",IF(OR(ABS((Q13-R13)/ABS(R13))&gt;2,(Q13*R13)&lt;0),"---",IF(R13="0","---",((Q13-R13)/ABS(R13))*100)))</f>
        <v>-13.881866878158359</v>
      </c>
      <c r="U13" s="23">
        <f>+[1]SANTILLANA!X13</f>
        <v>61.815579303245016</v>
      </c>
      <c r="V13" s="24">
        <f>+[1]SANTILLANA!Y13</f>
        <v>98.631025680269033</v>
      </c>
      <c r="W13" s="25">
        <f t="shared" si="3"/>
        <v>-37.326435696175551</v>
      </c>
      <c r="Z13" s="22" t="str">
        <f>+IF($B$3="esp","Ajustes y Otros","Adjustments &amp; others")</f>
        <v>Adjustments &amp; others</v>
      </c>
      <c r="AB13" s="23">
        <f>+AB10-AB11-AB12</f>
        <v>-2.7995974632953988</v>
      </c>
      <c r="AC13" s="24">
        <f>+AC10-AC11-AC12</f>
        <v>-2.9812747215592879</v>
      </c>
      <c r="AD13" s="25">
        <f t="shared" ref="AD13:AD21" si="7">IF(AC13=0,"---",IF(OR(ABS((AB13-AC13)/ABS(AC13))&gt;2,(AB13*AC13)&lt;0),"---",IF(AC13="0","---",((AB13-AC13)/ABS(AC13))*100)))</f>
        <v>6.0939455512126335</v>
      </c>
      <c r="AF13" s="23">
        <f>+AF10-AF11-AF12</f>
        <v>-0.8777129499517109</v>
      </c>
      <c r="AG13" s="24">
        <f>+AG10-AG11-AG12</f>
        <v>-0.9471251865437722</v>
      </c>
      <c r="AH13" s="25">
        <f t="shared" si="4"/>
        <v>7.3287288289058035</v>
      </c>
      <c r="AK13" s="33" t="str">
        <f>+IF($B$3="esp","Digital","Digital")</f>
        <v>Digital</v>
      </c>
      <c r="AL13" s="28"/>
      <c r="AM13" s="29">
        <f>+[1]NOTICIAS!T13</f>
        <v>36.035964849783298</v>
      </c>
      <c r="AN13" s="30">
        <f>+[1]NOTICIAS!U13</f>
        <v>41.123923795723599</v>
      </c>
      <c r="AO13" s="31">
        <f t="shared" si="5"/>
        <v>-12.372260417595141</v>
      </c>
      <c r="AP13" s="28"/>
      <c r="AQ13" s="29">
        <f>+[1]NOTICIAS!X13</f>
        <v>11.864590044754799</v>
      </c>
      <c r="AR13" s="30">
        <f>+[1]NOTICIAS!Y13</f>
        <v>12.643195757619598</v>
      </c>
      <c r="AS13" s="31">
        <f t="shared" si="6"/>
        <v>-6.1582983273478265</v>
      </c>
    </row>
    <row r="14" spans="1:46" ht="15" customHeight="1" thickTop="1">
      <c r="D14" s="32" t="str">
        <f>+IF($B$3="esp","Portugal","Portugal")</f>
        <v>Portugal</v>
      </c>
      <c r="F14" s="23">
        <f>+[1]GRUPO!T14</f>
        <v>4.3769539999999996</v>
      </c>
      <c r="G14" s="24">
        <f>+[1]GRUPO!U14</f>
        <v>3.8331979999999999</v>
      </c>
      <c r="H14" s="25">
        <f t="shared" si="0"/>
        <v>14.185439938140417</v>
      </c>
      <c r="J14" s="23">
        <f>+[1]GRUPO!X14</f>
        <v>3.5808779999999993</v>
      </c>
      <c r="K14" s="24">
        <f>+[1]GRUPO!Y14</f>
        <v>3.6136089999999998</v>
      </c>
      <c r="L14" s="25">
        <f t="shared" si="1"/>
        <v>-0.905770380802143</v>
      </c>
      <c r="O14" s="32" t="str">
        <f>+IF($B$3="esp","Portugal","Portugal")</f>
        <v>Portugal</v>
      </c>
      <c r="Q14" s="23">
        <f>+[1]SANTILLANA!T14</f>
        <v>4.3769539999999996</v>
      </c>
      <c r="R14" s="24">
        <f>+[1]SANTILLANA!U14</f>
        <v>3.8331979999999999</v>
      </c>
      <c r="S14" s="25">
        <f t="shared" si="2"/>
        <v>14.185439938140417</v>
      </c>
      <c r="U14" s="23">
        <f>+[1]SANTILLANA!X14</f>
        <v>3.5808779999999993</v>
      </c>
      <c r="V14" s="24">
        <f>+[1]SANTILLANA!Y14</f>
        <v>3.6136089999999998</v>
      </c>
      <c r="W14" s="25">
        <f t="shared" si="3"/>
        <v>-0.905770380802143</v>
      </c>
      <c r="Z14" s="14" t="str">
        <f>+IF($B$3="esp","Gastos de Explotación Contables","Reported Expenses")</f>
        <v>Reported Expenses</v>
      </c>
      <c r="AA14" s="14"/>
      <c r="AB14" s="15">
        <f t="shared" ref="AB14:AC16" si="8">+AB10-AB18</f>
        <v>128.66406280304713</v>
      </c>
      <c r="AC14" s="16">
        <f t="shared" si="8"/>
        <v>154.5501922779423</v>
      </c>
      <c r="AD14" s="34">
        <f t="shared" si="7"/>
        <v>-16.749335017546716</v>
      </c>
      <c r="AE14" s="14"/>
      <c r="AF14" s="15">
        <f t="shared" ref="AF14:AG16" si="9">+AF10-AF18</f>
        <v>42.07229510106243</v>
      </c>
      <c r="AG14" s="16">
        <f t="shared" si="9"/>
        <v>48.195263141730521</v>
      </c>
      <c r="AH14" s="34">
        <f t="shared" si="4"/>
        <v>-12.704501732176324</v>
      </c>
      <c r="AK14" s="35" t="s">
        <v>5</v>
      </c>
      <c r="AL14" s="28"/>
      <c r="AM14" s="29">
        <f>+[1]NOTICIAS!T14</f>
        <v>21.528662642722743</v>
      </c>
      <c r="AN14" s="30">
        <f>+[1]NOTICIAS!U14</f>
        <v>25.136251411394497</v>
      </c>
      <c r="AO14" s="31">
        <f t="shared" si="5"/>
        <v>-14.352135127978549</v>
      </c>
      <c r="AP14" s="28"/>
      <c r="AQ14" s="29">
        <f>+[1]NOTICIAS!X14</f>
        <v>6.4362322495335231</v>
      </c>
      <c r="AR14" s="30">
        <f>+[1]NOTICIAS!Y14</f>
        <v>7.5628177218406343</v>
      </c>
      <c r="AS14" s="31">
        <f t="shared" si="6"/>
        <v>-14.896372142536887</v>
      </c>
    </row>
    <row r="15" spans="1:46" s="14" customFormat="1" ht="15" customHeight="1">
      <c r="D15" s="14" t="str">
        <f>+IF($B$3="esp","Gastos de Explotación Contables","Reported Expenses")</f>
        <v>Reported Expenses</v>
      </c>
      <c r="F15" s="15">
        <f>+[1]GRUPO!T15</f>
        <v>533.85287787861296</v>
      </c>
      <c r="G15" s="16">
        <f>+[1]GRUPO!U15</f>
        <v>682.671241065912</v>
      </c>
      <c r="H15" s="17">
        <f t="shared" si="0"/>
        <v>-21.799418846901535</v>
      </c>
      <c r="J15" s="15">
        <f>+[1]GRUPO!X15</f>
        <v>173.16270380260835</v>
      </c>
      <c r="K15" s="16">
        <f>+[1]GRUPO!Y15</f>
        <v>231.6562819250388</v>
      </c>
      <c r="L15" s="17">
        <f t="shared" si="1"/>
        <v>-25.250158396895223</v>
      </c>
      <c r="O15" s="22" t="str">
        <f>+IF($B$3="esp","Tecnología Educativa global y Centro Corpor.","Global Educational IT &amp; HQ")</f>
        <v>Global Educational IT &amp; HQ</v>
      </c>
      <c r="P15" s="1"/>
      <c r="Q15" s="23">
        <f>+[1]SANTILLANA!T15</f>
        <v>1.4372398000000002</v>
      </c>
      <c r="R15" s="24">
        <f>+[1]SANTILLANA!U15</f>
        <v>1.5630849800000013</v>
      </c>
      <c r="S15" s="25">
        <f t="shared" si="2"/>
        <v>-8.0510772997128424</v>
      </c>
      <c r="T15" s="1"/>
      <c r="U15" s="23">
        <f>+[1]SANTILLANA!X15</f>
        <v>0.68050747999999983</v>
      </c>
      <c r="V15" s="24">
        <f>+[1]SANTILLANA!Y15</f>
        <v>0.32482901000000108</v>
      </c>
      <c r="W15" s="25">
        <f t="shared" si="3"/>
        <v>109.4971382020336</v>
      </c>
      <c r="Z15" s="22" t="str">
        <f>+IF($B$3="esp","España","Spain")</f>
        <v>Spain</v>
      </c>
      <c r="AA15" s="1"/>
      <c r="AB15" s="23">
        <f t="shared" si="8"/>
        <v>93.16476757999996</v>
      </c>
      <c r="AC15" s="24">
        <f t="shared" si="8"/>
        <v>108.13261289999991</v>
      </c>
      <c r="AD15" s="25">
        <f t="shared" si="7"/>
        <v>-13.842119337153244</v>
      </c>
      <c r="AE15" s="1"/>
      <c r="AF15" s="23">
        <f t="shared" si="9"/>
        <v>30.846316909999956</v>
      </c>
      <c r="AG15" s="24">
        <f t="shared" si="9"/>
        <v>33.67980567</v>
      </c>
      <c r="AH15" s="25">
        <f t="shared" si="4"/>
        <v>-8.4130199198980229</v>
      </c>
      <c r="AK15" s="35" t="s">
        <v>6</v>
      </c>
      <c r="AL15" s="28"/>
      <c r="AM15" s="29">
        <f>+[1]NOTICIAS!T15</f>
        <v>13.338103962990601</v>
      </c>
      <c r="AN15" s="30">
        <f>+[1]NOTICIAS!U15</f>
        <v>14.3536333579291</v>
      </c>
      <c r="AO15" s="31">
        <f t="shared" si="5"/>
        <v>-7.0750685182961668</v>
      </c>
      <c r="AP15" s="28"/>
      <c r="AQ15" s="29">
        <f>+[1]NOTICIAS!X15</f>
        <v>5.0773450528013413</v>
      </c>
      <c r="AR15" s="30">
        <f>+[1]NOTICIAS!Y15</f>
        <v>4.579453482628951</v>
      </c>
      <c r="AS15" s="31">
        <f t="shared" si="6"/>
        <v>10.872292339271956</v>
      </c>
    </row>
    <row r="16" spans="1:46" ht="15" customHeight="1">
      <c r="D16" s="22" t="str">
        <f>+IF($B$3="esp","España","Spain")</f>
        <v>Spain</v>
      </c>
      <c r="F16" s="23">
        <f>+[1]GRUPO!T16</f>
        <v>290.80900762711622</v>
      </c>
      <c r="G16" s="24">
        <f>+[1]GRUPO!U16</f>
        <v>390.45838301256731</v>
      </c>
      <c r="H16" s="25">
        <f t="shared" si="0"/>
        <v>-25.521125866631415</v>
      </c>
      <c r="J16" s="23">
        <f>+[1]GRUPO!X16</f>
        <v>108.85558669512832</v>
      </c>
      <c r="K16" s="24">
        <f>+[1]GRUPO!Y16</f>
        <v>128.91788300004657</v>
      </c>
      <c r="L16" s="25">
        <f t="shared" si="1"/>
        <v>-15.562073963711459</v>
      </c>
      <c r="O16" s="14" t="str">
        <f>+IF($B$3="esp","Gastos de Explotación","Expenses")</f>
        <v>Expenses</v>
      </c>
      <c r="P16" s="14"/>
      <c r="Q16" s="15">
        <f>+[1]SANTILLANA!T16</f>
        <v>282.25055115359498</v>
      </c>
      <c r="R16" s="16">
        <f>+[1]SANTILLANA!U16</f>
        <v>331.92123415962101</v>
      </c>
      <c r="S16" s="17">
        <f t="shared" si="2"/>
        <v>-14.964599397138715</v>
      </c>
      <c r="T16" s="14"/>
      <c r="U16" s="15">
        <f>+[1]SANTILLANA!X16</f>
        <v>92.250896891137984</v>
      </c>
      <c r="V16" s="16">
        <f>+[1]SANTILLANA!Y16</f>
        <v>137.79416420186831</v>
      </c>
      <c r="W16" s="17">
        <f t="shared" si="3"/>
        <v>-33.051666283928746</v>
      </c>
      <c r="Z16" s="22" t="str">
        <f>+IF($B$3="esp","Latam","Latam")</f>
        <v>Latam</v>
      </c>
      <c r="AB16" s="23">
        <f t="shared" si="8"/>
        <v>38.638505116342607</v>
      </c>
      <c r="AC16" s="24">
        <f t="shared" si="8"/>
        <v>49.265510969501598</v>
      </c>
      <c r="AD16" s="25">
        <f t="shared" si="7"/>
        <v>-21.570883248806179</v>
      </c>
      <c r="AF16" s="23">
        <f t="shared" si="9"/>
        <v>12.102429111014276</v>
      </c>
      <c r="AG16" s="24">
        <f t="shared" si="9"/>
        <v>15.440629658274279</v>
      </c>
      <c r="AH16" s="25">
        <f t="shared" si="4"/>
        <v>-21.619588197759398</v>
      </c>
      <c r="AI16" s="14"/>
      <c r="AK16" s="35" t="str">
        <f>+IF($B$3="esp","Otros","Others")</f>
        <v>Others</v>
      </c>
      <c r="AL16" s="28"/>
      <c r="AM16" s="29">
        <f>+[1]NOTICIAS!T16</f>
        <v>1.1691982440699533</v>
      </c>
      <c r="AN16" s="30">
        <f>+[1]NOTICIAS!U16</f>
        <v>1.6340390264000018</v>
      </c>
      <c r="AO16" s="31">
        <f t="shared" si="5"/>
        <v>-28.447348858867372</v>
      </c>
      <c r="AP16" s="28"/>
      <c r="AQ16" s="29">
        <f>+[1]NOTICIAS!X16</f>
        <v>0.3510127424199343</v>
      </c>
      <c r="AR16" s="30">
        <f>+[1]NOTICIAS!Y16</f>
        <v>0.50092455315001239</v>
      </c>
      <c r="AS16" s="31">
        <f t="shared" si="6"/>
        <v>-29.927023897585602</v>
      </c>
    </row>
    <row r="17" spans="4:45" ht="15" customHeight="1" thickBot="1">
      <c r="D17" s="22" t="str">
        <f>+IF($B$3="esp","Internacional","International")</f>
        <v>International</v>
      </c>
      <c r="F17" s="23">
        <f>+[1]GRUPO!T17</f>
        <v>243.04387025149674</v>
      </c>
      <c r="G17" s="24">
        <f>+[1]GRUPO!U17</f>
        <v>292.21285805334463</v>
      </c>
      <c r="H17" s="25">
        <f t="shared" si="0"/>
        <v>-16.826428559441382</v>
      </c>
      <c r="J17" s="23">
        <f>+[1]GRUPO!X17</f>
        <v>64.307117107480025</v>
      </c>
      <c r="K17" s="24">
        <f>+[1]GRUPO!Y17</f>
        <v>102.7383989249922</v>
      </c>
      <c r="L17" s="25">
        <f t="shared" si="1"/>
        <v>-37.406930825903068</v>
      </c>
      <c r="O17" s="22" t="str">
        <f>+IF($B$3="esp","Negocio España","Spain business")</f>
        <v>Spain business</v>
      </c>
      <c r="Q17" s="23">
        <f>+[1]SANTILLANA!T17</f>
        <v>63.826075524525741</v>
      </c>
      <c r="R17" s="24">
        <f>+[1]SANTILLANA!U17</f>
        <v>77.905369839999992</v>
      </c>
      <c r="S17" s="25">
        <f t="shared" si="2"/>
        <v>-18.0723027750076</v>
      </c>
      <c r="U17" s="23">
        <f>+[1]SANTILLANA!X17</f>
        <v>35.407999316000009</v>
      </c>
      <c r="V17" s="24">
        <f>+[1]SANTILLANA!Y17</f>
        <v>46.329249479999987</v>
      </c>
      <c r="W17" s="25">
        <f t="shared" si="3"/>
        <v>-23.573121271292351</v>
      </c>
      <c r="Z17" s="22" t="str">
        <f>+IF($B$3="esp","Ajustes y Otros","Adjustments &amp; others")</f>
        <v>Adjustments &amp; others</v>
      </c>
      <c r="AB17" s="23">
        <f>+AB14-AB15-AB16</f>
        <v>-3.1392098932954369</v>
      </c>
      <c r="AC17" s="24">
        <f>+AC14-AC15-AC16</f>
        <v>-2.8479315915592096</v>
      </c>
      <c r="AD17" s="25">
        <f t="shared" si="7"/>
        <v>-10.227714127668206</v>
      </c>
      <c r="AF17" s="23">
        <f>+AF14-AF15-AF16</f>
        <v>-0.87645091995180202</v>
      </c>
      <c r="AG17" s="24">
        <f>+AG14-AG15-AG16</f>
        <v>-0.9251721865437581</v>
      </c>
      <c r="AH17" s="25">
        <f t="shared" si="4"/>
        <v>5.2661836683577929</v>
      </c>
      <c r="AK17" s="33" t="str">
        <f>+IF($B$3="esp","Papel","Print")</f>
        <v>Print</v>
      </c>
      <c r="AL17" s="28"/>
      <c r="AM17" s="29">
        <f>+[1]NOTICIAS!T17</f>
        <v>15.885760477206503</v>
      </c>
      <c r="AN17" s="30">
        <f>+[1]NOTICIAS!U17</f>
        <v>31.059615716645709</v>
      </c>
      <c r="AO17" s="31">
        <f t="shared" si="5"/>
        <v>-48.853969662306916</v>
      </c>
      <c r="AP17" s="28"/>
      <c r="AQ17" s="29">
        <f>+[1]NOTICIAS!X17</f>
        <v>4.9075396300192011</v>
      </c>
      <c r="AR17" s="30">
        <f>+[1]NOTICIAS!Y17</f>
        <v>8.1114530269113096</v>
      </c>
      <c r="AS17" s="31">
        <f t="shared" si="6"/>
        <v>-39.498637127805686</v>
      </c>
    </row>
    <row r="18" spans="4:45" ht="15" customHeight="1" thickTop="1">
      <c r="D18" s="32" t="str">
        <f>+IF($B$3="esp","Latam","Latam")</f>
        <v>Latam</v>
      </c>
      <c r="F18" s="23">
        <f>+[1]GRUPO!T18</f>
        <v>241.25389696149671</v>
      </c>
      <c r="G18" s="24">
        <f>+[1]GRUPO!U18</f>
        <v>290.76919905334466</v>
      </c>
      <c r="H18" s="25">
        <f t="shared" si="0"/>
        <v>-17.029074005449889</v>
      </c>
      <c r="J18" s="23">
        <f>+[1]GRUPO!X18</f>
        <v>63.157128407480002</v>
      </c>
      <c r="K18" s="24">
        <f>+[1]GRUPO!Y18</f>
        <v>101.74702492499225</v>
      </c>
      <c r="L18" s="25">
        <f t="shared" si="1"/>
        <v>-37.927297182360526</v>
      </c>
      <c r="O18" s="22" t="str">
        <f>+IF($B$3="esp","Negocio Internacional","International business")</f>
        <v>International business</v>
      </c>
      <c r="Q18" s="23">
        <f>+[1]SANTILLANA!T18</f>
        <v>201.54786118906929</v>
      </c>
      <c r="R18" s="24">
        <f>+[1]SANTILLANA!U18</f>
        <v>236.296697579621</v>
      </c>
      <c r="S18" s="25">
        <f t="shared" si="2"/>
        <v>-14.705595442713692</v>
      </c>
      <c r="U18" s="23">
        <f>+[1]SANTILLANA!X18</f>
        <v>51.239592795138037</v>
      </c>
      <c r="V18" s="24">
        <f>+[1]SANTILLANA!Y18</f>
        <v>85.748459331868304</v>
      </c>
      <c r="W18" s="25">
        <f t="shared" si="3"/>
        <v>-40.244299204458237</v>
      </c>
      <c r="Z18" s="14" t="str">
        <f>+IF($B$3="esp","EBITDA","EBITDA")</f>
        <v>EBITDA</v>
      </c>
      <c r="AA18" s="14"/>
      <c r="AB18" s="15">
        <f>+[1]RADIO!T20</f>
        <v>-6.2032962586861302</v>
      </c>
      <c r="AC18" s="16">
        <f>+[1]RADIO!U20</f>
        <v>41.822380985898704</v>
      </c>
      <c r="AD18" s="34" t="str">
        <f t="shared" si="7"/>
        <v>---</v>
      </c>
      <c r="AE18" s="14"/>
      <c r="AF18" s="15">
        <f>+[1]RADIO!X20</f>
        <v>-1.0205478146595306</v>
      </c>
      <c r="AG18" s="16">
        <f>+[1]RADIO!Y20</f>
        <v>13.677193606604504</v>
      </c>
      <c r="AH18" s="34" t="str">
        <f t="shared" si="4"/>
        <v>---</v>
      </c>
      <c r="AK18" s="35" t="s">
        <v>5</v>
      </c>
      <c r="AL18" s="28"/>
      <c r="AM18" s="29">
        <f>+[1]NOTICIAS!T18</f>
        <v>12.218546698033663</v>
      </c>
      <c r="AN18" s="30">
        <f>+[1]NOTICIAS!U18</f>
        <v>24.611763274261406</v>
      </c>
      <c r="AO18" s="31">
        <f t="shared" si="5"/>
        <v>-50.35485039460125</v>
      </c>
      <c r="AP18" s="28"/>
      <c r="AQ18" s="29">
        <f>+[1]NOTICIAS!X18</f>
        <v>3.6468103323390846</v>
      </c>
      <c r="AR18" s="30">
        <f>+[1]NOTICIAS!Y18</f>
        <v>6.475440440608569</v>
      </c>
      <c r="AS18" s="31">
        <f t="shared" si="6"/>
        <v>-43.682435723301111</v>
      </c>
    </row>
    <row r="19" spans="4:45" ht="15" customHeight="1">
      <c r="D19" s="32" t="str">
        <f>+IF($B$3="esp","Portugal","Portugal")</f>
        <v>Portugal</v>
      </c>
      <c r="F19" s="23">
        <f>+[1]GRUPO!T19</f>
        <v>1.7899732899999896</v>
      </c>
      <c r="G19" s="24">
        <f>+[1]GRUPO!U19</f>
        <v>1.4436589999999998</v>
      </c>
      <c r="H19" s="25">
        <f t="shared" si="0"/>
        <v>23.98864898151086</v>
      </c>
      <c r="J19" s="23">
        <f>+[1]GRUPO!X19</f>
        <v>1.1499886999999815</v>
      </c>
      <c r="K19" s="24">
        <f>+[1]GRUPO!Y19</f>
        <v>0.99137399999999976</v>
      </c>
      <c r="L19" s="25">
        <f t="shared" si="1"/>
        <v>15.999481527655741</v>
      </c>
      <c r="O19" s="32" t="str">
        <f>+IF($B$3="esp","Latam","Latam")</f>
        <v>Latam</v>
      </c>
      <c r="Q19" s="23">
        <f>+[1]SANTILLANA!T19</f>
        <v>199.85313618906929</v>
      </c>
      <c r="R19" s="24">
        <f>+[1]SANTILLANA!U19</f>
        <v>234.853038579621</v>
      </c>
      <c r="S19" s="25">
        <f>IF(R19=0,"---",IF(OR(ABS((Q19-R19)/ABS(R19))&gt;2,(Q19*R19)&lt;0),"---",IF(R19="0","---",((Q19-R19)/ABS(R19))*100)))</f>
        <v>-14.902895275372764</v>
      </c>
      <c r="U19" s="23">
        <f>+[1]SANTILLANA!X19</f>
        <v>50.137265795138035</v>
      </c>
      <c r="V19" s="24">
        <f>+[1]SANTILLANA!Y19</f>
        <v>84.757085331868296</v>
      </c>
      <c r="W19" s="25">
        <f t="shared" si="3"/>
        <v>-40.845929754634163</v>
      </c>
      <c r="Z19" s="22" t="str">
        <f>+IF($B$3="esp","España","Spain")</f>
        <v>Spain</v>
      </c>
      <c r="AB19" s="23">
        <f>+[1]RADIO!T21</f>
        <v>-1.4996078699999502</v>
      </c>
      <c r="AC19" s="24">
        <f>+[1]RADIO!U21</f>
        <v>25.024464700000099</v>
      </c>
      <c r="AD19" s="25" t="str">
        <f t="shared" si="7"/>
        <v>---</v>
      </c>
      <c r="AF19" s="23">
        <f>+[1]RADIO!X21</f>
        <v>-3.3965719999940136E-2</v>
      </c>
      <c r="AG19" s="24">
        <f>+[1]RADIO!Y21</f>
        <v>3.4758251299999969</v>
      </c>
      <c r="AH19" s="25" t="str">
        <f t="shared" si="4"/>
        <v>---</v>
      </c>
      <c r="AK19" s="35" t="s">
        <v>6</v>
      </c>
      <c r="AL19" s="28"/>
      <c r="AM19" s="29">
        <f>+[1]NOTICIAS!T19</f>
        <v>1.939670363242799</v>
      </c>
      <c r="AN19" s="30">
        <f>+[1]NOTICIAS!U19</f>
        <v>4.1393009587842986</v>
      </c>
      <c r="AO19" s="31">
        <f t="shared" si="5"/>
        <v>-53.140146547535053</v>
      </c>
      <c r="AP19" s="28"/>
      <c r="AQ19" s="29">
        <f>+[1]NOTICIAS!X19</f>
        <v>0.64099831010002895</v>
      </c>
      <c r="AR19" s="30">
        <f>+[1]NOTICIAS!Y19</f>
        <v>1.1782384194527467</v>
      </c>
      <c r="AS19" s="31">
        <f t="shared" si="6"/>
        <v>-45.596892826007853</v>
      </c>
    </row>
    <row r="20" spans="4:45" s="28" customFormat="1" ht="15" customHeight="1">
      <c r="D20" s="14" t="str">
        <f>+IF($B$3="esp","EBITDA Contable","Reported EBITDA")</f>
        <v>Reported EBITDA</v>
      </c>
      <c r="E20" s="14"/>
      <c r="F20" s="15">
        <f>+[1]GRUPO!T20</f>
        <v>82.127006075945104</v>
      </c>
      <c r="G20" s="16">
        <f>+[1]GRUPO!U20</f>
        <v>114.21464219916199</v>
      </c>
      <c r="H20" s="17">
        <f t="shared" si="0"/>
        <v>-28.094152820847619</v>
      </c>
      <c r="I20" s="14"/>
      <c r="J20" s="15">
        <f>+[1]GRUPO!X20</f>
        <v>50.022120379630707</v>
      </c>
      <c r="K20" s="16">
        <f>+[1]GRUPO!Y20</f>
        <v>79.562049090603182</v>
      </c>
      <c r="L20" s="17">
        <f t="shared" si="1"/>
        <v>-37.128164807989265</v>
      </c>
      <c r="O20" s="32" t="str">
        <f>+IF($B$3="esp","Portugal","Portugal")</f>
        <v>Portugal</v>
      </c>
      <c r="P20" s="1"/>
      <c r="Q20" s="23">
        <f>+[1]SANTILLANA!T20</f>
        <v>1.6947249999999996</v>
      </c>
      <c r="R20" s="24">
        <f>+[1]SANTILLANA!U20</f>
        <v>1.4436589999999998</v>
      </c>
      <c r="S20" s="25">
        <f>IF(R20=0,"---",IF(OR(ABS((Q20-R20)/ABS(R20))&gt;2,(Q20*R20)&lt;0),"---",IF(R20="0","---",((Q20-R20)/ABS(R20))*100)))</f>
        <v>17.390948970636405</v>
      </c>
      <c r="T20" s="1"/>
      <c r="U20" s="23">
        <f>+[1]SANTILLANA!X20</f>
        <v>1.1023269999999996</v>
      </c>
      <c r="V20" s="24">
        <f>+[1]SANTILLANA!Y20</f>
        <v>0.99137399999999976</v>
      </c>
      <c r="W20" s="25">
        <f t="shared" si="3"/>
        <v>11.191840818903852</v>
      </c>
      <c r="Z20" s="22" t="str">
        <f>+IF($B$3="esp","Latam","Latam")</f>
        <v>Latam</v>
      </c>
      <c r="AA20" s="1"/>
      <c r="AB20" s="23">
        <f>+[1]RADIO!T22</f>
        <v>-5.0433008186862098</v>
      </c>
      <c r="AC20" s="24">
        <f>+[1]RADIO!U22</f>
        <v>16.931259415898701</v>
      </c>
      <c r="AD20" s="25" t="str">
        <f t="shared" si="7"/>
        <v>---</v>
      </c>
      <c r="AE20" s="1"/>
      <c r="AF20" s="23">
        <f>+[1]RADIO!X22</f>
        <v>-0.98532006465968003</v>
      </c>
      <c r="AG20" s="24">
        <f>+[1]RADIO!Y22</f>
        <v>10.223321476604522</v>
      </c>
      <c r="AH20" s="25" t="str">
        <f t="shared" si="4"/>
        <v>---</v>
      </c>
      <c r="AI20" s="1"/>
      <c r="AK20" s="35" t="str">
        <f>+IF($B$3="esp","Otros","Others")</f>
        <v>Others</v>
      </c>
      <c r="AM20" s="29">
        <f>+[1]NOTICIAS!T20</f>
        <v>1.7275434159300413</v>
      </c>
      <c r="AN20" s="30">
        <f>+[1]NOTICIAS!U20</f>
        <v>2.3085514836000041</v>
      </c>
      <c r="AO20" s="31">
        <f t="shared" si="5"/>
        <v>-25.167646110448722</v>
      </c>
      <c r="AQ20" s="29">
        <f>+[1]NOTICIAS!X20</f>
        <v>0.6197309875800876</v>
      </c>
      <c r="AR20" s="30">
        <f>+[1]NOTICIAS!Y20</f>
        <v>0.45777416684999395</v>
      </c>
      <c r="AS20" s="31">
        <f t="shared" si="6"/>
        <v>35.379196219074679</v>
      </c>
    </row>
    <row r="21" spans="4:45" s="14" customFormat="1" ht="15" customHeight="1">
      <c r="D21" s="22" t="str">
        <f>+IF($B$3="esp","España","Spain")</f>
        <v>Spain</v>
      </c>
      <c r="E21" s="1"/>
      <c r="F21" s="23">
        <f>+[1]GRUPO!T21</f>
        <v>21.259799725474849</v>
      </c>
      <c r="G21" s="24">
        <f>+[1]GRUPO!U21</f>
        <v>25.890876529999701</v>
      </c>
      <c r="H21" s="25">
        <f t="shared" si="0"/>
        <v>-17.886906220261928</v>
      </c>
      <c r="I21" s="1"/>
      <c r="J21" s="23">
        <f>+[1]GRUPO!X21</f>
        <v>37.475948814000922</v>
      </c>
      <c r="K21" s="24">
        <f>+[1]GRUPO!Y21</f>
        <v>53.458891499999929</v>
      </c>
      <c r="L21" s="25">
        <f t="shared" si="1"/>
        <v>-29.897632063693329</v>
      </c>
      <c r="O21" s="22" t="str">
        <f>+IF($B$3="esp","Tecnología Educativa global y Centro Corpor.","Global Educational IT &amp; HQ")</f>
        <v>Global Educational IT &amp; HQ</v>
      </c>
      <c r="P21" s="1"/>
      <c r="Q21" s="23">
        <f>+[1]SANTILLANA!T21</f>
        <v>16.876614440000001</v>
      </c>
      <c r="R21" s="24">
        <f>+[1]SANTILLANA!U21</f>
        <v>17.719166740000006</v>
      </c>
      <c r="S21" s="25">
        <f t="shared" si="2"/>
        <v>-4.7550334186877485</v>
      </c>
      <c r="T21" s="1"/>
      <c r="U21" s="23">
        <f>+[1]SANTILLANA!X21</f>
        <v>5.6033047800000038</v>
      </c>
      <c r="V21" s="24">
        <f>+[1]SANTILLANA!Y21</f>
        <v>5.7164553900000055</v>
      </c>
      <c r="W21" s="25">
        <f t="shared" si="3"/>
        <v>-1.979384116211945</v>
      </c>
      <c r="Z21" s="22" t="str">
        <f>+IF($B$3="esp","Ajustes y Otros","Adjustments &amp; others")</f>
        <v>Adjustments &amp; others</v>
      </c>
      <c r="AA21" s="1"/>
      <c r="AB21" s="23">
        <f>+AB18-AB19-AB20</f>
        <v>0.33961243000003005</v>
      </c>
      <c r="AC21" s="24">
        <f>+AC18-AC19-AC20</f>
        <v>-0.13334313000009601</v>
      </c>
      <c r="AD21" s="25" t="str">
        <f t="shared" si="7"/>
        <v>---</v>
      </c>
      <c r="AE21" s="1"/>
      <c r="AF21" s="23">
        <f>+AF18-AF19-AF20</f>
        <v>-1.2620299999104301E-3</v>
      </c>
      <c r="AG21" s="24">
        <f>+AG18-AG19-AG20</f>
        <v>-2.19530000000141E-2</v>
      </c>
      <c r="AH21" s="25">
        <f t="shared" si="4"/>
        <v>94.251218512687927</v>
      </c>
      <c r="AI21" s="28"/>
      <c r="AK21" s="27" t="str">
        <f>+IF($B$3="esp","Circulación","Circulation")</f>
        <v>Circulation</v>
      </c>
      <c r="AL21" s="28"/>
      <c r="AM21" s="29">
        <f>+[1]NOTICIAS!T21</f>
        <v>36.225229868322593</v>
      </c>
      <c r="AN21" s="30">
        <f>+[1]NOTICIAS!U21</f>
        <v>46.458601294430004</v>
      </c>
      <c r="AO21" s="31">
        <f t="shared" si="5"/>
        <v>-22.026860777089961</v>
      </c>
      <c r="AP21" s="28"/>
      <c r="AQ21" s="29">
        <f>+[1]NOTICIAS!X21</f>
        <v>13.198846837672789</v>
      </c>
      <c r="AR21" s="30">
        <f>+[1]NOTICIAS!Y21</f>
        <v>15.744350465085706</v>
      </c>
      <c r="AS21" s="31">
        <f t="shared" si="6"/>
        <v>-16.167727167009932</v>
      </c>
    </row>
    <row r="22" spans="4:45" ht="15" customHeight="1" thickBot="1">
      <c r="D22" s="22" t="str">
        <f>+IF($B$3="esp","Internacional","International")</f>
        <v>International</v>
      </c>
      <c r="F22" s="23">
        <f>+[1]GRUPO!T22</f>
        <v>60.867206350470255</v>
      </c>
      <c r="G22" s="24">
        <f>+[1]GRUPO!U22</f>
        <v>88.323765669162285</v>
      </c>
      <c r="H22" s="25">
        <f t="shared" si="0"/>
        <v>-31.086264394044427</v>
      </c>
      <c r="J22" s="23">
        <f>+[1]GRUPO!X22</f>
        <v>12.546171565629784</v>
      </c>
      <c r="K22" s="24">
        <f>+[1]GRUPO!Y22</f>
        <v>26.103157590603253</v>
      </c>
      <c r="L22" s="25">
        <f t="shared" si="1"/>
        <v>-51.936191925890917</v>
      </c>
      <c r="O22" s="14" t="str">
        <f>+IF($B$3="esp","EBITDA","EBITDA")</f>
        <v>EBITDA</v>
      </c>
      <c r="P22" s="14"/>
      <c r="Q22" s="15">
        <f>+[1]SANTILLANA!T22</f>
        <v>110.092546489529</v>
      </c>
      <c r="R22" s="16">
        <f>+[1]SANTILLANA!U22</f>
        <v>129.21480552604999</v>
      </c>
      <c r="S22" s="17">
        <f t="shared" si="2"/>
        <v>-14.79881423701551</v>
      </c>
      <c r="T22" s="14"/>
      <c r="U22" s="15">
        <f>+[1]SANTILLANA!X22</f>
        <v>55.547327172106996</v>
      </c>
      <c r="V22" s="16">
        <f>+[1]SANTILLANA!Y22</f>
        <v>67.362332028400687</v>
      </c>
      <c r="W22" s="17">
        <f t="shared" si="3"/>
        <v>-17.539483121386528</v>
      </c>
      <c r="Z22" s="27" t="str">
        <f>+IF($B$3="esp","Margen EBITDA","EBITDA Margin")</f>
        <v>EBITDA Margin</v>
      </c>
      <c r="AA22" s="28"/>
      <c r="AB22" s="36">
        <f>+AB18/AB10</f>
        <v>-5.0655376687022503E-2</v>
      </c>
      <c r="AC22" s="37">
        <f>+AC18/AC10</f>
        <v>0.21297465471263777</v>
      </c>
      <c r="AD22" s="38"/>
      <c r="AE22" s="28"/>
      <c r="AF22" s="36">
        <f>+AF18/AF10</f>
        <v>-2.4860033545942514E-2</v>
      </c>
      <c r="AG22" s="37">
        <f>+AG18/AG10</f>
        <v>0.221054639259537</v>
      </c>
      <c r="AH22" s="38"/>
      <c r="AI22" s="14"/>
      <c r="AK22" s="27" t="str">
        <f>+IF($B$3="esp","Promociones y Otros","Add-ons and Others")</f>
        <v>Add-ons and Others</v>
      </c>
      <c r="AL22" s="28"/>
      <c r="AM22" s="29">
        <f>+[1]NOTICIAS!T22</f>
        <v>12.143948614099607</v>
      </c>
      <c r="AN22" s="30">
        <f>+[1]NOTICIAS!U22</f>
        <v>17.744072008093674</v>
      </c>
      <c r="AO22" s="31">
        <f t="shared" si="5"/>
        <v>-31.56053126610206</v>
      </c>
      <c r="AP22" s="28"/>
      <c r="AQ22" s="29">
        <f>+[1]NOTICIAS!X22</f>
        <v>3.8203668904517158</v>
      </c>
      <c r="AR22" s="30">
        <f>+[1]NOTICIAS!Y22</f>
        <v>5.6778883265273699</v>
      </c>
      <c r="AS22" s="31">
        <f t="shared" si="6"/>
        <v>-32.715004756208813</v>
      </c>
    </row>
    <row r="23" spans="4:45" ht="15" customHeight="1" thickTop="1" thickBot="1">
      <c r="D23" s="32" t="str">
        <f>+IF($B$3="esp","Latam","Latam")</f>
        <v>Latam</v>
      </c>
      <c r="F23" s="23">
        <f>+[1]GRUPO!T23</f>
        <v>58.280225640470242</v>
      </c>
      <c r="G23" s="24">
        <f>+[1]GRUPO!U23</f>
        <v>85.934226669162285</v>
      </c>
      <c r="H23" s="25">
        <f t="shared" si="0"/>
        <v>-32.180426938799407</v>
      </c>
      <c r="J23" s="23">
        <f>+[1]GRUPO!X23</f>
        <v>10.115282265629766</v>
      </c>
      <c r="K23" s="24">
        <f>+[1]GRUPO!Y23</f>
        <v>23.480922590603249</v>
      </c>
      <c r="L23" s="25">
        <f t="shared" si="1"/>
        <v>-56.921274168001531</v>
      </c>
      <c r="O23" s="22" t="str">
        <f>+IF($B$3="esp","Negocio España","Spain business")</f>
        <v>Spain business</v>
      </c>
      <c r="Q23" s="23">
        <f>+[1]SANTILLANA!T23</f>
        <v>57.639866965474248</v>
      </c>
      <c r="R23" s="24">
        <f>+[1]SANTILLANA!U23</f>
        <v>70.044433989999987</v>
      </c>
      <c r="S23" s="25">
        <f t="shared" si="2"/>
        <v>-17.709568509464578</v>
      </c>
      <c r="U23" s="23">
        <f>+[1]SANTILLANA!X23</f>
        <v>46.313259963999982</v>
      </c>
      <c r="V23" s="24">
        <f>+[1]SANTILLANA!Y23</f>
        <v>56.257783059999987</v>
      </c>
      <c r="W23" s="25">
        <f t="shared" si="3"/>
        <v>-17.676706324161376</v>
      </c>
      <c r="Z23" s="14" t="str">
        <f>+IF($B$3="esp","EBIT","EBIT")</f>
        <v>EBIT</v>
      </c>
      <c r="AA23" s="14"/>
      <c r="AB23" s="15">
        <f>+[1]RADIO!T26</f>
        <v>-39.210839711195305</v>
      </c>
      <c r="AC23" s="16">
        <f>+[1]RADIO!U26</f>
        <v>28.3653771076156</v>
      </c>
      <c r="AD23" s="34" t="str">
        <f>IF(AC23=0,"---",IF(OR(ABS((AB23-AC23)/ABS(AC23))&gt;2,(AB23*AC23)&lt;0),"---",IF(AC23="0","---",((AB23-AC23)/ABS(AC23))*100)))</f>
        <v>---</v>
      </c>
      <c r="AE23" s="14"/>
      <c r="AF23" s="15">
        <f>+[1]RADIO!X26</f>
        <v>-5.4019267435485077</v>
      </c>
      <c r="AG23" s="16">
        <f>+[1]RADIO!Y26</f>
        <v>9.3572877868645996</v>
      </c>
      <c r="AH23" s="34" t="str">
        <f>IF(AG23=0,"---",IF(OR(ABS((AF23-AG23)/ABS(AG23))&gt;2,(AF23*AG23)&lt;0),"---",IF(AG23="0","---",((AF23-AG23)/ABS(AG23))*100)))</f>
        <v>---</v>
      </c>
      <c r="AI23" s="14"/>
      <c r="AK23" s="26" t="str">
        <f>+IF($B$3="esp","PBS y Prisa Tecnología","PBS &amp; IT")</f>
        <v>PBS &amp; IT</v>
      </c>
      <c r="AL23" s="14"/>
      <c r="AM23" s="15">
        <f>+[1]NOTICIAS!T23</f>
        <v>13.166389705827001</v>
      </c>
      <c r="AN23" s="16">
        <f>+[1]NOTICIAS!U23</f>
        <v>16.548036370376991</v>
      </c>
      <c r="AO23" s="17">
        <f t="shared" si="5"/>
        <v>-20.435334977892307</v>
      </c>
      <c r="AP23" s="14"/>
      <c r="AQ23" s="15">
        <f>+[1]NOTICIAS!X23</f>
        <v>4.0860553659124861</v>
      </c>
      <c r="AR23" s="16">
        <f>+[1]NOTICIAS!Y23</f>
        <v>6.2260402729859976</v>
      </c>
      <c r="AS23" s="17">
        <f t="shared" si="6"/>
        <v>-34.37152368510425</v>
      </c>
    </row>
    <row r="24" spans="4:45" ht="15" customHeight="1" thickTop="1">
      <c r="D24" s="32" t="str">
        <f>+IF($B$3="esp","Portugal","Portugal")</f>
        <v>Portugal</v>
      </c>
      <c r="F24" s="23">
        <f>+[1]GRUPO!T24</f>
        <v>2.58698071000001</v>
      </c>
      <c r="G24" s="24">
        <f>+[1]GRUPO!U24</f>
        <v>2.3895390000000001</v>
      </c>
      <c r="H24" s="25">
        <f t="shared" si="0"/>
        <v>8.2627531921433324</v>
      </c>
      <c r="J24" s="23">
        <f>+[1]GRUPO!X24</f>
        <v>2.4308893000000178</v>
      </c>
      <c r="K24" s="24">
        <f>+[1]GRUPO!Y24</f>
        <v>2.6222349999999999</v>
      </c>
      <c r="L24" s="25">
        <f t="shared" si="1"/>
        <v>-7.297046222019846</v>
      </c>
      <c r="O24" s="22" t="str">
        <f>+IF($B$3="esp","Negocio Internacional","International business")</f>
        <v>International business</v>
      </c>
      <c r="Q24" s="23">
        <f>+[1]SANTILLANA!T24</f>
        <v>67.892054164054755</v>
      </c>
      <c r="R24" s="24">
        <f>+[1]SANTILLANA!U24</f>
        <v>75.326453296050005</v>
      </c>
      <c r="S24" s="25">
        <f t="shared" si="2"/>
        <v>-9.8695727817907191</v>
      </c>
      <c r="U24" s="23">
        <f>+[1]SANTILLANA!X24</f>
        <v>14.15686450810702</v>
      </c>
      <c r="V24" s="24">
        <f>+[1]SANTILLANA!Y24</f>
        <v>16.496175348400705</v>
      </c>
      <c r="W24" s="25">
        <f t="shared" si="3"/>
        <v>-14.180928553966174</v>
      </c>
      <c r="Z24" s="22" t="str">
        <f>+IF($B$3="esp","España","Spain")</f>
        <v>Spain</v>
      </c>
      <c r="AB24" s="23">
        <f>+[1]RADIO!T27</f>
        <v>-10.282283130000017</v>
      </c>
      <c r="AC24" s="24">
        <f>+[1]RADIO!U27</f>
        <v>16.5681210300001</v>
      </c>
      <c r="AD24" s="25" t="str">
        <f>IF(AC24=0,"---",IF(OR(ABS((AB24-AC24)/ABS(AC24))&gt;2,(AB24*AC24)&lt;0),"---",IF(AC24="0","---",((AB24-AC24)/ABS(AC24))*100)))</f>
        <v>---</v>
      </c>
      <c r="AF24" s="23">
        <f>+[1]RADIO!X27</f>
        <v>-2.9252422399999976</v>
      </c>
      <c r="AG24" s="24">
        <f>+[1]RADIO!Y27</f>
        <v>0.67812074000000244</v>
      </c>
      <c r="AH24" s="25" t="str">
        <f>IF(AG24=0,"---",IF(OR(ABS((AF24-AG24)/ABS(AG24))&gt;2,(AF24*AG24)&lt;0),"---",IF(AG24="0","---",((AF24-AG24)/ABS(AG24))*100)))</f>
        <v>---</v>
      </c>
      <c r="AK24" s="39" t="str">
        <f>+IF($B$3="esp","Gastos de Explotación Contables Noticias Gestión","Total Press Reported Expenses")</f>
        <v>Total Press Reported Expenses</v>
      </c>
      <c r="AL24" s="40"/>
      <c r="AM24" s="41">
        <f>+[1]NOTICIAS!T24</f>
        <v>130.43854489013719</v>
      </c>
      <c r="AN24" s="42">
        <f>+[1]NOTICIAS!U24</f>
        <v>151.80990934331612</v>
      </c>
      <c r="AO24" s="43">
        <f t="shared" si="5"/>
        <v>-14.077713731353244</v>
      </c>
      <c r="AP24" s="40"/>
      <c r="AQ24" s="41">
        <f>+[1]NOTICIAS!X24</f>
        <v>41.219590576628491</v>
      </c>
      <c r="AR24" s="42">
        <f>+[1]NOTICIAS!Y24</f>
        <v>48.923369099920549</v>
      </c>
      <c r="AS24" s="43">
        <f t="shared" si="6"/>
        <v>-15.74662306587665</v>
      </c>
    </row>
    <row r="25" spans="4:45" ht="15" customHeight="1">
      <c r="D25" s="27" t="str">
        <f>+IF($B$3="esp","Margen EBITDA ","EBITDA Margin")</f>
        <v>EBITDA Margin</v>
      </c>
      <c r="E25" s="28"/>
      <c r="F25" s="36">
        <f>+F20/F10</f>
        <v>0.1333274157407448</v>
      </c>
      <c r="G25" s="37">
        <f>+G20/G10</f>
        <v>0.1433262209780794</v>
      </c>
      <c r="H25" s="38"/>
      <c r="I25" s="28"/>
      <c r="J25" s="36">
        <f>+J20/J10</f>
        <v>0.22412868152175841</v>
      </c>
      <c r="K25" s="37">
        <f>+K20/K10</f>
        <v>0.25564705276503896</v>
      </c>
      <c r="L25" s="38"/>
      <c r="O25" s="32" t="str">
        <f>+IF($B$3="esp","Latam","Latam")</f>
        <v>Latam</v>
      </c>
      <c r="Q25" s="23">
        <f>+[1]SANTILLANA!T25</f>
        <v>65.209825164054749</v>
      </c>
      <c r="R25" s="24">
        <f>+[1]SANTILLANA!U25</f>
        <v>72.936914296050006</v>
      </c>
      <c r="S25" s="25">
        <f>IF(R25=0,"---",IF(OR(ABS((Q25-R25)/ABS(R25))&gt;2,(Q25*R25)&lt;0),"---",IF(R25="0","---",((Q25-R25)/ABS(R25))*100)))</f>
        <v>-10.594208990842553</v>
      </c>
      <c r="U25" s="23">
        <f>+[1]SANTILLANA!X25</f>
        <v>11.67831350810701</v>
      </c>
      <c r="V25" s="24">
        <f>+[1]SANTILLANA!Y25</f>
        <v>13.873940348400708</v>
      </c>
      <c r="W25" s="25">
        <f t="shared" si="3"/>
        <v>-15.825546205024551</v>
      </c>
      <c r="Z25" s="22" t="str">
        <f>+IF($B$3="esp","Latam","Latam")</f>
        <v>Latam</v>
      </c>
      <c r="AB25" s="23">
        <f>+[1]RADIO!T28</f>
        <v>-25.710169011195202</v>
      </c>
      <c r="AC25" s="24">
        <f>+[1]RADIO!U28</f>
        <v>11.9305992076153</v>
      </c>
      <c r="AD25" s="25" t="str">
        <f>IF(AC25=0,"---",IF(OR(ABS((AB25-AC25)/ABS(AC25))&gt;2,(AB25*AC25)&lt;0),"---",IF(AC25="0","---",((AB25-AC25)/ABS(AC25))*100)))</f>
        <v>---</v>
      </c>
      <c r="AF25" s="23">
        <f>+[1]RADIO!X28</f>
        <v>-2.4754224735486012</v>
      </c>
      <c r="AG25" s="24">
        <f>+[1]RADIO!Y28</f>
        <v>8.7011200468644709</v>
      </c>
      <c r="AH25" s="25" t="str">
        <f>IF(AG25=0,"---",IF(OR(ABS((AF25-AG25)/ABS(AG25))&gt;2,(AF25*AG25)&lt;0),"---",IF(AG25="0","---",((AF25-AG25)/ABS(AG25))*100)))</f>
        <v>---</v>
      </c>
      <c r="AK25" s="26" t="str">
        <f>+IF($B$3="esp","Gastos de Explotación Contables PRENSA","PRESS Reported Expenses")</f>
        <v>PRESS Reported Expenses</v>
      </c>
      <c r="AL25" s="14"/>
      <c r="AM25" s="15">
        <f>+[1]NOTICIAS!T25</f>
        <v>117.19936176709331</v>
      </c>
      <c r="AN25" s="16">
        <f>+[1]NOTICIAS!U25</f>
        <v>134.54792900631804</v>
      </c>
      <c r="AO25" s="17">
        <f t="shared" si="5"/>
        <v>-12.893968244141526</v>
      </c>
      <c r="AP25" s="14"/>
      <c r="AQ25" s="15">
        <f>+[1]NOTICIAS!X25</f>
        <v>37.410944403279316</v>
      </c>
      <c r="AR25" s="16">
        <f>+[1]NOTICIAS!Y25</f>
        <v>43.011470783531038</v>
      </c>
      <c r="AS25" s="17">
        <f t="shared" si="6"/>
        <v>-13.021006439045435</v>
      </c>
    </row>
    <row r="26" spans="4:45" s="28" customFormat="1" ht="15" customHeight="1" thickBot="1">
      <c r="D26" s="14" t="str">
        <f>+IF($B$3="esp","EBIT Contable","Reported EBIT")</f>
        <v>Reported EBIT</v>
      </c>
      <c r="E26" s="14"/>
      <c r="F26" s="15">
        <f>+[1]GRUPO!T26</f>
        <v>-9.2385504609870772E-2</v>
      </c>
      <c r="G26" s="16">
        <f>+[1]GRUPO!U26</f>
        <v>49.595165304386299</v>
      </c>
      <c r="H26" s="17" t="str">
        <f>IF(G26=0,"---",IF(OR(ABS((F26-G26)/ABS(G26))&gt;2,(F26*G26)&lt;0),"---",IF(G26="0","---",((F26-G26)/ABS(G26))*100)))</f>
        <v>---</v>
      </c>
      <c r="I26" s="14"/>
      <c r="J26" s="15">
        <f>+[1]GRUPO!X26</f>
        <v>27.728445531258867</v>
      </c>
      <c r="K26" s="16">
        <f>+[1]GRUPO!Y26</f>
        <v>56.932713847507294</v>
      </c>
      <c r="L26" s="17">
        <f>IF(K26=0,"---",IF(OR(ABS((J26-K26)/ABS(K26))&gt;2,(J26*K26)&lt;0),"---",IF(K26="0","---",((J26-K26)/ABS(K26))*100)))</f>
        <v>-51.296111396465761</v>
      </c>
      <c r="O26" s="32" t="str">
        <f>+IF($B$3="esp","Portugal","Portugal")</f>
        <v>Portugal</v>
      </c>
      <c r="P26" s="1"/>
      <c r="Q26" s="23">
        <f>+[1]SANTILLANA!T26</f>
        <v>2.682229</v>
      </c>
      <c r="R26" s="24">
        <f>+[1]SANTILLANA!U26</f>
        <v>2.3895390000000001</v>
      </c>
      <c r="S26" s="25">
        <f t="shared" si="2"/>
        <v>12.248806150475044</v>
      </c>
      <c r="T26" s="1"/>
      <c r="U26" s="23">
        <f>+[1]SANTILLANA!X26</f>
        <v>2.4785509999999999</v>
      </c>
      <c r="V26" s="24">
        <f>+[1]SANTILLANA!Y26</f>
        <v>2.6222349999999999</v>
      </c>
      <c r="W26" s="25">
        <f t="shared" si="3"/>
        <v>-5.4794478755717897</v>
      </c>
      <c r="Z26" s="22" t="str">
        <f>+IF($B$3="esp","Ajustes y Otros","Adjustments &amp; others")</f>
        <v>Adjustments &amp; others</v>
      </c>
      <c r="AB26" s="23">
        <f>+AB23-AB24-AB25</f>
        <v>-3.2183875700000861</v>
      </c>
      <c r="AC26" s="24">
        <f>+AC23-AC24-AC25</f>
        <v>-0.13334312999979936</v>
      </c>
      <c r="AD26" s="25" t="str">
        <f>IF(AC26=0,"---",IF(OR(ABS((AB26-AC26)/ABS(AC26))&gt;2,(AB26*AC26)&lt;0),"---",IF(AC26="0","---",((AB26-AC26)/ABS(AC26))*100)))</f>
        <v>---</v>
      </c>
      <c r="AF26" s="23">
        <f>+AF23-AF24-AF25</f>
        <v>-1.2620299999088758E-3</v>
      </c>
      <c r="AG26" s="24">
        <f>+AG23-AG24-AG25</f>
        <v>-2.1952999999873768E-2</v>
      </c>
      <c r="AH26" s="25">
        <f>IF(AG26=0,"---",IF(OR(ABS((AF26-AG26)/ABS(AG26))&gt;2,(AF26*AG26)&lt;0),"---",IF(AG26="0","---",((AF26-AG26)/ABS(AG26))*100)))</f>
        <v>94.251218512658269</v>
      </c>
      <c r="AI26" s="1"/>
      <c r="AK26" s="44" t="str">
        <f>+IF($B$3="esp","Gastos de Explotación Contables PBS y Tecnología","PBS &amp; IT Reported Expenses")</f>
        <v>PBS &amp; IT Reported Expenses</v>
      </c>
      <c r="AL26" s="14"/>
      <c r="AM26" s="15">
        <f>+[1]NOTICIAS!T26</f>
        <v>13.239183123043887</v>
      </c>
      <c r="AN26" s="16">
        <f>+[1]NOTICIAS!U26</f>
        <v>17.261980336998079</v>
      </c>
      <c r="AO26" s="17">
        <f t="shared" si="5"/>
        <v>-23.304378381963627</v>
      </c>
      <c r="AP26" s="14"/>
      <c r="AQ26" s="15">
        <f>+[1]NOTICIAS!X26</f>
        <v>3.8086461733491745</v>
      </c>
      <c r="AR26" s="16">
        <f>+[1]NOTICIAS!Y26</f>
        <v>5.9118983163895109</v>
      </c>
      <c r="AS26" s="17">
        <f t="shared" si="6"/>
        <v>-35.576595375625899</v>
      </c>
    </row>
    <row r="27" spans="4:45" ht="13.5" thickTop="1">
      <c r="D27" s="22" t="str">
        <f>+IF($B$3="esp","España","Spain")</f>
        <v>Spain</v>
      </c>
      <c r="F27" s="23">
        <f>+[1]GRUPO!T27</f>
        <v>-9.8018181352865312</v>
      </c>
      <c r="G27" s="24">
        <f>+[1]GRUPO!U27</f>
        <v>-3.6595852202175152</v>
      </c>
      <c r="H27" s="25">
        <f>IF(G27=0,"---",IF(OR(ABS((F27-G27)/ABS(G27))&gt;2,(F27*G27)&lt;0),"---",IF(G27="0","---",((F27-G27)/ABS(G27))*100)))</f>
        <v>-167.83959234330769</v>
      </c>
      <c r="J27" s="23">
        <f>+[1]GRUPO!X27</f>
        <v>23.167043037471792</v>
      </c>
      <c r="K27" s="24">
        <f>+[1]GRUPO!Y27</f>
        <v>39.267929330793919</v>
      </c>
      <c r="L27" s="25">
        <f>IF(K27=0,"---",IF(OR(ABS((J27-K27)/ABS(K27))&gt;2,(J27*K27)&lt;0),"---",IF(K27="0","---",((J27-K27)/ABS(K27))*100)))</f>
        <v>-41.002636420392577</v>
      </c>
      <c r="O27" s="22" t="str">
        <f>+IF($B$3="esp","Tecnología Educativa global y Centro Corpor.","Global Educational IT &amp; HQ")</f>
        <v>Global Educational IT &amp; HQ</v>
      </c>
      <c r="Q27" s="23">
        <f>+[1]SANTILLANA!T27</f>
        <v>-15.439374640000002</v>
      </c>
      <c r="R27" s="24">
        <f>+[1]SANTILLANA!U27</f>
        <v>-16.156081760000003</v>
      </c>
      <c r="S27" s="25">
        <f t="shared" si="2"/>
        <v>4.4361444231760343</v>
      </c>
      <c r="U27" s="23">
        <f>+[1]SANTILLANA!X27</f>
        <v>-4.9227973000000063</v>
      </c>
      <c r="V27" s="24">
        <f>+[1]SANTILLANA!Y27</f>
        <v>-5.3916263800000035</v>
      </c>
      <c r="W27" s="25">
        <f t="shared" si="3"/>
        <v>8.6955038601913834</v>
      </c>
      <c r="Z27" s="45" t="str">
        <f>+IF($B$3="esp","Margen EBIT","EBIT Margin")</f>
        <v>EBIT Margin</v>
      </c>
      <c r="AB27" s="46">
        <f>+AB23/AB10</f>
        <v>-0.32019103601634985</v>
      </c>
      <c r="AC27" s="47">
        <f>+AC23/AC10</f>
        <v>0.14444673528570931</v>
      </c>
      <c r="AD27" s="48"/>
      <c r="AF27" s="46">
        <f>+AF23/AF10</f>
        <v>-0.13158822950607332</v>
      </c>
      <c r="AG27" s="47">
        <f>+AG23/AG10</f>
        <v>0.15123510975045293</v>
      </c>
      <c r="AH27" s="48"/>
      <c r="AK27" s="18" t="str">
        <f>+IF($B$3="esp","EBITDA Contable Noticias Gestión","Total Press Reported EBITDA")</f>
        <v>Total Press Reported EBITDA</v>
      </c>
      <c r="AL27" s="40"/>
      <c r="AM27" s="41">
        <f>+[1]NOTICIAS!T27</f>
        <v>-16.9812513748982</v>
      </c>
      <c r="AN27" s="42">
        <f>+[1]NOTICIAS!U27</f>
        <v>1.1243398419538499</v>
      </c>
      <c r="AO27" s="43" t="str">
        <f t="shared" si="5"/>
        <v>---</v>
      </c>
      <c r="AP27" s="40"/>
      <c r="AQ27" s="41">
        <f>+[1]NOTICIAS!X27</f>
        <v>-3.3421918078174997</v>
      </c>
      <c r="AR27" s="42">
        <f>+[1]NOTICIAS!Y27</f>
        <v>-0.52044125079057002</v>
      </c>
      <c r="AS27" s="43" t="str">
        <f t="shared" si="6"/>
        <v>---</v>
      </c>
    </row>
    <row r="28" spans="4:45">
      <c r="D28" s="22" t="str">
        <f>+IF($B$3="esp","Internacional","International")</f>
        <v>International</v>
      </c>
      <c r="F28" s="23">
        <f>+[1]GRUPO!T28</f>
        <v>9.7094326306766607</v>
      </c>
      <c r="G28" s="24">
        <f>+[1]GRUPO!U28</f>
        <v>53.254750524603814</v>
      </c>
      <c r="H28" s="25">
        <f>IF(G28=0,"---",IF(OR(ABS((F28-G28)/ABS(G28))&gt;2,(F28*G28)&lt;0),"---",IF(G28="0","---",((F28-G28)/ABS(G28))*100)))</f>
        <v>-81.767950210956514</v>
      </c>
      <c r="J28" s="23">
        <f>+[1]GRUPO!X28</f>
        <v>4.5614024937870781</v>
      </c>
      <c r="K28" s="24">
        <f>+[1]GRUPO!Y28</f>
        <v>17.664784516713375</v>
      </c>
      <c r="L28" s="25">
        <f>IF(K28=0,"---",IF(OR(ABS((J28-K28)/ABS(K28))&gt;2,(J28*K28)&lt;0),"---",IF(K28="0","---",((J28-K28)/ABS(K28))*100)))</f>
        <v>-74.177989607111556</v>
      </c>
      <c r="O28" s="27" t="str">
        <f>+IF($B$3="esp","Margen EBITDA","EBITDA Margin")</f>
        <v>EBITDA Margin</v>
      </c>
      <c r="P28" s="28"/>
      <c r="Q28" s="36">
        <f>+Q22/Q10</f>
        <v>0.28060273559258425</v>
      </c>
      <c r="R28" s="37">
        <f>+R22/R10</f>
        <v>0.2802097307643272</v>
      </c>
      <c r="S28" s="38"/>
      <c r="T28" s="28"/>
      <c r="U28" s="36">
        <f>+U22/U10</f>
        <v>0.37583216932523827</v>
      </c>
      <c r="V28" s="37">
        <f>+V22/V10</f>
        <v>0.32834608343472954</v>
      </c>
      <c r="W28" s="38"/>
      <c r="AI28" s="28"/>
      <c r="AK28" s="26" t="str">
        <f>+IF($B$3="esp","EBITDA Contable PRENSA","PRESS Reported EBITDA")</f>
        <v>PRESS Reported EBITDA</v>
      </c>
      <c r="AL28" s="14"/>
      <c r="AM28" s="15">
        <f>+[1]NOTICIAS!T28</f>
        <v>-16.9084579576813</v>
      </c>
      <c r="AN28" s="16">
        <f>+[1]NOTICIAS!U28</f>
        <v>1.83828380857494</v>
      </c>
      <c r="AO28" s="17" t="str">
        <f t="shared" si="5"/>
        <v>---</v>
      </c>
      <c r="AP28" s="14"/>
      <c r="AQ28" s="15">
        <f>+[1]NOTICIAS!X28</f>
        <v>-3.6196010003807988</v>
      </c>
      <c r="AR28" s="16">
        <f>+[1]NOTICIAS!Y28</f>
        <v>-0.83458320738706027</v>
      </c>
      <c r="AS28" s="17" t="str">
        <f t="shared" si="6"/>
        <v>---</v>
      </c>
    </row>
    <row r="29" spans="4:45" ht="15.75" customHeight="1">
      <c r="D29" s="32" t="str">
        <f>+IF($B$3="esp","Latam","Latam")</f>
        <v>Latam</v>
      </c>
      <c r="F29" s="23">
        <f>+[1]GRUPO!T29</f>
        <v>7.2519819206766511</v>
      </c>
      <c r="G29" s="24">
        <f>+[1]GRUPO!U29</f>
        <v>50.919221524603813</v>
      </c>
      <c r="H29" s="25">
        <f>IF(G29=0,"---",IF(OR(ABS((F29-G29)/ABS(G29))&gt;2,(F29*G29)&lt;0),"---",IF(G29="0","---",((F29-G29)/ABS(G29))*100)))</f>
        <v>-85.757869614773</v>
      </c>
      <c r="J29" s="23">
        <f>+[1]GRUPO!X29</f>
        <v>2.251756193787056</v>
      </c>
      <c r="K29" s="24">
        <f>+[1]GRUPO!Y29</f>
        <v>15.280095516713367</v>
      </c>
      <c r="L29" s="25">
        <f>IF(K29=0,"---",IF(OR(ABS((J29-K29)/ABS(K29))&gt;2,(J29*K29)&lt;0),"---",IF(K29="0","---",((J29-K29)/ABS(K29))*100)))</f>
        <v>-85.263467814555966</v>
      </c>
      <c r="O29" s="14" t="str">
        <f>+IF($B$3="esp","EBIT","EBIT")</f>
        <v>EBIT</v>
      </c>
      <c r="P29" s="14"/>
      <c r="Q29" s="15">
        <f>+[1]SANTILLANA!T29</f>
        <v>71.049194857341803</v>
      </c>
      <c r="R29" s="16">
        <f>+[1]SANTILLANA!U29</f>
        <v>86.389801575300794</v>
      </c>
      <c r="S29" s="17">
        <f t="shared" ref="S29:S34" si="10">IF(R29=0,"---",IF(OR(ABS((Q29-R29)/ABS(R29))&gt;2,(Q29*R29)&lt;0),"---",IF(R29="0","---",((Q29-R29)/ABS(R29))*100)))</f>
        <v>-17.757427888739283</v>
      </c>
      <c r="T29" s="14"/>
      <c r="U29" s="15">
        <f>+[1]SANTILLANA!X29</f>
        <v>40.609524293430908</v>
      </c>
      <c r="V29" s="16">
        <f>+[1]SANTILLANA!Y29</f>
        <v>51.859808965320795</v>
      </c>
      <c r="W29" s="17">
        <f t="shared" ref="W29:W34" si="11">IF(V29=0,"---",IF(OR(ABS((U29-V29)/ABS(V29))&gt;2,(U29*V29)&lt;0),"---",IF(V29="0","---",((U29-V29)/ABS(V29))*100)))</f>
        <v>-21.69364850420693</v>
      </c>
      <c r="AI29" s="14"/>
      <c r="AK29" s="27" t="str">
        <f>+IF($B$3="esp","Margen EBITDA ","EBITDA Margin")</f>
        <v>EBITDA Margin</v>
      </c>
      <c r="AL29" s="28"/>
      <c r="AM29" s="36">
        <f>+AM28/AM11</f>
        <v>-0.16859413282198871</v>
      </c>
      <c r="AN29" s="37">
        <f>+AN28/AN11</f>
        <v>1.3478516417710843E-2</v>
      </c>
      <c r="AO29" s="38"/>
      <c r="AP29" s="28"/>
      <c r="AQ29" s="36">
        <f>+AQ28/AQ11</f>
        <v>-0.10711622077950064</v>
      </c>
      <c r="AR29" s="37">
        <f>+AR28/AR11</f>
        <v>-1.9787690731810085E-2</v>
      </c>
      <c r="AS29" s="38"/>
    </row>
    <row r="30" spans="4:45" s="14" customFormat="1" ht="15" customHeight="1" thickBot="1">
      <c r="D30" s="32" t="str">
        <f>+IF($B$3="esp","Portugal","Portugal")</f>
        <v>Portugal</v>
      </c>
      <c r="E30" s="1"/>
      <c r="F30" s="23">
        <f>+[1]GRUPO!T30</f>
        <v>2.45745071000001</v>
      </c>
      <c r="G30" s="24">
        <f>+[1]GRUPO!U30</f>
        <v>2.3355290000000002</v>
      </c>
      <c r="H30" s="25">
        <f>IF(G30=0,"---",IF(OR(ABS((F30-G30)/ABS(G30))&gt;2,(F30*G30)&lt;0),"---",IF(G30="0","---",((F30-G30)/ABS(G30))*100)))</f>
        <v>5.2203038369469965</v>
      </c>
      <c r="I30" s="1"/>
      <c r="J30" s="23">
        <f>+[1]GRUPO!X30</f>
        <v>2.3096463000000229</v>
      </c>
      <c r="K30" s="24">
        <f>+[1]GRUPO!Y30</f>
        <v>2.3846890000000003</v>
      </c>
      <c r="L30" s="25">
        <f>IF(K30=0,"---",IF(OR(ABS((J30-K30)/ABS(K30))&gt;2,(J30*K30)&lt;0),"---",IF(K30="0","---",((J30-K30)/ABS(K30))*100)))</f>
        <v>-3.146854789030241</v>
      </c>
      <c r="O30" s="22" t="str">
        <f>+IF($B$3="esp","Negocio España","Spain business")</f>
        <v>Spain business</v>
      </c>
      <c r="P30" s="1"/>
      <c r="Q30" s="23">
        <f>+[1]SANTILLANA!T30</f>
        <v>49.031532230544371</v>
      </c>
      <c r="R30" s="24">
        <f>+[1]SANTILLANA!U30</f>
        <v>61.062417812210342</v>
      </c>
      <c r="S30" s="25">
        <f t="shared" si="10"/>
        <v>-19.702602701821306</v>
      </c>
      <c r="T30" s="1"/>
      <c r="U30" s="23">
        <f>+[1]SANTILLANA!X30</f>
        <v>39.746947944971524</v>
      </c>
      <c r="V30" s="24">
        <f>+[1]SANTILLANA!Y30</f>
        <v>49.528837853221269</v>
      </c>
      <c r="W30" s="25">
        <f t="shared" si="11"/>
        <v>-19.749887807257622</v>
      </c>
      <c r="AI30" s="1"/>
      <c r="AK30" s="44" t="str">
        <f>+IF($B$3="esp","PBS y Prisa Tecnología","PBS &amp; IT")</f>
        <v>PBS &amp; IT</v>
      </c>
      <c r="AM30" s="15">
        <f>+[1]NOTICIAS!T30</f>
        <v>-7.2793417216900025E-2</v>
      </c>
      <c r="AN30" s="16">
        <f>+[1]NOTICIAS!U30</f>
        <v>-0.71394396662109005</v>
      </c>
      <c r="AO30" s="17">
        <f>IF(AN30=0,"---",IF(OR(ABS((AM30-AN30)/ABS(AN30))&gt;2,(AM30*AN30)&lt;0),"---",IF(AN30="0","---",((AM30-AN30)/ABS(AN30))*100)))</f>
        <v>89.804043367519142</v>
      </c>
      <c r="AQ30" s="15">
        <f>+[1]NOTICIAS!X30</f>
        <v>0.2774091925632991</v>
      </c>
      <c r="AR30" s="16">
        <f>+[1]NOTICIAS!Y30</f>
        <v>0.31414195659649025</v>
      </c>
      <c r="AS30" s="17">
        <f>IF(AR30=0,"---",IF(OR(ABS((AQ30-AR30)/ABS(AR30))&gt;2,(AQ30*AR30)&lt;0),"---",IF(AR30="0","---",((AQ30-AR30)/ABS(AR30))*100)))</f>
        <v>-11.693046172872007</v>
      </c>
    </row>
    <row r="31" spans="4:45" ht="15" customHeight="1" thickTop="1">
      <c r="D31" s="27" t="str">
        <f>+IF($B$3="esp","Margen EBIT ","EBIT Margin")</f>
        <v>EBIT Margin</v>
      </c>
      <c r="E31" s="28"/>
      <c r="F31" s="36">
        <f>+F26/F10</f>
        <v>-1.4998136630170575E-4</v>
      </c>
      <c r="G31" s="37">
        <f>+G26/G10</f>
        <v>6.2236220199033312E-2</v>
      </c>
      <c r="H31" s="38"/>
      <c r="I31" s="28"/>
      <c r="J31" s="36">
        <f>+J26/J10</f>
        <v>0.12423983410546549</v>
      </c>
      <c r="K31" s="37">
        <f>+K26/K10</f>
        <v>0.18293496293007827</v>
      </c>
      <c r="L31" s="38"/>
      <c r="O31" s="22" t="str">
        <f>+IF($B$3="esp","Negocio Internacional","International business")</f>
        <v>International business</v>
      </c>
      <c r="Q31" s="23">
        <f>+[1]SANTILLANA!T31</f>
        <v>40.852516482628573</v>
      </c>
      <c r="R31" s="24">
        <f>+[1]SANTILLANA!U31</f>
        <v>45.449534995518334</v>
      </c>
      <c r="S31" s="25">
        <f t="shared" si="10"/>
        <v>-10.114555656824788</v>
      </c>
      <c r="U31" s="23">
        <f>+[1]SANTILLANA!X31</f>
        <v>7.7153705559591543</v>
      </c>
      <c r="V31" s="24">
        <f>+[1]SANTILLANA!Y31</f>
        <v>9.6367580545274123</v>
      </c>
      <c r="W31" s="25">
        <f t="shared" si="11"/>
        <v>-19.938110801335078</v>
      </c>
      <c r="AK31" s="18" t="str">
        <f>+IF($B$3="esp","EBIT Contable Noticias Gestión","Total Press Reported EBIT")</f>
        <v>Total Press Reported EBIT</v>
      </c>
      <c r="AL31" s="40"/>
      <c r="AM31" s="41">
        <f>+[1]NOTICIAS!T31</f>
        <v>-26.040505220756636</v>
      </c>
      <c r="AN31" s="42">
        <f>+[1]NOTICIAS!U31</f>
        <v>-6.1888904937896898</v>
      </c>
      <c r="AO31" s="43" t="str">
        <f>IF(AN31=0,"---",IF(OR(ABS((AM31-AN31)/ABS(AN31))&gt;2,(AM31*AN31)&lt;0),"---",IF(AN31="0","---",((AM31-AN31)/ABS(AN31))*100)))</f>
        <v>---</v>
      </c>
      <c r="AP31" s="40"/>
      <c r="AQ31" s="41">
        <f>+[1]NOTICIAS!X31</f>
        <v>-5.8558798286234968</v>
      </c>
      <c r="AR31" s="42">
        <f>+[1]NOTICIAS!Y31</f>
        <v>-2.9710720010672595</v>
      </c>
      <c r="AS31" s="43">
        <f>IF(AR31=0,"---",IF(OR(ABS((AQ31-AR31)/ABS(AR31))&gt;2,(AQ31*AR31)&lt;0),"---",IF(AR31="0","---",((AQ31-AR31)/ABS(AR31))*100)))</f>
        <v>-97.096530360757498</v>
      </c>
    </row>
    <row r="32" spans="4:45" ht="15" customHeight="1">
      <c r="D32" s="14" t="str">
        <f>+IF($B$3="esp","Resultado Financiero","Financial Result")</f>
        <v>Financial Result</v>
      </c>
      <c r="E32" s="14"/>
      <c r="F32" s="15">
        <f>+[1]GRUPO!T32</f>
        <v>-59.652897644117104</v>
      </c>
      <c r="G32" s="16">
        <f>+[1]GRUPO!U32</f>
        <v>-61.435525641319302</v>
      </c>
      <c r="H32" s="17">
        <f t="shared" ref="H32:H45" si="12">IF(G32=0,"---",IF(OR(ABS((F32-G32)/ABS(G32))&gt;2,(F32*G32)&lt;0),"---",IF(G32="0","---",((F32-G32)/ABS(G32))*100)))</f>
        <v>2.9016240661954509</v>
      </c>
      <c r="I32" s="14"/>
      <c r="J32" s="15">
        <f>+[1]GRUPO!X32</f>
        <v>-21.906743752638903</v>
      </c>
      <c r="K32" s="16">
        <f>+[1]GRUPO!Y32</f>
        <v>-21.976677437270396</v>
      </c>
      <c r="L32" s="17">
        <f t="shared" ref="L32:L40" si="13">IF(K32=0,"---",IF(OR(ABS((J32-K32)/ABS(K32))&gt;2,(J32*K32)&lt;0),"---",IF(K32="0","---",((J32-K32)/ABS(K32))*100)))</f>
        <v>0.31821773255356839</v>
      </c>
      <c r="O32" s="32" t="str">
        <f>+IF($B$3="esp","Latam","Latam")</f>
        <v>Latam</v>
      </c>
      <c r="Q32" s="23">
        <f>+[1]SANTILLANA!T32</f>
        <v>38.299817482628576</v>
      </c>
      <c r="R32" s="24">
        <f>+[1]SANTILLANA!U32</f>
        <v>43.114005995518333</v>
      </c>
      <c r="S32" s="25">
        <f t="shared" si="10"/>
        <v>-11.166182315301871</v>
      </c>
      <c r="U32" s="23">
        <f>+[1]SANTILLANA!X32</f>
        <v>5.3580625559591581</v>
      </c>
      <c r="V32" s="24">
        <f>+[1]SANTILLANA!Y32</f>
        <v>7.2520690545274107</v>
      </c>
      <c r="W32" s="25">
        <f t="shared" si="11"/>
        <v>-26.116774183029033</v>
      </c>
      <c r="AK32" s="26" t="str">
        <f>+IF($B$3="esp","EBIT Contable PRENSA","PRESS Reported EBIT")</f>
        <v>PRESS Reported EBIT</v>
      </c>
      <c r="AL32" s="14"/>
      <c r="AM32" s="15">
        <f>+[1]NOTICIAS!T32</f>
        <v>-24.541660193273298</v>
      </c>
      <c r="AN32" s="16">
        <f>+[1]NOTICIAS!U32</f>
        <v>-4.0513872028003499</v>
      </c>
      <c r="AO32" s="17" t="str">
        <f>IF(AN32=0,"---",IF(OR(ABS((AM32-AN32)/ABS(AN32))&gt;2,(AM32*AN32)&lt;0),"---",IF(AN32="0","---",((AM32-AN32)/ABS(AN32))*100)))</f>
        <v>---</v>
      </c>
      <c r="AP32" s="14"/>
      <c r="AQ32" s="15">
        <f>+[1]NOTICIAS!X32</f>
        <v>-5.6600628041315986</v>
      </c>
      <c r="AR32" s="16">
        <f>+[1]NOTICIAS!Y32</f>
        <v>-2.7929252921749002</v>
      </c>
      <c r="AS32" s="17">
        <f>IF(AR32=0,"---",IF(OR(ABS((AQ32-AR32)/ABS(AR32))&gt;2,(AQ32*AR32)&lt;0),"---",IF(AR32="0","---",((AQ32-AR32)/ABS(AR32))*100)))</f>
        <v>-102.65715019265724</v>
      </c>
    </row>
    <row r="33" spans="4:46" ht="15" customHeight="1">
      <c r="D33" s="22" t="str">
        <f>+IF($B$3="esp","Gastos por intereses de financiación","Interests on debt")</f>
        <v>Interests on debt</v>
      </c>
      <c r="F33" s="23">
        <f>+[1]GRUPO!T33</f>
        <v>-52.888720347001204</v>
      </c>
      <c r="G33" s="24">
        <f>+[1]GRUPO!U33</f>
        <v>-44.158677069347199</v>
      </c>
      <c r="H33" s="25">
        <f t="shared" si="12"/>
        <v>-19.769711995547926</v>
      </c>
      <c r="J33" s="23">
        <f>+[1]GRUPO!X33</f>
        <v>-19.0051506044056</v>
      </c>
      <c r="K33" s="24">
        <f>+[1]GRUPO!Y33</f>
        <v>-15.651786847649802</v>
      </c>
      <c r="L33" s="25">
        <f t="shared" si="13"/>
        <v>-21.424798263588176</v>
      </c>
      <c r="O33" s="32" t="str">
        <f>+IF($B$3="esp","Portugal","Portugal")</f>
        <v>Portugal</v>
      </c>
      <c r="Q33" s="23">
        <f>+[1]SANTILLANA!T33</f>
        <v>2.5526990000000001</v>
      </c>
      <c r="R33" s="24">
        <f>+[1]SANTILLANA!U33</f>
        <v>2.3355290000000002</v>
      </c>
      <c r="S33" s="25">
        <f t="shared" si="10"/>
        <v>9.2985357921053371</v>
      </c>
      <c r="U33" s="23">
        <f>+[1]SANTILLANA!X33</f>
        <v>2.3573080000000002</v>
      </c>
      <c r="V33" s="24">
        <f>+[1]SANTILLANA!Y33</f>
        <v>2.3846890000000003</v>
      </c>
      <c r="W33" s="25">
        <f t="shared" si="11"/>
        <v>-1.1482000378246429</v>
      </c>
      <c r="Z33" s="49"/>
      <c r="AA33" s="50"/>
      <c r="AB33" s="51"/>
      <c r="AC33" s="51"/>
      <c r="AD33" s="51"/>
      <c r="AE33" s="50"/>
      <c r="AF33" s="51"/>
      <c r="AG33" s="51"/>
      <c r="AH33" s="51"/>
      <c r="AI33" s="14"/>
      <c r="AK33" s="27" t="str">
        <f>+IF($B$3="esp","Margen EBIT ","EBIT Margin")</f>
        <v>EBIT Margin</v>
      </c>
      <c r="AL33" s="28"/>
      <c r="AM33" s="36">
        <f>+AM32/AM11</f>
        <v>-0.24470474650334278</v>
      </c>
      <c r="AN33" s="37">
        <f>+AN32/AN11</f>
        <v>-2.9705254799464231E-2</v>
      </c>
      <c r="AO33" s="38"/>
      <c r="AP33" s="28"/>
      <c r="AQ33" s="36">
        <f>+AQ32/AQ11</f>
        <v>-0.16750037832606851</v>
      </c>
      <c r="AR33" s="37">
        <f>+AR32/AR11</f>
        <v>-6.6219331313452104E-2</v>
      </c>
      <c r="AS33" s="38"/>
    </row>
    <row r="34" spans="4:46" ht="15" customHeight="1">
      <c r="D34" s="22" t="str">
        <f>+IF($B$3="esp","Otros resultados financieros","Other financial results")</f>
        <v>Other financial results</v>
      </c>
      <c r="F34" s="23">
        <f>+[1]GRUPO!T34</f>
        <v>-6.7641772971159</v>
      </c>
      <c r="G34" s="24">
        <f>+[1]GRUPO!U34</f>
        <v>-17.276848571972103</v>
      </c>
      <c r="H34" s="25">
        <f t="shared" si="12"/>
        <v>60.848315195114381</v>
      </c>
      <c r="J34" s="23">
        <f>+[1]GRUPO!X34</f>
        <v>-2.9015931482333031</v>
      </c>
      <c r="K34" s="24">
        <f>+[1]GRUPO!Y34</f>
        <v>-6.324890589620594</v>
      </c>
      <c r="L34" s="25">
        <f t="shared" si="13"/>
        <v>54.124215950945661</v>
      </c>
      <c r="O34" s="22" t="str">
        <f>+IF($B$3="esp","Tecnología Educativa global y Centro Corpor.","Global Educational IT &amp; HQ")</f>
        <v>Global Educational IT &amp; HQ</v>
      </c>
      <c r="Q34" s="23">
        <f>+[1]SANTILLANA!T34</f>
        <v>-18.834853855831142</v>
      </c>
      <c r="R34" s="24">
        <f>+[1]SANTILLANA!U34</f>
        <v>-20.122151232427886</v>
      </c>
      <c r="S34" s="25">
        <f t="shared" si="10"/>
        <v>6.3974142810446502</v>
      </c>
      <c r="U34" s="23">
        <f>+[1]SANTILLANA!X34</f>
        <v>-6.8527942074997661</v>
      </c>
      <c r="V34" s="24">
        <f>+[1]SANTILLANA!Y34</f>
        <v>-7.3057869424278845</v>
      </c>
      <c r="W34" s="25">
        <f t="shared" si="11"/>
        <v>6.2004646247947974</v>
      </c>
      <c r="Z34" s="52"/>
      <c r="AA34" s="50"/>
      <c r="AB34" s="50"/>
      <c r="AC34" s="50"/>
      <c r="AD34" s="50"/>
      <c r="AE34" s="50"/>
      <c r="AF34" s="50"/>
      <c r="AG34" s="50"/>
      <c r="AH34" s="50"/>
      <c r="AK34" s="26" t="str">
        <f>+IF($B$3="esp","PBS y Prisa Tecnología","PBS &amp; IT")</f>
        <v>PBS &amp; IT</v>
      </c>
      <c r="AL34" s="14"/>
      <c r="AM34" s="15">
        <f>+[1]NOTICIAS!T34</f>
        <v>-1.4988450274833376</v>
      </c>
      <c r="AN34" s="16">
        <f>+[1]NOTICIAS!U34</f>
        <v>-2.1375032909893399</v>
      </c>
      <c r="AO34" s="17">
        <f>IF(AN34=0,"---",IF(OR(ABS((AM34-AN34)/ABS(AN34))&gt;2,(AM34*AN34)&lt;0),"---",IF(AN34="0","---",((AM34-AN34)/ABS(AN34))*100)))</f>
        <v>29.878703167301339</v>
      </c>
      <c r="AP34" s="14"/>
      <c r="AQ34" s="15">
        <f>+[1]NOTICIAS!X34</f>
        <v>-0.1958170244918982</v>
      </c>
      <c r="AR34" s="16">
        <f>+[1]NOTICIAS!Y34</f>
        <v>-0.1781467088923594</v>
      </c>
      <c r="AS34" s="17">
        <f>IF(AR34=0,"---",IF(OR(ABS((AQ34-AR34)/ABS(AR34))&gt;2,(AQ34*AR34)&lt;0),"---",IF(AR34="0","---",((AQ34-AR34)/ABS(AR34))*100)))</f>
        <v>-9.9189683095496513</v>
      </c>
    </row>
    <row r="35" spans="4:46" s="14" customFormat="1" ht="15" customHeight="1">
      <c r="D35" s="14" t="str">
        <f>+IF($B$3="esp","Resultado puesta en equivalencia","Result from associates")</f>
        <v>Result from associates</v>
      </c>
      <c r="F35" s="15">
        <f>+[1]GRUPO!T35</f>
        <v>-6.8207779943065194</v>
      </c>
      <c r="G35" s="16">
        <f>+[1]GRUPO!U35</f>
        <v>1.13788140134777</v>
      </c>
      <c r="H35" s="17" t="str">
        <f t="shared" si="12"/>
        <v>---</v>
      </c>
      <c r="J35" s="15">
        <f>+[1]GRUPO!X35</f>
        <v>0.1204097669016404</v>
      </c>
      <c r="K35" s="16">
        <f>+[1]GRUPO!Y35</f>
        <v>0.54172976482838409</v>
      </c>
      <c r="L35" s="17">
        <f t="shared" si="13"/>
        <v>-77.773093760172969</v>
      </c>
      <c r="O35" s="53" t="str">
        <f>+IF($B$3="esp","Margen EBIT","EBIT Margin")</f>
        <v>EBIT Margin</v>
      </c>
      <c r="P35" s="28"/>
      <c r="Q35" s="54">
        <f>+Q29/Q10</f>
        <v>0.18108944769041987</v>
      </c>
      <c r="R35" s="55">
        <f>+R29/R10</f>
        <v>0.18734124887351589</v>
      </c>
      <c r="S35" s="56"/>
      <c r="T35" s="28"/>
      <c r="U35" s="54">
        <f>+U29/U10</f>
        <v>0.274763276425118</v>
      </c>
      <c r="V35" s="55">
        <f>+V29/V10</f>
        <v>0.25278170527494781</v>
      </c>
      <c r="W35" s="56"/>
      <c r="Z35" s="57"/>
      <c r="AA35" s="57"/>
      <c r="AB35" s="58"/>
      <c r="AC35" s="58"/>
      <c r="AD35" s="59"/>
      <c r="AE35" s="57"/>
      <c r="AF35" s="58"/>
      <c r="AG35" s="58"/>
      <c r="AH35" s="59"/>
      <c r="AI35" s="1"/>
    </row>
    <row r="36" spans="4:46" ht="15" customHeight="1">
      <c r="D36" s="14" t="str">
        <f>+IF($B$3="esp","Resultado antes de impuestos","Profit before tax")</f>
        <v>Profit before tax</v>
      </c>
      <c r="E36" s="14"/>
      <c r="F36" s="15">
        <f>+[1]GRUPO!T36</f>
        <v>-66.566061143033494</v>
      </c>
      <c r="G36" s="16">
        <f>+[1]GRUPO!U36</f>
        <v>-10.702478935585233</v>
      </c>
      <c r="H36" s="17" t="str">
        <f t="shared" si="12"/>
        <v>---</v>
      </c>
      <c r="I36" s="14"/>
      <c r="J36" s="15">
        <f>+[1]GRUPO!X36</f>
        <v>5.9421115455215983</v>
      </c>
      <c r="K36" s="16">
        <f>+[1]GRUPO!Y36</f>
        <v>35.49776617506528</v>
      </c>
      <c r="L36" s="17">
        <f t="shared" si="13"/>
        <v>-83.260604297699388</v>
      </c>
      <c r="Z36" s="60"/>
      <c r="AA36" s="50"/>
      <c r="AB36" s="61"/>
      <c r="AC36" s="61"/>
      <c r="AD36" s="62"/>
      <c r="AE36" s="50"/>
      <c r="AF36" s="61"/>
      <c r="AG36" s="61"/>
      <c r="AH36" s="62"/>
    </row>
    <row r="37" spans="4:46" ht="15" customHeight="1">
      <c r="D37" s="22" t="str">
        <f>+IF($B$3="esp","Impuesto sobre sociedades","Income tax expense")</f>
        <v>Income tax expense</v>
      </c>
      <c r="F37" s="23">
        <f>+[1]GRUPO!T37</f>
        <v>80.442630347367341</v>
      </c>
      <c r="G37" s="24">
        <f>+[1]GRUPO!U37</f>
        <v>29.56358476505785</v>
      </c>
      <c r="H37" s="25">
        <f t="shared" si="12"/>
        <v>172.10039305668056</v>
      </c>
      <c r="J37" s="23">
        <f>+[1]GRUPO!X37</f>
        <v>4.4646105278321784</v>
      </c>
      <c r="K37" s="24">
        <f>+[1]GRUPO!Y37</f>
        <v>16.446725799241889</v>
      </c>
      <c r="L37" s="25">
        <f t="shared" si="13"/>
        <v>-72.854107362585367</v>
      </c>
      <c r="Z37" s="60"/>
      <c r="AA37" s="50"/>
      <c r="AB37" s="61"/>
      <c r="AC37" s="61"/>
      <c r="AD37" s="62"/>
      <c r="AE37" s="50"/>
      <c r="AF37" s="61"/>
      <c r="AG37" s="61"/>
      <c r="AH37" s="62"/>
    </row>
    <row r="38" spans="4:46" ht="15" customHeight="1">
      <c r="D38" s="14" t="str">
        <f>+IF($B$3="esp","Resultado operaciones en discontinuación","Results from discontinued activities")</f>
        <v>Results from discontinued activities</v>
      </c>
      <c r="E38" s="14"/>
      <c r="F38" s="15">
        <f>+[1]GRUPO!T38</f>
        <v>-76.518274609643996</v>
      </c>
      <c r="G38" s="16">
        <f>+[1]GRUPO!U38</f>
        <v>-69.859885081028111</v>
      </c>
      <c r="H38" s="17">
        <f t="shared" si="12"/>
        <v>-9.5310628136491271</v>
      </c>
      <c r="I38" s="14"/>
      <c r="J38" s="15">
        <f>+[1]GRUPO!X38</f>
        <v>-1.3749079395604866</v>
      </c>
      <c r="K38" s="16">
        <f>+[1]GRUPO!Y38</f>
        <v>-76.871206105722337</v>
      </c>
      <c r="L38" s="17">
        <f t="shared" si="13"/>
        <v>98.211413597869722</v>
      </c>
      <c r="Z38" s="60"/>
      <c r="AA38" s="50"/>
      <c r="AB38" s="61"/>
      <c r="AC38" s="61"/>
      <c r="AD38" s="62"/>
      <c r="AE38" s="50"/>
      <c r="AF38" s="61"/>
      <c r="AG38" s="61"/>
      <c r="AH38" s="62"/>
      <c r="AI38" s="14"/>
    </row>
    <row r="39" spans="4:46" ht="15" customHeight="1">
      <c r="D39" s="14" t="str">
        <f>+IF($B$3="esp","Resultado atribuido a socios externos","Minority interest")</f>
        <v>Minority interest</v>
      </c>
      <c r="E39" s="14"/>
      <c r="F39" s="15">
        <f>+[1]GRUPO!T39</f>
        <v>-14.2276571647604</v>
      </c>
      <c r="G39" s="16">
        <f>+[1]GRUPO!U39</f>
        <v>0.31189006975065148</v>
      </c>
      <c r="H39" s="17" t="str">
        <f t="shared" si="12"/>
        <v>---</v>
      </c>
      <c r="I39" s="14"/>
      <c r="J39" s="15">
        <f>+[1]GRUPO!X39</f>
        <v>-2.6488924393388</v>
      </c>
      <c r="K39" s="16">
        <f>+[1]GRUPO!Y39</f>
        <v>1.0696159104756386</v>
      </c>
      <c r="L39" s="17" t="str">
        <f t="shared" si="13"/>
        <v>---</v>
      </c>
      <c r="Z39" s="60"/>
      <c r="AA39" s="50"/>
      <c r="AB39" s="61"/>
      <c r="AC39" s="61"/>
      <c r="AD39" s="62"/>
      <c r="AE39" s="50"/>
      <c r="AF39" s="61"/>
      <c r="AG39" s="61"/>
      <c r="AH39" s="62"/>
      <c r="AI39" s="14"/>
    </row>
    <row r="40" spans="4:46" s="28" customFormat="1" ht="15" customHeight="1">
      <c r="D40" s="14" t="str">
        <f>+IF($B$3="esp","Resultado Neto","Net Profit")</f>
        <v>Net Profit</v>
      </c>
      <c r="E40" s="14"/>
      <c r="F40" s="15">
        <f>+[1]GRUPO!T40</f>
        <v>-209.29930893528444</v>
      </c>
      <c r="G40" s="16">
        <f>+[1]GRUPO!U40</f>
        <v>-110.43783885142184</v>
      </c>
      <c r="H40" s="17">
        <f t="shared" si="12"/>
        <v>-89.517751444653342</v>
      </c>
      <c r="I40" s="14"/>
      <c r="J40" s="15">
        <f>+[1]GRUPO!X40</f>
        <v>2.751485517467728</v>
      </c>
      <c r="K40" s="16">
        <f>+[1]GRUPO!Y40</f>
        <v>-58.889781640374579</v>
      </c>
      <c r="L40" s="17" t="str">
        <f t="shared" si="13"/>
        <v>---</v>
      </c>
      <c r="Z40" s="57"/>
      <c r="AA40" s="57"/>
      <c r="AB40" s="58"/>
      <c r="AC40" s="58"/>
      <c r="AD40" s="59"/>
      <c r="AE40" s="57"/>
      <c r="AF40" s="58"/>
      <c r="AG40" s="58"/>
      <c r="AH40" s="59"/>
      <c r="AI40" s="1"/>
    </row>
    <row r="41" spans="4:46" s="14" customFormat="1" ht="15" customHeight="1">
      <c r="D41" s="22" t="str">
        <f>+IF($A$1="esp","Deterioro por venta MC","MC impairment")</f>
        <v>MC impairment</v>
      </c>
      <c r="E41" s="1"/>
      <c r="F41" s="23">
        <f>+[1]GRUPO!T41</f>
        <v>77.290000000000006</v>
      </c>
      <c r="G41" s="24">
        <f>+[1]GRUPO!U41</f>
        <v>76.379000000000005</v>
      </c>
      <c r="H41" s="25"/>
      <c r="I41" s="1"/>
      <c r="J41" s="23">
        <f>+[1]GRUPO!X41</f>
        <v>0</v>
      </c>
      <c r="K41" s="24">
        <f>+[1]GRUPO!Y41</f>
        <v>76.379000000000005</v>
      </c>
      <c r="L41" s="25"/>
      <c r="Z41" s="57"/>
      <c r="AA41" s="57"/>
      <c r="AB41" s="58"/>
      <c r="AC41" s="58"/>
      <c r="AD41" s="59"/>
      <c r="AE41" s="57"/>
      <c r="AF41" s="58"/>
      <c r="AG41" s="58"/>
      <c r="AH41" s="59"/>
      <c r="AI41" s="1"/>
    </row>
    <row r="42" spans="4:46" ht="15" customHeight="1">
      <c r="D42" s="22" t="str">
        <f>+IF($A$1="esp","Sentencia Mediapro","Mediapro ruling")</f>
        <v>Mediapro ruling</v>
      </c>
      <c r="F42" s="23"/>
      <c r="G42" s="24">
        <f>+[1]GRUPO!U42</f>
        <v>40.828660400000004</v>
      </c>
      <c r="H42" s="25"/>
      <c r="J42" s="23"/>
      <c r="K42" s="24">
        <f>+[1]GRUPO!Y42</f>
        <v>0</v>
      </c>
      <c r="L42" s="25"/>
      <c r="Z42" s="60"/>
      <c r="AA42" s="50"/>
      <c r="AB42" s="61"/>
      <c r="AC42" s="61"/>
      <c r="AD42" s="62"/>
      <c r="AE42" s="50"/>
      <c r="AF42" s="61"/>
      <c r="AG42" s="61"/>
      <c r="AH42" s="62"/>
    </row>
    <row r="43" spans="4:46" ht="15" customHeight="1">
      <c r="D43" s="22" t="str">
        <f>+IF($B$3="esp","Deterioros fiscales","Tax impairments")</f>
        <v>Tax impairments</v>
      </c>
      <c r="F43" s="23">
        <f>+[1]GRUPO!T43</f>
        <v>64.486310131588951</v>
      </c>
      <c r="G43" s="24"/>
      <c r="H43" s="25"/>
      <c r="J43" s="23">
        <f>+[1]GRUPO!X43</f>
        <v>0</v>
      </c>
      <c r="K43" s="24"/>
      <c r="L43" s="25"/>
      <c r="Z43" s="60"/>
      <c r="AA43" s="50"/>
      <c r="AB43" s="61"/>
      <c r="AC43" s="61"/>
      <c r="AD43" s="62"/>
      <c r="AE43" s="50"/>
      <c r="AF43" s="61"/>
      <c r="AG43" s="61"/>
      <c r="AH43" s="62"/>
    </row>
    <row r="44" spans="4:46" ht="15" customHeight="1">
      <c r="D44" s="22" t="str">
        <f>+IF($B$3="esp","Deterioros Activos Radio","Radio Assests impairments")</f>
        <v>Radio Assests impairments</v>
      </c>
      <c r="F44" s="23">
        <f>+[1]GRUPO!T44</f>
        <v>21.921520523455278</v>
      </c>
      <c r="G44" s="24"/>
      <c r="H44" s="25"/>
      <c r="J44" s="23">
        <f>+[1]GRUPO!X44</f>
        <v>0</v>
      </c>
      <c r="K44" s="24"/>
      <c r="L44" s="25"/>
      <c r="Z44" s="60"/>
      <c r="AA44" s="50"/>
      <c r="AB44" s="61"/>
      <c r="AC44" s="61"/>
      <c r="AD44" s="62"/>
      <c r="AE44" s="50"/>
      <c r="AF44" s="61"/>
      <c r="AG44" s="61"/>
      <c r="AH44" s="62"/>
      <c r="AI44" s="28"/>
    </row>
    <row r="45" spans="4:46" ht="15" customHeight="1">
      <c r="D45" s="14" t="str">
        <f>+IF($B$3="esp","Resultado Neto Comparable","Comparable Net Profit")</f>
        <v>Comparable Net Profit</v>
      </c>
      <c r="F45" s="15">
        <f>+[1]GRUPO!T45</f>
        <v>-45.601478280240194</v>
      </c>
      <c r="G45" s="16">
        <f>+[1]GRUPO!U45</f>
        <v>6.7698215485781645</v>
      </c>
      <c r="H45" s="17" t="str">
        <f t="shared" si="12"/>
        <v>---</v>
      </c>
      <c r="J45" s="15">
        <f>+[1]GRUPO!X45</f>
        <v>2.7514855174677564</v>
      </c>
      <c r="K45" s="16">
        <f>+[1]GRUPO!Y45</f>
        <v>17.489218359625426</v>
      </c>
      <c r="L45" s="17">
        <f>IF(K45=0,"---",IF(OR(ABS((J45-K45)/ABS(K45))&gt;2,(J45*K45)&lt;0),"---",IF(K45="0","---",((J45-K45)/ABS(K45))*100)))</f>
        <v>-84.267532940067397</v>
      </c>
      <c r="Z45" s="60"/>
      <c r="AA45" s="50"/>
      <c r="AB45" s="61"/>
      <c r="AC45" s="61"/>
      <c r="AD45" s="62"/>
      <c r="AE45" s="50"/>
      <c r="AF45" s="61"/>
      <c r="AG45" s="61"/>
      <c r="AH45" s="62"/>
      <c r="AI45" s="14"/>
    </row>
    <row r="46" spans="4:46" s="28" customFormat="1" ht="15" customHeight="1">
      <c r="D46" s="1"/>
      <c r="E46" s="1"/>
      <c r="F46" s="63"/>
      <c r="G46" s="63"/>
      <c r="H46" s="1"/>
      <c r="I46" s="1"/>
      <c r="J46" s="63"/>
      <c r="K46" s="63"/>
      <c r="L46" s="1"/>
      <c r="Z46" s="45"/>
      <c r="AA46" s="64"/>
      <c r="AB46" s="47"/>
      <c r="AC46" s="47"/>
      <c r="AD46" s="48"/>
      <c r="AE46" s="64"/>
      <c r="AF46" s="47"/>
      <c r="AG46" s="47"/>
      <c r="AH46" s="48"/>
      <c r="AI46" s="14"/>
    </row>
    <row r="47" spans="4:46">
      <c r="D47" s="9" t="str">
        <f>+IF($B$3="esp","Millones de €","€ Millions")</f>
        <v>€ Millions</v>
      </c>
      <c r="F47" s="10">
        <v>2020</v>
      </c>
      <c r="G47" s="10">
        <v>2019</v>
      </c>
      <c r="H47" s="10" t="str">
        <f>+IF($B$3="esp","Var.%","% Chg.")</f>
        <v>% Chg.</v>
      </c>
      <c r="J47" s="10">
        <v>2020</v>
      </c>
      <c r="K47" s="10">
        <v>2019</v>
      </c>
      <c r="L47" s="10" t="str">
        <f>+IF($B$3="esp","Var.%","% Chg.")</f>
        <v>% Chg.</v>
      </c>
      <c r="Z47" s="57"/>
      <c r="AA47" s="57"/>
      <c r="AB47" s="58"/>
      <c r="AC47" s="58"/>
      <c r="AD47" s="59"/>
      <c r="AE47" s="57"/>
      <c r="AF47" s="58"/>
      <c r="AG47" s="58"/>
      <c r="AH47" s="59"/>
    </row>
    <row r="48" spans="4:46">
      <c r="D48" s="11" t="str">
        <f>+IF($B$3="esp","Resultados Comparables","Comparable Results")</f>
        <v>Comparable Results</v>
      </c>
      <c r="F48" s="13"/>
      <c r="G48" s="13"/>
      <c r="H48" s="13"/>
      <c r="J48" s="13"/>
      <c r="K48" s="13"/>
      <c r="L48" s="13"/>
      <c r="X48" s="50"/>
      <c r="Y48" s="50"/>
      <c r="Z48" s="57"/>
      <c r="AA48" s="57"/>
      <c r="AB48" s="58"/>
      <c r="AC48" s="58"/>
      <c r="AD48" s="59"/>
      <c r="AE48" s="57"/>
      <c r="AF48" s="58"/>
      <c r="AG48" s="58"/>
      <c r="AH48" s="59"/>
      <c r="AI48" s="50"/>
      <c r="AJ48" s="50"/>
      <c r="AK48" s="50"/>
      <c r="AL48" s="50"/>
      <c r="AM48" s="50"/>
      <c r="AN48" s="50"/>
      <c r="AO48" s="50"/>
      <c r="AP48" s="50"/>
      <c r="AQ48" s="50"/>
      <c r="AR48" s="50"/>
      <c r="AS48" s="50"/>
      <c r="AT48" s="50"/>
    </row>
    <row r="49" spans="4:46" ht="15.75" customHeight="1">
      <c r="D49" s="14" t="str">
        <f>+IF($B$3="esp","Ingresos de Explotación","Operating Revenues")</f>
        <v>Operating Revenues</v>
      </c>
      <c r="E49" s="14"/>
      <c r="F49" s="15">
        <f>+[1]GRUPO!T49</f>
        <v>615.97988395455809</v>
      </c>
      <c r="G49" s="16">
        <f>+[1]GRUPO!U49</f>
        <v>796.88588326507397</v>
      </c>
      <c r="H49" s="17">
        <f t="shared" ref="H49:H58" si="14">IF(G49=0,"---",IF(OR(ABS((F49-G49)/ABS(G49))&gt;2,(F49*G49)&lt;0),"---",IF(G49="0","---",((F49-G49)/ABS(G49))*100)))</f>
        <v>-22.701619279449549</v>
      </c>
      <c r="I49" s="14"/>
      <c r="J49" s="15">
        <f>+[1]GRUPO!X49</f>
        <v>223.18482418223908</v>
      </c>
      <c r="K49" s="16">
        <f>+[1]GRUPO!Y49</f>
        <v>311.21833101564198</v>
      </c>
      <c r="L49" s="17">
        <f t="shared" ref="L49:L58" si="15">IF(K49=0,"---",IF(OR(ABS((J49-K49)/ABS(K49))&gt;2,(J49*K49)&lt;0),"---",IF(K49="0","---",((J49-K49)/ABS(K49))*100)))</f>
        <v>-28.286735728615643</v>
      </c>
      <c r="X49" s="50"/>
      <c r="Y49" s="50"/>
      <c r="Z49" s="60"/>
      <c r="AA49" s="50"/>
      <c r="AB49" s="61"/>
      <c r="AC49" s="61"/>
      <c r="AD49" s="62"/>
      <c r="AE49" s="50"/>
      <c r="AF49" s="61"/>
      <c r="AG49" s="61"/>
      <c r="AH49" s="62"/>
      <c r="AI49" s="50"/>
      <c r="AJ49" s="50"/>
      <c r="AK49" s="50"/>
      <c r="AL49" s="50"/>
      <c r="AM49" s="50"/>
      <c r="AN49" s="50"/>
      <c r="AO49" s="50"/>
      <c r="AP49" s="50"/>
      <c r="AQ49" s="50"/>
      <c r="AR49" s="50"/>
      <c r="AS49" s="50"/>
      <c r="AT49" s="50"/>
    </row>
    <row r="50" spans="4:46" s="14" customFormat="1" ht="15" customHeight="1">
      <c r="D50" s="22" t="str">
        <f>+IF($B$3="esp","España","Spain")</f>
        <v>Spain</v>
      </c>
      <c r="E50" s="1"/>
      <c r="F50" s="23">
        <f>+[1]GRUPO!T50</f>
        <v>312.06880735259108</v>
      </c>
      <c r="G50" s="24">
        <f>+[1]GRUPO!U50</f>
        <v>416.34925954256704</v>
      </c>
      <c r="H50" s="25">
        <f t="shared" si="14"/>
        <v>-25.046388290577575</v>
      </c>
      <c r="I50" s="1"/>
      <c r="J50" s="23">
        <f>+[1]GRUPO!X50</f>
        <v>146.33153550912925</v>
      </c>
      <c r="K50" s="24">
        <f>+[1]GRUPO!Y50</f>
        <v>182.37677450004651</v>
      </c>
      <c r="L50" s="25">
        <f t="shared" si="15"/>
        <v>-19.76416080925264</v>
      </c>
      <c r="X50" s="57"/>
      <c r="Y50" s="57"/>
      <c r="Z50" s="60"/>
      <c r="AA50" s="50"/>
      <c r="AB50" s="61"/>
      <c r="AC50" s="61"/>
      <c r="AD50" s="62"/>
      <c r="AE50" s="50"/>
      <c r="AF50" s="61"/>
      <c r="AG50" s="61"/>
      <c r="AH50" s="62"/>
      <c r="AI50" s="50"/>
      <c r="AJ50" s="57"/>
      <c r="AK50" s="57"/>
      <c r="AL50" s="57"/>
      <c r="AM50" s="57"/>
      <c r="AN50" s="57"/>
      <c r="AO50" s="57"/>
      <c r="AP50" s="57"/>
      <c r="AQ50" s="57"/>
      <c r="AR50" s="57"/>
      <c r="AS50" s="57"/>
      <c r="AT50" s="57"/>
    </row>
    <row r="51" spans="4:46" ht="15" customHeight="1">
      <c r="D51" s="22" t="str">
        <f>+IF($B$3="esp","Internacional","International")</f>
        <v>International</v>
      </c>
      <c r="F51" s="23">
        <f>+[1]GRUPO!T51</f>
        <v>303.91107660196701</v>
      </c>
      <c r="G51" s="24">
        <f>+[1]GRUPO!U51</f>
        <v>380.53662372250693</v>
      </c>
      <c r="H51" s="25">
        <f t="shared" si="14"/>
        <v>-20.13618199766665</v>
      </c>
      <c r="J51" s="23">
        <f>+[1]GRUPO!X51</f>
        <v>76.85328867310983</v>
      </c>
      <c r="K51" s="24">
        <f>+[1]GRUPO!Y51</f>
        <v>128.84155651559547</v>
      </c>
      <c r="L51" s="25">
        <f t="shared" si="15"/>
        <v>-40.35054313876811</v>
      </c>
      <c r="X51" s="50"/>
      <c r="Y51" s="50"/>
      <c r="Z51" s="60"/>
      <c r="AA51" s="50"/>
      <c r="AB51" s="61"/>
      <c r="AC51" s="61"/>
      <c r="AD51" s="62"/>
      <c r="AE51" s="50"/>
      <c r="AF51" s="61"/>
      <c r="AG51" s="61"/>
      <c r="AH51" s="62"/>
      <c r="AI51" s="64"/>
      <c r="AJ51" s="50"/>
      <c r="AK51" s="50"/>
      <c r="AL51" s="50"/>
      <c r="AM51" s="50"/>
      <c r="AN51" s="50"/>
      <c r="AO51" s="50"/>
      <c r="AP51" s="50"/>
      <c r="AQ51" s="50"/>
      <c r="AR51" s="50"/>
      <c r="AS51" s="50"/>
      <c r="AT51" s="50"/>
    </row>
    <row r="52" spans="4:46" ht="15" customHeight="1">
      <c r="D52" s="32" t="str">
        <f>+IF($B$3="esp","Latam","Latam")</f>
        <v>Latam</v>
      </c>
      <c r="F52" s="23">
        <f>+[1]GRUPO!T52</f>
        <v>299.53412260196694</v>
      </c>
      <c r="G52" s="24">
        <f>+[1]GRUPO!U52</f>
        <v>376.70342572250695</v>
      </c>
      <c r="H52" s="25">
        <f t="shared" si="14"/>
        <v>-20.485426425982556</v>
      </c>
      <c r="J52" s="23">
        <f>+[1]GRUPO!X52</f>
        <v>73.272410673109761</v>
      </c>
      <c r="K52" s="24">
        <f>+[1]GRUPO!Y52</f>
        <v>125.2279475155955</v>
      </c>
      <c r="L52" s="25">
        <f t="shared" si="15"/>
        <v>-41.488771375108072</v>
      </c>
      <c r="X52" s="50"/>
      <c r="Y52" s="50"/>
      <c r="Z52" s="60"/>
      <c r="AA52" s="50"/>
      <c r="AB52" s="61"/>
      <c r="AC52" s="61"/>
      <c r="AD52" s="62"/>
      <c r="AE52" s="50"/>
      <c r="AF52" s="61"/>
      <c r="AG52" s="61"/>
      <c r="AH52" s="62"/>
      <c r="AI52" s="57"/>
      <c r="AJ52" s="50"/>
      <c r="AK52" s="50"/>
      <c r="AL52" s="50"/>
      <c r="AM52" s="50"/>
      <c r="AN52" s="50"/>
      <c r="AO52" s="50"/>
      <c r="AP52" s="50"/>
      <c r="AQ52" s="50"/>
      <c r="AR52" s="50"/>
      <c r="AS52" s="50"/>
      <c r="AT52" s="50"/>
    </row>
    <row r="53" spans="4:46" ht="15" customHeight="1">
      <c r="D53" s="32" t="str">
        <f>+IF($B$3="esp","Portugal","Portugal")</f>
        <v>Portugal</v>
      </c>
      <c r="F53" s="23">
        <f>+[1]GRUPO!T53</f>
        <v>4.3769539999999996</v>
      </c>
      <c r="G53" s="24">
        <f>+[1]GRUPO!U53</f>
        <v>3.8331979999999999</v>
      </c>
      <c r="H53" s="25">
        <f t="shared" si="14"/>
        <v>14.185439938140417</v>
      </c>
      <c r="J53" s="23">
        <f>+[1]GRUPO!X53</f>
        <v>3.5808779999999993</v>
      </c>
      <c r="K53" s="24">
        <f>+[1]GRUPO!Y53</f>
        <v>3.6136089999999998</v>
      </c>
      <c r="L53" s="25">
        <f t="shared" si="15"/>
        <v>-0.905770380802143</v>
      </c>
      <c r="X53" s="50"/>
      <c r="Y53" s="50"/>
      <c r="Z53" s="45"/>
      <c r="AA53" s="64"/>
      <c r="AB53" s="47"/>
      <c r="AC53" s="47"/>
      <c r="AD53" s="48"/>
      <c r="AE53" s="64"/>
      <c r="AF53" s="47"/>
      <c r="AG53" s="47"/>
      <c r="AH53" s="48"/>
      <c r="AI53" s="50"/>
      <c r="AJ53" s="50"/>
      <c r="AK53" s="50"/>
      <c r="AL53" s="50"/>
      <c r="AM53" s="50"/>
      <c r="AN53" s="50"/>
      <c r="AO53" s="50"/>
      <c r="AP53" s="50"/>
      <c r="AQ53" s="50"/>
      <c r="AR53" s="50"/>
      <c r="AS53" s="50"/>
      <c r="AT53" s="50"/>
    </row>
    <row r="54" spans="4:46" ht="15" customHeight="1">
      <c r="D54" s="14" t="str">
        <f>+IF($B$3="esp","EBITDA","EBITDA")</f>
        <v>EBITDA</v>
      </c>
      <c r="E54" s="14"/>
      <c r="F54" s="15">
        <f>+[1]GRUPO!T54</f>
        <v>82.127006075945104</v>
      </c>
      <c r="G54" s="16">
        <f>+[1]GRUPO!U54</f>
        <v>165.25046769916199</v>
      </c>
      <c r="H54" s="17">
        <f t="shared" si="14"/>
        <v>-50.301498555842464</v>
      </c>
      <c r="I54" s="14"/>
      <c r="J54" s="15">
        <f>+[1]GRUPO!X54</f>
        <v>50.022120379630707</v>
      </c>
      <c r="K54" s="16">
        <f>+[1]GRUPO!Y54</f>
        <v>79.562049090603182</v>
      </c>
      <c r="L54" s="17">
        <f t="shared" si="15"/>
        <v>-37.128164807989265</v>
      </c>
      <c r="X54" s="50"/>
      <c r="Y54" s="50"/>
      <c r="Z54" s="57"/>
      <c r="AA54" s="57"/>
      <c r="AB54" s="58"/>
      <c r="AC54" s="58"/>
      <c r="AD54" s="59"/>
      <c r="AE54" s="57"/>
      <c r="AF54" s="58"/>
      <c r="AG54" s="58"/>
      <c r="AH54" s="59"/>
      <c r="AI54" s="50"/>
      <c r="AJ54" s="50"/>
      <c r="AK54" s="49"/>
      <c r="AL54" s="50"/>
      <c r="AM54" s="51"/>
      <c r="AN54" s="51"/>
      <c r="AO54" s="51"/>
      <c r="AP54" s="50"/>
      <c r="AQ54" s="51"/>
      <c r="AR54" s="51"/>
      <c r="AS54" s="51"/>
      <c r="AT54" s="50"/>
    </row>
    <row r="55" spans="4:46" s="14" customFormat="1" ht="15" customHeight="1">
      <c r="D55" s="22" t="str">
        <f>+IF($B$3="esp","España","Spain")</f>
        <v>Spain</v>
      </c>
      <c r="E55" s="1"/>
      <c r="F55" s="23">
        <f>+[1]GRUPO!T55</f>
        <v>21.259799725474849</v>
      </c>
      <c r="G55" s="24">
        <f>+[1]GRUPO!U55</f>
        <v>76.926702029999703</v>
      </c>
      <c r="H55" s="25">
        <f t="shared" si="14"/>
        <v>-72.363562762402054</v>
      </c>
      <c r="I55" s="1"/>
      <c r="J55" s="23">
        <f>+[1]GRUPO!X55</f>
        <v>37.475948814000922</v>
      </c>
      <c r="K55" s="24">
        <f>+[1]GRUPO!Y55</f>
        <v>53.458891499999929</v>
      </c>
      <c r="L55" s="25">
        <f t="shared" si="15"/>
        <v>-29.897632063693329</v>
      </c>
      <c r="X55" s="57"/>
      <c r="Y55" s="57"/>
      <c r="Z55" s="50"/>
      <c r="AA55" s="50"/>
      <c r="AB55" s="50"/>
      <c r="AC55" s="50"/>
      <c r="AD55" s="50"/>
      <c r="AE55" s="50"/>
      <c r="AF55" s="50"/>
      <c r="AG55" s="50"/>
      <c r="AH55" s="50"/>
      <c r="AI55" s="50"/>
      <c r="AJ55" s="57"/>
      <c r="AK55" s="52"/>
      <c r="AL55" s="50"/>
      <c r="AM55" s="50"/>
      <c r="AN55" s="50"/>
      <c r="AO55" s="50"/>
      <c r="AP55" s="50"/>
      <c r="AQ55" s="50"/>
      <c r="AR55" s="50"/>
      <c r="AS55" s="50"/>
      <c r="AT55" s="57"/>
    </row>
    <row r="56" spans="4:46" ht="15" customHeight="1">
      <c r="D56" s="22" t="str">
        <f>+IF($B$3="esp","Internacional","International")</f>
        <v>International</v>
      </c>
      <c r="F56" s="23">
        <f>+[1]GRUPO!T56</f>
        <v>60.867206350470255</v>
      </c>
      <c r="G56" s="24">
        <f>+[1]GRUPO!U56</f>
        <v>88.323765669162285</v>
      </c>
      <c r="H56" s="25">
        <f t="shared" si="14"/>
        <v>-31.086264394044427</v>
      </c>
      <c r="J56" s="23">
        <f>+[1]GRUPO!X56</f>
        <v>12.546171565629784</v>
      </c>
      <c r="K56" s="24">
        <f>+[1]GRUPO!Y56</f>
        <v>26.103157590603253</v>
      </c>
      <c r="L56" s="25">
        <f t="shared" si="15"/>
        <v>-51.936191925890917</v>
      </c>
      <c r="X56" s="50"/>
      <c r="Y56" s="50"/>
      <c r="Z56" s="50"/>
      <c r="AA56" s="50"/>
      <c r="AB56" s="50"/>
      <c r="AC56" s="50"/>
      <c r="AD56" s="50"/>
      <c r="AE56" s="50"/>
      <c r="AF56" s="50"/>
      <c r="AG56" s="50"/>
      <c r="AH56" s="50"/>
      <c r="AI56" s="57"/>
      <c r="AJ56" s="50"/>
      <c r="AK56" s="57"/>
      <c r="AL56" s="57"/>
      <c r="AM56" s="58"/>
      <c r="AN56" s="58"/>
      <c r="AO56" s="59"/>
      <c r="AP56" s="57"/>
      <c r="AQ56" s="58"/>
      <c r="AR56" s="58"/>
      <c r="AS56" s="59"/>
      <c r="AT56" s="50"/>
    </row>
    <row r="57" spans="4:46" ht="15" customHeight="1">
      <c r="D57" s="32" t="str">
        <f>+IF($B$3="esp","Latam","Latam")</f>
        <v>Latam</v>
      </c>
      <c r="F57" s="23">
        <f>+[1]GRUPO!T57</f>
        <v>58.280225640470242</v>
      </c>
      <c r="G57" s="24">
        <f>+[1]GRUPO!U57</f>
        <v>85.934226669162285</v>
      </c>
      <c r="H57" s="25">
        <f t="shared" si="14"/>
        <v>-32.180426938799407</v>
      </c>
      <c r="J57" s="23">
        <f>+[1]GRUPO!X57</f>
        <v>10.115282265629766</v>
      </c>
      <c r="K57" s="24">
        <f>+[1]GRUPO!Y57</f>
        <v>23.480922590603249</v>
      </c>
      <c r="L57" s="25">
        <f t="shared" si="15"/>
        <v>-56.921274168001531</v>
      </c>
      <c r="X57" s="50"/>
      <c r="Y57" s="50"/>
      <c r="Z57" s="60"/>
      <c r="AA57" s="50"/>
      <c r="AB57" s="61"/>
      <c r="AC57" s="61"/>
      <c r="AD57" s="62"/>
      <c r="AE57" s="50"/>
      <c r="AF57" s="61"/>
      <c r="AG57" s="61"/>
      <c r="AH57" s="62"/>
      <c r="AI57" s="50"/>
      <c r="AJ57" s="50"/>
      <c r="AK57" s="65"/>
      <c r="AL57" s="57"/>
      <c r="AM57" s="58"/>
      <c r="AN57" s="58"/>
      <c r="AO57" s="59"/>
      <c r="AP57" s="57"/>
      <c r="AQ57" s="58"/>
      <c r="AR57" s="58"/>
      <c r="AS57" s="59"/>
      <c r="AT57" s="50"/>
    </row>
    <row r="58" spans="4:46" ht="15" customHeight="1">
      <c r="D58" s="32" t="str">
        <f>+IF($B$3="esp","Portugal","Portugal")</f>
        <v>Portugal</v>
      </c>
      <c r="F58" s="23">
        <f>+[1]GRUPO!T58</f>
        <v>2.58698071000001</v>
      </c>
      <c r="G58" s="24">
        <f>+[1]GRUPO!U58</f>
        <v>2.3895390000000001</v>
      </c>
      <c r="H58" s="25">
        <f t="shared" si="14"/>
        <v>8.2627531921433324</v>
      </c>
      <c r="J58" s="23">
        <f>+[1]GRUPO!X58</f>
        <v>2.4308893000000178</v>
      </c>
      <c r="K58" s="24">
        <f>+[1]GRUPO!Y58</f>
        <v>2.6222349999999999</v>
      </c>
      <c r="L58" s="25">
        <f t="shared" si="15"/>
        <v>-7.297046222019846</v>
      </c>
      <c r="X58" s="50"/>
      <c r="Y58" s="50"/>
      <c r="Z58" s="66"/>
      <c r="AA58" s="64"/>
      <c r="AB58" s="67"/>
      <c r="AC58" s="67"/>
      <c r="AD58" s="68"/>
      <c r="AE58" s="64"/>
      <c r="AF58" s="67"/>
      <c r="AG58" s="67"/>
      <c r="AH58" s="68"/>
      <c r="AI58" s="50"/>
      <c r="AJ58" s="50"/>
      <c r="AK58" s="45"/>
      <c r="AL58" s="64"/>
      <c r="AM58" s="67"/>
      <c r="AN58" s="67"/>
      <c r="AO58" s="68"/>
      <c r="AP58" s="64"/>
      <c r="AQ58" s="67"/>
      <c r="AR58" s="67"/>
      <c r="AS58" s="68"/>
      <c r="AT58" s="50"/>
    </row>
    <row r="59" spans="4:46" ht="15" customHeight="1">
      <c r="D59" s="27" t="str">
        <f>+IF($B$3="esp","Margen EBITDA","EBITDA Margin")</f>
        <v>EBITDA Margin</v>
      </c>
      <c r="E59" s="28"/>
      <c r="F59" s="36">
        <f>+F54/F49</f>
        <v>0.1333274157407448</v>
      </c>
      <c r="G59" s="37">
        <f>+G54/G49</f>
        <v>0.20737030379065394</v>
      </c>
      <c r="H59" s="38"/>
      <c r="I59" s="28"/>
      <c r="J59" s="36">
        <f>+J54/J49</f>
        <v>0.22412868152175841</v>
      </c>
      <c r="K59" s="37">
        <f>+K54/K49</f>
        <v>0.25564705276503896</v>
      </c>
      <c r="L59" s="38"/>
      <c r="O59" s="69"/>
      <c r="P59" s="50"/>
      <c r="Q59" s="61"/>
      <c r="R59" s="61"/>
      <c r="S59" s="62"/>
      <c r="T59" s="50"/>
      <c r="U59" s="61"/>
      <c r="V59" s="61"/>
      <c r="W59" s="62"/>
      <c r="X59" s="50"/>
      <c r="Y59" s="50"/>
      <c r="Z59" s="66"/>
      <c r="AA59" s="64"/>
      <c r="AB59" s="67"/>
      <c r="AC59" s="67"/>
      <c r="AD59" s="68"/>
      <c r="AE59" s="64"/>
      <c r="AF59" s="67"/>
      <c r="AG59" s="67"/>
      <c r="AH59" s="68"/>
      <c r="AI59" s="50"/>
      <c r="AJ59" s="50"/>
      <c r="AK59" s="45"/>
      <c r="AL59" s="64"/>
      <c r="AM59" s="67"/>
      <c r="AN59" s="67"/>
      <c r="AO59" s="68"/>
      <c r="AP59" s="64"/>
      <c r="AQ59" s="67"/>
      <c r="AR59" s="67"/>
      <c r="AS59" s="68"/>
      <c r="AT59" s="50"/>
    </row>
    <row r="60" spans="4:46" s="14" customFormat="1" ht="15" customHeight="1">
      <c r="D60" s="14" t="str">
        <f>+IF($B$3="esp","EBIT","EBIT")</f>
        <v>EBIT</v>
      </c>
      <c r="F60" s="15">
        <f>+[1]GRUPO!T60</f>
        <v>18.909515149709225</v>
      </c>
      <c r="G60" s="16">
        <f>+[1]GRUPO!U60</f>
        <v>100.6309908043863</v>
      </c>
      <c r="H60" s="17">
        <f>IF(G60=0,"---",IF(OR(ABS((F60-G60)/ABS(G60))&gt;2,(F60*G60)&lt;0),"---",IF(G60="0","---",((F60-G60)/ABS(G60))*100)))</f>
        <v>-81.209053991660596</v>
      </c>
      <c r="J60" s="15">
        <f>+[1]GRUPO!X60</f>
        <v>27.728445531258867</v>
      </c>
      <c r="K60" s="16">
        <f>+[1]GRUPO!Y60</f>
        <v>56.932713847507294</v>
      </c>
      <c r="L60" s="17">
        <f>IF(K60=0,"---",IF(OR(ABS((J60-K60)/ABS(K60))&gt;2,(J60*K60)&lt;0),"---",IF(K60="0","---",((J60-K60)/ABS(K60))*100)))</f>
        <v>-51.296111396465761</v>
      </c>
      <c r="O60" s="57"/>
      <c r="P60" s="57"/>
      <c r="Q60" s="58"/>
      <c r="R60" s="58"/>
      <c r="S60" s="59"/>
      <c r="T60" s="57"/>
      <c r="U60" s="58"/>
      <c r="V60" s="58"/>
      <c r="W60" s="59"/>
      <c r="X60" s="57"/>
      <c r="Y60" s="57"/>
      <c r="Z60" s="66"/>
      <c r="AA60" s="64"/>
      <c r="AB60" s="67"/>
      <c r="AC60" s="67"/>
      <c r="AD60" s="68"/>
      <c r="AE60" s="64"/>
      <c r="AF60" s="67"/>
      <c r="AG60" s="67"/>
      <c r="AH60" s="68"/>
      <c r="AI60" s="50"/>
      <c r="AJ60" s="57"/>
      <c r="AK60" s="45"/>
      <c r="AL60" s="64"/>
      <c r="AM60" s="67"/>
      <c r="AN60" s="67"/>
      <c r="AO60" s="68"/>
      <c r="AP60" s="64"/>
      <c r="AQ60" s="67"/>
      <c r="AR60" s="67"/>
      <c r="AS60" s="68"/>
      <c r="AT60" s="57"/>
    </row>
    <row r="61" spans="4:46" ht="15" customHeight="1">
      <c r="D61" s="22" t="str">
        <f>+IF($B$3="esp","España","Spain")</f>
        <v>Spain</v>
      </c>
      <c r="F61" s="23">
        <f>+[1]GRUPO!T61</f>
        <v>-9.8018181352865348</v>
      </c>
      <c r="G61" s="24">
        <f>+[1]GRUPO!U61</f>
        <v>47.376240279782486</v>
      </c>
      <c r="H61" s="25" t="str">
        <f>IF(G61=0,"---",IF(OR(ABS((F61-G61)/ABS(G61))&gt;2,(F61*G61)&lt;0),"---",IF(G61="0","---",((F61-G61)/ABS(G61))*100)))</f>
        <v>---</v>
      </c>
      <c r="J61" s="23">
        <f>+[1]GRUPO!X61</f>
        <v>23.167043037471789</v>
      </c>
      <c r="K61" s="24">
        <f>+[1]GRUPO!Y61</f>
        <v>39.267929330793919</v>
      </c>
      <c r="L61" s="25">
        <f>IF(K61=0,"---",IF(OR(ABS((J61-K61)/ABS(K61))&gt;2,(J61*K61)&lt;0),"---",IF(K61="0","---",((J61-K61)/ABS(K61))*100)))</f>
        <v>-41.002636420392584</v>
      </c>
      <c r="O61" s="60"/>
      <c r="P61" s="50"/>
      <c r="Q61" s="61"/>
      <c r="R61" s="61"/>
      <c r="S61" s="62"/>
      <c r="T61" s="50"/>
      <c r="U61" s="61"/>
      <c r="V61" s="61"/>
      <c r="W61" s="62"/>
      <c r="X61" s="50"/>
      <c r="Y61" s="50"/>
      <c r="Z61" s="60"/>
      <c r="AA61" s="50"/>
      <c r="AB61" s="61"/>
      <c r="AC61" s="61"/>
      <c r="AD61" s="62"/>
      <c r="AE61" s="50"/>
      <c r="AF61" s="61"/>
      <c r="AG61" s="61"/>
      <c r="AH61" s="62"/>
      <c r="AI61" s="57"/>
      <c r="AJ61" s="50"/>
      <c r="AK61" s="65"/>
      <c r="AL61" s="57"/>
      <c r="AM61" s="58"/>
      <c r="AN61" s="58"/>
      <c r="AO61" s="59"/>
      <c r="AP61" s="57"/>
      <c r="AQ61" s="58"/>
      <c r="AR61" s="58"/>
      <c r="AS61" s="59"/>
      <c r="AT61" s="50"/>
    </row>
    <row r="62" spans="4:46" ht="15" customHeight="1">
      <c r="D62" s="22" t="str">
        <f>+IF($B$3="esp","Internacional","International")</f>
        <v>International</v>
      </c>
      <c r="F62" s="23">
        <f>+[1]GRUPO!T62</f>
        <v>28.71133328499576</v>
      </c>
      <c r="G62" s="24">
        <f>+[1]GRUPO!U62</f>
        <v>53.254750524603814</v>
      </c>
      <c r="H62" s="25">
        <f>IF(G62=0,"---",IF(OR(ABS((F62-G62)/ABS(G62))&gt;2,(F62*G62)&lt;0),"---",IF(G62="0","---",((F62-G62)/ABS(G62))*100)))</f>
        <v>-46.086812909336494</v>
      </c>
      <c r="J62" s="23">
        <f>+[1]GRUPO!X62</f>
        <v>4.5614024937870781</v>
      </c>
      <c r="K62" s="24">
        <f>+[1]GRUPO!Y62</f>
        <v>17.664784516713375</v>
      </c>
      <c r="L62" s="25">
        <f>IF(K62=0,"---",IF(OR(ABS((J62-K62)/ABS(K62))&gt;2,(J62*K62)&lt;0),"---",IF(K62="0","---",((J62-K62)/ABS(K62))*100)))</f>
        <v>-74.177989607111556</v>
      </c>
      <c r="O62" s="60"/>
      <c r="P62" s="50"/>
      <c r="Q62" s="61"/>
      <c r="R62" s="61"/>
      <c r="S62" s="62"/>
      <c r="T62" s="50"/>
      <c r="U62" s="61"/>
      <c r="V62" s="61"/>
      <c r="W62" s="62"/>
      <c r="X62" s="50"/>
      <c r="Y62" s="50"/>
      <c r="Z62" s="57"/>
      <c r="AA62" s="57"/>
      <c r="AB62" s="58"/>
      <c r="AC62" s="58"/>
      <c r="AD62" s="59"/>
      <c r="AE62" s="57"/>
      <c r="AF62" s="58"/>
      <c r="AG62" s="58"/>
      <c r="AH62" s="59"/>
      <c r="AI62" s="50"/>
      <c r="AJ62" s="50"/>
      <c r="AK62" s="57"/>
      <c r="AL62" s="57"/>
      <c r="AM62" s="58"/>
      <c r="AN62" s="58"/>
      <c r="AO62" s="59"/>
      <c r="AP62" s="57"/>
      <c r="AQ62" s="58"/>
      <c r="AR62" s="58"/>
      <c r="AS62" s="59"/>
      <c r="AT62" s="50"/>
    </row>
    <row r="63" spans="4:46" ht="15" customHeight="1">
      <c r="D63" s="32" t="str">
        <f>+IF($B$3="esp","Latam","Latam")</f>
        <v>Latam</v>
      </c>
      <c r="F63" s="23">
        <f>+[1]GRUPO!T63</f>
        <v>26.25388257499575</v>
      </c>
      <c r="G63" s="24">
        <f>+[1]GRUPO!U63</f>
        <v>50.919221524603813</v>
      </c>
      <c r="H63" s="25">
        <f>IF(G63=0,"---",IF(OR(ABS((F63-G63)/ABS(G63))&gt;2,(F63*G63)&lt;0),"---",IF(G63="0","---",((F63-G63)/ABS(G63))*100)))</f>
        <v>-48.440133629478098</v>
      </c>
      <c r="J63" s="23">
        <f>+[1]GRUPO!X63</f>
        <v>2.251756193787056</v>
      </c>
      <c r="K63" s="24">
        <f>+[1]GRUPO!Y63</f>
        <v>15.280095516713367</v>
      </c>
      <c r="L63" s="25">
        <f>IF(K63=0,"---",IF(OR(ABS((J63-K63)/ABS(K63))&gt;2,(J63*K63)&lt;0),"---",IF(K63="0","---",((J63-K63)/ABS(K63))*100)))</f>
        <v>-85.263467814555966</v>
      </c>
      <c r="O63" s="69"/>
      <c r="P63" s="50"/>
      <c r="Q63" s="61"/>
      <c r="R63" s="61"/>
      <c r="S63" s="62"/>
      <c r="T63" s="50"/>
      <c r="U63" s="61"/>
      <c r="V63" s="61"/>
      <c r="W63" s="62"/>
      <c r="X63" s="50"/>
      <c r="Y63" s="50"/>
      <c r="Z63" s="60"/>
      <c r="AA63" s="50"/>
      <c r="AB63" s="61"/>
      <c r="AC63" s="61"/>
      <c r="AD63" s="62"/>
      <c r="AE63" s="50"/>
      <c r="AF63" s="61"/>
      <c r="AG63" s="61"/>
      <c r="AH63" s="62"/>
      <c r="AI63" s="50"/>
      <c r="AJ63" s="50"/>
      <c r="AK63" s="65"/>
      <c r="AL63" s="57"/>
      <c r="AM63" s="58"/>
      <c r="AN63" s="58"/>
      <c r="AO63" s="59"/>
      <c r="AP63" s="57"/>
      <c r="AQ63" s="58"/>
      <c r="AR63" s="58"/>
      <c r="AS63" s="59"/>
      <c r="AT63" s="50"/>
    </row>
    <row r="64" spans="4:46" ht="15" customHeight="1">
      <c r="D64" s="32" t="str">
        <f>+IF($B$3="esp","Portugal","Portugal")</f>
        <v>Portugal</v>
      </c>
      <c r="F64" s="23">
        <f>+[1]GRUPO!T64</f>
        <v>2.45745071000001</v>
      </c>
      <c r="G64" s="24">
        <f>+[1]GRUPO!U64</f>
        <v>2.3355290000000002</v>
      </c>
      <c r="H64" s="25">
        <f>IF(G64=0,"---",IF(OR(ABS((F64-G64)/ABS(G64))&gt;2,(F64*G64)&lt;0),"---",IF(G64="0","---",((F64-G64)/ABS(G64))*100)))</f>
        <v>5.2203038369469965</v>
      </c>
      <c r="J64" s="23">
        <f>+[1]GRUPO!X64</f>
        <v>2.3096463000000229</v>
      </c>
      <c r="K64" s="24">
        <f>+[1]GRUPO!Y64</f>
        <v>2.3846890000000003</v>
      </c>
      <c r="L64" s="25">
        <f>IF(K64=0,"---",IF(OR(ABS((J64-K64)/ABS(K64))&gt;2,(J64*K64)&lt;0),"---",IF(K64="0","---",((J64-K64)/ABS(K64))*100)))</f>
        <v>-3.146854789030241</v>
      </c>
      <c r="X64" s="50"/>
      <c r="Y64" s="50"/>
      <c r="Z64" s="60"/>
      <c r="AA64" s="50"/>
      <c r="AB64" s="61"/>
      <c r="AC64" s="61"/>
      <c r="AD64" s="62"/>
      <c r="AE64" s="50"/>
      <c r="AF64" s="61"/>
      <c r="AG64" s="61"/>
      <c r="AH64" s="62"/>
      <c r="AI64" s="50"/>
      <c r="AJ64" s="50"/>
      <c r="AK64" s="65"/>
      <c r="AL64" s="57"/>
      <c r="AM64" s="58"/>
      <c r="AN64" s="58"/>
      <c r="AO64" s="59"/>
      <c r="AP64" s="57"/>
      <c r="AQ64" s="58"/>
      <c r="AR64" s="58"/>
      <c r="AS64" s="59"/>
      <c r="AT64" s="50"/>
    </row>
    <row r="65" spans="4:46" s="28" customFormat="1" ht="15" customHeight="1">
      <c r="D65" s="53" t="str">
        <f>+IF($B$3="esp","Margen EBIT","EBIT Margin")</f>
        <v>EBIT Margin</v>
      </c>
      <c r="F65" s="54">
        <f>+F60/F49</f>
        <v>3.0698267333522555E-2</v>
      </c>
      <c r="G65" s="55">
        <f>+G60/G49</f>
        <v>0.12628030301160784</v>
      </c>
      <c r="H65" s="56"/>
      <c r="J65" s="54">
        <f>+J60/J49</f>
        <v>0.12423983410546549</v>
      </c>
      <c r="K65" s="55">
        <f>+K60/K49</f>
        <v>0.18293496293007827</v>
      </c>
      <c r="L65" s="56"/>
      <c r="X65" s="64"/>
      <c r="Y65" s="64"/>
      <c r="Z65" s="60"/>
      <c r="AA65" s="50"/>
      <c r="AB65" s="61"/>
      <c r="AC65" s="61"/>
      <c r="AD65" s="62"/>
      <c r="AE65" s="50"/>
      <c r="AF65" s="61"/>
      <c r="AG65" s="61"/>
      <c r="AH65" s="62"/>
      <c r="AI65" s="50"/>
      <c r="AJ65" s="64"/>
      <c r="AK65" s="57"/>
      <c r="AL65" s="57"/>
      <c r="AM65" s="58"/>
      <c r="AN65" s="58"/>
      <c r="AO65" s="59"/>
      <c r="AP65" s="57"/>
      <c r="AQ65" s="58"/>
      <c r="AR65" s="58"/>
      <c r="AS65" s="59"/>
      <c r="AT65" s="64"/>
    </row>
    <row r="66" spans="4:46" s="14" customFormat="1" ht="15" customHeight="1">
      <c r="D66" s="1"/>
      <c r="E66" s="1"/>
      <c r="F66" s="1"/>
      <c r="G66" s="1"/>
      <c r="H66" s="1"/>
      <c r="I66" s="1"/>
      <c r="J66" s="1"/>
      <c r="K66" s="1"/>
      <c r="L66" s="1"/>
      <c r="X66" s="57"/>
      <c r="Y66" s="57"/>
      <c r="Z66" s="60"/>
      <c r="AA66" s="50"/>
      <c r="AB66" s="61"/>
      <c r="AC66" s="61"/>
      <c r="AD66" s="62"/>
      <c r="AE66" s="50"/>
      <c r="AF66" s="61"/>
      <c r="AG66" s="61"/>
      <c r="AH66" s="62"/>
      <c r="AI66" s="57"/>
      <c r="AJ66" s="57"/>
      <c r="AK66" s="65"/>
      <c r="AL66" s="57"/>
      <c r="AM66" s="58"/>
      <c r="AN66" s="58"/>
      <c r="AO66" s="59"/>
      <c r="AP66" s="57"/>
      <c r="AQ66" s="58"/>
      <c r="AR66" s="58"/>
      <c r="AS66" s="59"/>
      <c r="AT66" s="57"/>
    </row>
    <row r="67" spans="4:46" ht="15" customHeight="1">
      <c r="D67" s="9"/>
      <c r="F67" s="10">
        <v>2020</v>
      </c>
      <c r="G67" s="10">
        <v>2019</v>
      </c>
      <c r="H67" s="10" t="str">
        <f>+IF($B$3="esp","Var.%","% Chg.")</f>
        <v>% Chg.</v>
      </c>
      <c r="J67" s="10">
        <v>2020</v>
      </c>
      <c r="K67" s="10">
        <v>2019</v>
      </c>
      <c r="L67" s="10" t="str">
        <f>+IF($B$3="esp","Var.%","% Chg.")</f>
        <v>% Chg.</v>
      </c>
      <c r="O67" s="9"/>
      <c r="Q67" s="10">
        <v>2020</v>
      </c>
      <c r="R67" s="10">
        <v>2019</v>
      </c>
      <c r="S67" s="10" t="str">
        <f>+IF($B$3="esp","Var.%","% Chg.")</f>
        <v>% Chg.</v>
      </c>
      <c r="U67" s="10">
        <v>2020</v>
      </c>
      <c r="V67" s="10">
        <v>2019</v>
      </c>
      <c r="W67" s="10" t="str">
        <f>+IF($B$3="esp","Var.%","% Chg.")</f>
        <v>% Chg.</v>
      </c>
      <c r="X67" s="50"/>
      <c r="Y67" s="50"/>
      <c r="Z67" s="9"/>
      <c r="AB67" s="10">
        <v>2020</v>
      </c>
      <c r="AC67" s="10">
        <v>2019</v>
      </c>
      <c r="AD67" s="10" t="str">
        <f>+IF($B$3="esp","Var.%","% Chg.")</f>
        <v>% Chg.</v>
      </c>
      <c r="AF67" s="10">
        <v>2020</v>
      </c>
      <c r="AG67" s="10">
        <v>2019</v>
      </c>
      <c r="AH67" s="10" t="str">
        <f>+IF($B$3="esp","Var.%","% Chg.")</f>
        <v>% Chg.</v>
      </c>
      <c r="AI67" s="50"/>
      <c r="AJ67" s="50"/>
      <c r="AK67" s="45"/>
      <c r="AL67" s="64"/>
      <c r="AM67" s="47"/>
      <c r="AN67" s="47"/>
      <c r="AO67" s="48"/>
      <c r="AP67" s="64"/>
      <c r="AQ67" s="47"/>
      <c r="AR67" s="47"/>
      <c r="AS67" s="48"/>
      <c r="AT67" s="50"/>
    </row>
    <row r="68" spans="4:46" ht="15" customHeight="1">
      <c r="D68" s="11" t="str">
        <f>+IF($B$3="esp","Resultados Comparables a tipo constante","Comparable Results at constant currency")</f>
        <v>Comparable Results at constant currency</v>
      </c>
      <c r="F68" s="13"/>
      <c r="G68" s="13"/>
      <c r="H68" s="13"/>
      <c r="J68" s="13"/>
      <c r="K68" s="13"/>
      <c r="L68" s="13"/>
      <c r="O68" s="11" t="str">
        <f>+IF($B$3="esp","Resultados a tipo constante","Results at constant currency")</f>
        <v>Results at constant currency</v>
      </c>
      <c r="Q68" s="13"/>
      <c r="R68" s="13"/>
      <c r="S68" s="13"/>
      <c r="U68" s="13"/>
      <c r="V68" s="13"/>
      <c r="W68" s="13"/>
      <c r="X68" s="50"/>
      <c r="Y68" s="50"/>
      <c r="Z68" s="11" t="str">
        <f>+IF($B$3="esp","Resultados a tipo constante","Results at constant currency")</f>
        <v>Results at constant currency</v>
      </c>
      <c r="AB68" s="13"/>
      <c r="AC68" s="13"/>
      <c r="AD68" s="13"/>
      <c r="AF68" s="13"/>
      <c r="AG68" s="13"/>
      <c r="AH68" s="13"/>
      <c r="AI68" s="50"/>
      <c r="AJ68" s="50"/>
      <c r="AK68" s="65"/>
      <c r="AL68" s="57"/>
      <c r="AM68" s="58"/>
      <c r="AN68" s="58"/>
      <c r="AO68" s="59"/>
      <c r="AP68" s="57"/>
      <c r="AQ68" s="58"/>
      <c r="AR68" s="58"/>
      <c r="AS68" s="59"/>
      <c r="AT68" s="50"/>
    </row>
    <row r="69" spans="4:46" ht="15" customHeight="1">
      <c r="D69" s="14" t="str">
        <f>+IF($B$3="esp","Ingresos de Explotación a tipo constante","Operating Revenues on constant currency")</f>
        <v>Operating Revenues on constant currency</v>
      </c>
      <c r="E69" s="14"/>
      <c r="F69" s="15">
        <f>+[1]GRUPO!T69</f>
        <v>660.0058486456137</v>
      </c>
      <c r="G69" s="16">
        <f>+[1]GRUPO!U69</f>
        <v>796.88588326507397</v>
      </c>
      <c r="H69" s="17">
        <f t="shared" ref="H69:H78" si="16">IF(G69=0,"---",IF(OR(ABS((F69-G69)/ABS(G69))&gt;2,(F69*G69)&lt;0),"---",IF(G69="0","---",((F69-G69)/ABS(G69))*100)))</f>
        <v>-17.176867791737362</v>
      </c>
      <c r="I69" s="14"/>
      <c r="J69" s="15">
        <f>+[1]GRUPO!X69</f>
        <v>238.61797162918282</v>
      </c>
      <c r="K69" s="16">
        <f>+[1]GRUPO!Y69</f>
        <v>311.21833101564198</v>
      </c>
      <c r="L69" s="17">
        <f t="shared" ref="L69:L78" si="17">IF(K69=0,"---",IF(OR(ABS((J69-K69)/ABS(K69))&gt;2,(J69*K69)&lt;0),"---",IF(K69="0","---",((J69-K69)/ABS(K69))*100)))</f>
        <v>-23.327790220303648</v>
      </c>
      <c r="O69" s="14" t="str">
        <f>+IF($B$3="esp","Ingresos de Explotación a tipo constante","Operating Revenues on constant currency")</f>
        <v>Operating Revenues on constant currency</v>
      </c>
      <c r="P69" s="14"/>
      <c r="Q69" s="15">
        <f>+[1]SANTILLANA!T39</f>
        <v>431.18259365239561</v>
      </c>
      <c r="R69" s="16">
        <f>+[1]SANTILLANA!U39</f>
        <v>461.13603968567099</v>
      </c>
      <c r="S69" s="17">
        <f t="shared" ref="S69:S80" si="18">IF(R69=0,"---",IF(OR(ABS((Q69-R69)/ABS(R69))&gt;2,(Q69*R69)&lt;0),"---",IF(R69="0","---",((Q69-R69)/ABS(R69))*100)))</f>
        <v>-6.495576891733049</v>
      </c>
      <c r="T69" s="14"/>
      <c r="U69" s="15">
        <f>+[1]SANTILLANA!X39</f>
        <v>161.46557373385627</v>
      </c>
      <c r="V69" s="16">
        <f>+[1]SANTILLANA!Y39</f>
        <v>205.156496230269</v>
      </c>
      <c r="W69" s="17">
        <f t="shared" ref="W69:W80" si="19">IF(V69=0,"---",IF(OR(ABS((U69-V69)/ABS(V69))&gt;2,(U69*V69)&lt;0),"---",IF(V69="0","---",((U69-V69)/ABS(V69))*100)))</f>
        <v>-21.296387537918246</v>
      </c>
      <c r="X69" s="50"/>
      <c r="Y69" s="50"/>
      <c r="Z69" s="14" t="str">
        <f>+IF($B$3="esp","Ingresos de Explotación a tipo constante","Operating Revenues on constant currency")</f>
        <v>Operating Revenues on constant currency</v>
      </c>
      <c r="AA69" s="14"/>
      <c r="AB69" s="15">
        <f>+[1]RADIO!T35</f>
        <v>127.52187292902801</v>
      </c>
      <c r="AC69" s="16">
        <f>+[1]RADIO!U35</f>
        <v>196.37257326384102</v>
      </c>
      <c r="AD69" s="17">
        <f>IF(AC69=0,"---",IF(OR(ABS((AB69-AC69)/ABS(AC69))&gt;2,(AB69*AC69)&lt;0),"---",IF(AC69="0","---",((AB69-AC69)/ABS(AC69))*100)))</f>
        <v>-35.061260944168119</v>
      </c>
      <c r="AE69" s="14"/>
      <c r="AF69" s="15">
        <f>+[1]RADIO!X35</f>
        <v>42.76234650838451</v>
      </c>
      <c r="AG69" s="16">
        <f>+[1]RADIO!Y35</f>
        <v>61.872456748335026</v>
      </c>
      <c r="AH69" s="17">
        <f>IF(AG69=0,"---",IF(OR(ABS((AF69-AG69)/ABS(AG69))&gt;2,(AF69*AG69)&lt;0),"---",IF(AG69="0","---",((AF69-AG69)/ABS(AG69))*100)))</f>
        <v>-30.886296171623673</v>
      </c>
      <c r="AI69" s="50"/>
      <c r="AJ69" s="50"/>
      <c r="AK69" s="57"/>
      <c r="AL69" s="57"/>
      <c r="AM69" s="58"/>
      <c r="AN69" s="58"/>
      <c r="AO69" s="59"/>
      <c r="AP69" s="57"/>
      <c r="AQ69" s="58"/>
      <c r="AR69" s="58"/>
      <c r="AS69" s="59"/>
      <c r="AT69" s="50"/>
    </row>
    <row r="70" spans="4:46" ht="15" customHeight="1">
      <c r="D70" s="22" t="str">
        <f>+IF($B$3="esp","España","Spain")</f>
        <v>Spain</v>
      </c>
      <c r="F70" s="23">
        <f>+[1]GRUPO!T70</f>
        <v>312.06880735259114</v>
      </c>
      <c r="G70" s="24">
        <f>+[1]GRUPO!U70</f>
        <v>416.34925954256704</v>
      </c>
      <c r="H70" s="25">
        <f t="shared" si="16"/>
        <v>-25.046388290577564</v>
      </c>
      <c r="J70" s="23">
        <f>+[1]GRUPO!X70</f>
        <v>146.33153550912934</v>
      </c>
      <c r="K70" s="24">
        <f>+[1]GRUPO!Y70</f>
        <v>182.37677450004651</v>
      </c>
      <c r="L70" s="25">
        <f t="shared" si="17"/>
        <v>-19.764160809252594</v>
      </c>
      <c r="O70" s="22" t="str">
        <f>+IF($B$3="esp","Negocio España","Spain business")</f>
        <v>Spain business</v>
      </c>
      <c r="Q70" s="23">
        <f>+[1]SANTILLANA!T40</f>
        <v>121.46594248999999</v>
      </c>
      <c r="R70" s="24">
        <f>+[1]SANTILLANA!U40</f>
        <v>147.94980382999998</v>
      </c>
      <c r="S70" s="25">
        <f t="shared" si="18"/>
        <v>-17.900572122711946</v>
      </c>
      <c r="U70" s="23">
        <f>+[1]SANTILLANA!X40</f>
        <v>81.721259279999998</v>
      </c>
      <c r="V70" s="24">
        <f>+[1]SANTILLANA!Y40</f>
        <v>102.58703253999997</v>
      </c>
      <c r="W70" s="25">
        <f t="shared" si="19"/>
        <v>-20.339581663856144</v>
      </c>
      <c r="X70" s="50"/>
      <c r="Y70" s="50"/>
      <c r="Z70" s="22" t="str">
        <f>+IF($B$3="esp","España","Spain")</f>
        <v>Spain</v>
      </c>
      <c r="AB70" s="23">
        <f>+[1]RADIO!T36</f>
        <v>91.665159710000012</v>
      </c>
      <c r="AC70" s="24">
        <f>+[1]RADIO!U36</f>
        <v>133.15707760000001</v>
      </c>
      <c r="AD70" s="25">
        <f>IF(AC70=0,"---",IF(OR(ABS((AB70-AC70)/ABS(AC70))&gt;2,(AB70*AC70)&lt;0),"---",IF(AC70="0","---",((AB70-AC70)/ABS(AC70))*100)))</f>
        <v>-31.160129553639283</v>
      </c>
      <c r="AF70" s="23">
        <f>+[1]RADIO!X36</f>
        <v>30.812351190000015</v>
      </c>
      <c r="AG70" s="24">
        <f>+[1]RADIO!Y36</f>
        <v>37.155630799999997</v>
      </c>
      <c r="AH70" s="25">
        <f>IF(AG70=0,"---",IF(OR(ABS((AF70-AG70)/ABS(AG70))&gt;2,(AF70*AG70)&lt;0),"---",IF(AG70="0","---",((AF70-AG70)/ABS(AG70))*100)))</f>
        <v>-17.072189257516204</v>
      </c>
      <c r="AI70" s="50"/>
      <c r="AJ70" s="50"/>
      <c r="AK70" s="65"/>
      <c r="AL70" s="57"/>
      <c r="AM70" s="58"/>
      <c r="AN70" s="58"/>
      <c r="AO70" s="59"/>
      <c r="AP70" s="57"/>
      <c r="AQ70" s="58"/>
      <c r="AR70" s="58"/>
      <c r="AS70" s="59"/>
      <c r="AT70" s="50"/>
    </row>
    <row r="71" spans="4:46" s="28" customFormat="1" ht="15" customHeight="1">
      <c r="D71" s="22" t="str">
        <f>+IF($B$3="esp","Internacional","International")</f>
        <v>International</v>
      </c>
      <c r="E71" s="1"/>
      <c r="F71" s="23">
        <f>+[1]GRUPO!T71</f>
        <v>347.93704129302256</v>
      </c>
      <c r="G71" s="24">
        <f>+[1]GRUPO!U71</f>
        <v>380.53662372250693</v>
      </c>
      <c r="H71" s="25">
        <f t="shared" si="16"/>
        <v>-8.5667398082704604</v>
      </c>
      <c r="I71" s="1"/>
      <c r="J71" s="23">
        <f>+[1]GRUPO!X71</f>
        <v>92.28643612005348</v>
      </c>
      <c r="K71" s="24">
        <f>+[1]GRUPO!Y71</f>
        <v>128.84155651559547</v>
      </c>
      <c r="L71" s="25">
        <f t="shared" si="17"/>
        <v>-28.372150557741222</v>
      </c>
      <c r="O71" s="22" t="str">
        <f>+IF($B$3="esp","Negocio Internacional","International business")</f>
        <v>International business</v>
      </c>
      <c r="P71" s="1"/>
      <c r="Q71" s="23">
        <f>+[1]SANTILLANA!T41</f>
        <v>308.27941136239565</v>
      </c>
      <c r="R71" s="24">
        <f>+[1]SANTILLANA!U41</f>
        <v>311.623150875671</v>
      </c>
      <c r="S71" s="25">
        <f t="shared" si="18"/>
        <v>-1.0730074142050543</v>
      </c>
      <c r="T71" s="1"/>
      <c r="U71" s="23">
        <f>+[1]SANTILLANA!X41</f>
        <v>79.063806973856316</v>
      </c>
      <c r="V71" s="24">
        <f>+[1]SANTILLANA!Y41</f>
        <v>102.244634680269</v>
      </c>
      <c r="W71" s="25">
        <f t="shared" si="19"/>
        <v>-22.671925797282039</v>
      </c>
      <c r="X71" s="64"/>
      <c r="Y71" s="64"/>
      <c r="Z71" s="22" t="str">
        <f>+IF($B$3="esp","Latam","Latam")</f>
        <v>Latam</v>
      </c>
      <c r="AA71" s="1"/>
      <c r="AB71" s="23">
        <f>+[1]RADIO!T37</f>
        <v>38.656831930228201</v>
      </c>
      <c r="AC71" s="24">
        <f>+[1]RADIO!U37</f>
        <v>66.196770385400299</v>
      </c>
      <c r="AD71" s="25">
        <f>IF(AC71=0,"---",IF(OR(ABS((AB71-AC71)/ABS(AC71))&gt;2,(AB71*AC71)&lt;0),"---",IF(AC71="0","---",((AB71-AC71)/ABS(AC71))*100)))</f>
        <v>-41.60314513054557</v>
      </c>
      <c r="AE71" s="1"/>
      <c r="AF71" s="23">
        <f>+[1]RADIO!X37</f>
        <v>12.837203253908701</v>
      </c>
      <c r="AG71" s="24">
        <f>+[1]RADIO!Y37</f>
        <v>25.663951134878801</v>
      </c>
      <c r="AH71" s="25">
        <f>IF(AG71=0,"---",IF(OR(ABS((AF71-AG71)/ABS(AG71))&gt;2,(AF71*AG71)&lt;0),"---",IF(AG71="0","---",((AF71-AG71)/ABS(AG71))*100)))</f>
        <v>-49.979630235259464</v>
      </c>
      <c r="AI71" s="64"/>
      <c r="AJ71" s="64"/>
      <c r="AK71" s="45"/>
      <c r="AL71" s="64"/>
      <c r="AM71" s="47"/>
      <c r="AN71" s="47"/>
      <c r="AO71" s="48"/>
      <c r="AP71" s="64"/>
      <c r="AQ71" s="47"/>
      <c r="AR71" s="47"/>
      <c r="AS71" s="48"/>
      <c r="AT71" s="64"/>
    </row>
    <row r="72" spans="4:46" s="14" customFormat="1" ht="15" customHeight="1">
      <c r="D72" s="32" t="str">
        <f>+IF($B$3="esp","Latam","Latam")</f>
        <v>Latam</v>
      </c>
      <c r="E72" s="1"/>
      <c r="F72" s="23">
        <f>+[1]GRUPO!T72</f>
        <v>343.56008729302255</v>
      </c>
      <c r="G72" s="24">
        <f>+[1]GRUPO!U72</f>
        <v>376.70342572250695</v>
      </c>
      <c r="H72" s="25">
        <f t="shared" si="16"/>
        <v>-8.7982577715921693</v>
      </c>
      <c r="I72" s="1"/>
      <c r="J72" s="23">
        <f>+[1]GRUPO!X72</f>
        <v>88.705558120053468</v>
      </c>
      <c r="K72" s="24">
        <f>+[1]GRUPO!Y72</f>
        <v>125.2279475155955</v>
      </c>
      <c r="L72" s="25">
        <f t="shared" si="17"/>
        <v>-29.164727299386307</v>
      </c>
      <c r="O72" s="32" t="str">
        <f>+IF($B$3="esp","Latam","Latam")</f>
        <v>Latam</v>
      </c>
      <c r="P72" s="1"/>
      <c r="Q72" s="23">
        <f>+[1]SANTILLANA!T42</f>
        <v>303.90245736239564</v>
      </c>
      <c r="R72" s="24">
        <f>+[1]SANTILLANA!U42</f>
        <v>307.78995287567102</v>
      </c>
      <c r="S72" s="25">
        <f>IF(R72=0,"---",IF(OR(ABS((Q72-R72)/ABS(R72))&gt;2,(Q72*R72)&lt;0),"---",IF(R72="0","---",((Q72-R72)/ABS(R72))*100)))</f>
        <v>-1.2630352215706344</v>
      </c>
      <c r="T72" s="1"/>
      <c r="U72" s="23">
        <f>+[1]SANTILLANA!X42</f>
        <v>75.482928973856303</v>
      </c>
      <c r="V72" s="24">
        <f>+[1]SANTILLANA!Y42</f>
        <v>98.631025680269033</v>
      </c>
      <c r="W72" s="25">
        <f t="shared" si="19"/>
        <v>-23.46938658171479</v>
      </c>
      <c r="X72" s="57"/>
      <c r="Y72" s="57"/>
      <c r="Z72" s="22" t="str">
        <f>+IF($B$3="esp","Ajustes y Otros","Adjustments &amp; others")</f>
        <v>Adjustments &amp; others</v>
      </c>
      <c r="AA72" s="1"/>
      <c r="AB72" s="23">
        <f>+AB69-AB70-AB71</f>
        <v>-2.8001187112002057</v>
      </c>
      <c r="AC72" s="24">
        <f>+AC69-AC70-AC71</f>
        <v>-2.9812747215592879</v>
      </c>
      <c r="AD72" s="25">
        <f>IF(AC72=0,"---",IF(OR(ABS((AB72-AC72)/ABS(AC72))&gt;2,(AB72*AC72)&lt;0),"---",IF(AC72="0","---",((AB72-AC72)/ABS(AC72))*100)))</f>
        <v>6.0764614897459905</v>
      </c>
      <c r="AE72" s="1"/>
      <c r="AF72" s="23">
        <f>+AF69-AF70-AF71</f>
        <v>-0.88720793552420574</v>
      </c>
      <c r="AG72" s="24">
        <f>+AG69-AG70-AG71</f>
        <v>-0.9471251865437722</v>
      </c>
      <c r="AH72" s="25">
        <f>IF(AG72=0,"---",IF(OR(ABS((AF72-AG72)/ABS(AG72))&gt;2,(AF72*AG72)&lt;0),"---",IF(AG72="0","---",((AF72-AG72)/ABS(AG72))*100)))</f>
        <v>6.3262229608965574</v>
      </c>
      <c r="AI72" s="57"/>
      <c r="AJ72" s="57"/>
      <c r="AK72" s="65"/>
      <c r="AL72" s="57"/>
      <c r="AM72" s="58"/>
      <c r="AN72" s="58"/>
      <c r="AO72" s="59"/>
      <c r="AP72" s="57"/>
      <c r="AQ72" s="58"/>
      <c r="AR72" s="58"/>
      <c r="AS72" s="59"/>
      <c r="AT72" s="57"/>
    </row>
    <row r="73" spans="4:46" ht="15" customHeight="1" thickBot="1">
      <c r="D73" s="32" t="str">
        <f>+IF($B$3="esp","Portugal","Portugal")</f>
        <v>Portugal</v>
      </c>
      <c r="F73" s="23">
        <f>+[1]GRUPO!T73</f>
        <v>4.3769539999999996</v>
      </c>
      <c r="G73" s="24">
        <f>+[1]GRUPO!U73</f>
        <v>3.8331979999999999</v>
      </c>
      <c r="H73" s="25">
        <f t="shared" si="16"/>
        <v>14.185439938140417</v>
      </c>
      <c r="J73" s="23">
        <f>+[1]GRUPO!X73</f>
        <v>3.5808779999999993</v>
      </c>
      <c r="K73" s="24">
        <f>+[1]GRUPO!Y73</f>
        <v>3.6136089999999998</v>
      </c>
      <c r="L73" s="25">
        <f t="shared" si="17"/>
        <v>-0.905770380802143</v>
      </c>
      <c r="O73" s="32" t="str">
        <f>+IF($B$3="esp","Portugal","Portugal")</f>
        <v>Portugal</v>
      </c>
      <c r="Q73" s="23">
        <f>+[1]SANTILLANA!T43</f>
        <v>4.3769539999999996</v>
      </c>
      <c r="R73" s="24">
        <f>+[1]SANTILLANA!U43</f>
        <v>3.8331979999999999</v>
      </c>
      <c r="S73" s="25">
        <f t="shared" si="18"/>
        <v>14.185439938140417</v>
      </c>
      <c r="U73" s="23">
        <f>+[1]SANTILLANA!X43</f>
        <v>3.5808779999999993</v>
      </c>
      <c r="V73" s="24">
        <f>+[1]SANTILLANA!Y43</f>
        <v>3.6136089999999998</v>
      </c>
      <c r="W73" s="25">
        <f t="shared" si="19"/>
        <v>-0.905770380802143</v>
      </c>
      <c r="X73" s="50"/>
      <c r="Y73" s="50"/>
      <c r="Z73" s="14"/>
      <c r="AA73" s="14"/>
      <c r="AB73" s="15"/>
      <c r="AC73" s="16"/>
      <c r="AD73" s="17"/>
      <c r="AE73" s="14"/>
      <c r="AF73" s="15"/>
      <c r="AG73" s="16"/>
      <c r="AH73" s="17"/>
      <c r="AI73" s="50"/>
      <c r="AJ73" s="50"/>
      <c r="AK73" s="50"/>
      <c r="AL73" s="50"/>
      <c r="AM73" s="50"/>
      <c r="AN73" s="50"/>
      <c r="AO73" s="50"/>
      <c r="AP73" s="50"/>
      <c r="AQ73" s="50"/>
      <c r="AR73" s="50"/>
      <c r="AS73" s="50"/>
      <c r="AT73" s="50"/>
    </row>
    <row r="74" spans="4:46" ht="15" customHeight="1" thickTop="1">
      <c r="D74" s="14" t="str">
        <f>+IF($B$3="esp","EBITDA a tipo constante","EBITDA on constant currency")</f>
        <v>EBITDA on constant currency</v>
      </c>
      <c r="E74" s="14"/>
      <c r="F74" s="15">
        <f>+[1]GRUPO!T74</f>
        <v>87.573385823876819</v>
      </c>
      <c r="G74" s="16">
        <f>+[1]GRUPO!U74</f>
        <v>165.25046769916199</v>
      </c>
      <c r="H74" s="17">
        <f t="shared" si="16"/>
        <v>-47.005665373786456</v>
      </c>
      <c r="I74" s="14"/>
      <c r="J74" s="15">
        <f>+[1]GRUPO!X74</f>
        <v>50.878236841511622</v>
      </c>
      <c r="K74" s="16">
        <f>+[1]GRUPO!Y74</f>
        <v>79.562049090603182</v>
      </c>
      <c r="L74" s="17">
        <f t="shared" si="17"/>
        <v>-36.052128592649971</v>
      </c>
      <c r="O74" s="22" t="str">
        <f>+IF($B$3="esp","Tecnología Educativa global y Centro Corpor.","Global Educational IT &amp; HQ")</f>
        <v>Global Educational IT &amp; HQ</v>
      </c>
      <c r="Q74" s="23">
        <f>+[1]SANTILLANA!T44</f>
        <v>1.4372398000000002</v>
      </c>
      <c r="R74" s="24">
        <f>+[1]SANTILLANA!U44</f>
        <v>1.5630849800000013</v>
      </c>
      <c r="S74" s="25">
        <f t="shared" si="18"/>
        <v>-8.0510772997128424</v>
      </c>
      <c r="U74" s="23">
        <f>+[1]SANTILLANA!X44</f>
        <v>0.68050747999999983</v>
      </c>
      <c r="V74" s="24">
        <f>+[1]SANTILLANA!Y44</f>
        <v>0.32482901000000108</v>
      </c>
      <c r="W74" s="25">
        <f t="shared" si="19"/>
        <v>109.4971382020336</v>
      </c>
      <c r="X74" s="50"/>
      <c r="Y74" s="50"/>
      <c r="Z74" s="14" t="str">
        <f>+IF($B$3="esp","EBITDA a tipo constante","EBITDA on constant currency")</f>
        <v>EBITDA on constant currency</v>
      </c>
      <c r="AA74" s="14"/>
      <c r="AB74" s="15">
        <f>+[1]RADIO!T41</f>
        <v>-7.2126942093973705</v>
      </c>
      <c r="AC74" s="70">
        <f>+[1]RADIO!U41</f>
        <v>41.822380985898704</v>
      </c>
      <c r="AD74" s="34" t="str">
        <f>IF(AC74=0,"---",IF(OR(ABS((AB74-AC74)/ABS(AC74))&gt;2,(AB74*AC74)&lt;0),"---",IF(AC74="0","---",((AB74-AC74)/ABS(AC74))*100)))</f>
        <v>---</v>
      </c>
      <c r="AE74" s="14"/>
      <c r="AF74" s="15">
        <f>+[1]RADIO!X41</f>
        <v>-0.9877030564229603</v>
      </c>
      <c r="AG74" s="70">
        <f>+[1]RADIO!Y41</f>
        <v>13.677193606604504</v>
      </c>
      <c r="AH74" s="34" t="str">
        <f>IF(AG74=0,"---",IF(OR(ABS((AF74-AG74)/ABS(AG74))&gt;2,(AF74*AG74)&lt;0),"---",IF(AG74="0","---",((AF74-AG74)/ABS(AG74))*100)))</f>
        <v>---</v>
      </c>
      <c r="AI74" s="50"/>
      <c r="AJ74" s="50"/>
      <c r="AK74" s="50"/>
      <c r="AL74" s="50"/>
      <c r="AM74" s="50"/>
      <c r="AN74" s="50"/>
      <c r="AO74" s="50"/>
      <c r="AP74" s="50"/>
      <c r="AQ74" s="50"/>
      <c r="AR74" s="50"/>
      <c r="AS74" s="50"/>
      <c r="AT74" s="50"/>
    </row>
    <row r="75" spans="4:46" s="14" customFormat="1" ht="15" customHeight="1">
      <c r="D75" s="22" t="str">
        <f>+IF($B$3="esp","España","Spain")</f>
        <v>Spain</v>
      </c>
      <c r="E75" s="1"/>
      <c r="F75" s="23">
        <f>+[1]GRUPO!T75</f>
        <v>21.259799725474849</v>
      </c>
      <c r="G75" s="24">
        <f>+[1]GRUPO!U75</f>
        <v>76.926702029999703</v>
      </c>
      <c r="H75" s="25">
        <f t="shared" si="16"/>
        <v>-72.363562762402054</v>
      </c>
      <c r="I75" s="1"/>
      <c r="J75" s="23">
        <f>+[1]GRUPO!X75</f>
        <v>37.475948814000915</v>
      </c>
      <c r="K75" s="24">
        <f>+[1]GRUPO!Y75</f>
        <v>53.458891499999929</v>
      </c>
      <c r="L75" s="25">
        <f t="shared" si="17"/>
        <v>-29.89763206369334</v>
      </c>
      <c r="O75" s="14" t="str">
        <f>+IF($B$3="esp","EBITDA a tipo constante","EBITDA on constant currency")</f>
        <v>EBITDA on constant currency</v>
      </c>
      <c r="Q75" s="15">
        <f>+[1]SANTILLANA!T45</f>
        <v>117.09180464691327</v>
      </c>
      <c r="R75" s="16">
        <f>+[1]SANTILLANA!U45</f>
        <v>129.21480552604999</v>
      </c>
      <c r="S75" s="17">
        <f t="shared" si="18"/>
        <v>-9.3820524898694266</v>
      </c>
      <c r="U75" s="15">
        <f>+[1]SANTILLANA!X45</f>
        <v>56.984243077258853</v>
      </c>
      <c r="V75" s="16">
        <f>+[1]SANTILLANA!Y45</f>
        <v>67.362332028400687</v>
      </c>
      <c r="W75" s="17">
        <f t="shared" si="19"/>
        <v>-15.406368275323839</v>
      </c>
      <c r="X75" s="57"/>
      <c r="Y75" s="57"/>
      <c r="Z75" s="22" t="str">
        <f>+IF($B$3="esp","España","Spain")</f>
        <v>Spain</v>
      </c>
      <c r="AA75" s="1"/>
      <c r="AB75" s="23">
        <f>+[1]RADIO!T42</f>
        <v>-1.4996078699999502</v>
      </c>
      <c r="AC75" s="24">
        <f>+[1]RADIO!U42</f>
        <v>25.024464700000099</v>
      </c>
      <c r="AD75" s="25" t="str">
        <f>IF(AC75=0,"---",IF(OR(ABS((AB75-AC75)/ABS(AC75))&gt;2,(AB75*AC75)&lt;0),"---",IF(AC75="0","---",((AB75-AC75)/ABS(AC75))*100)))</f>
        <v>---</v>
      </c>
      <c r="AE75" s="1"/>
      <c r="AF75" s="23">
        <f>+[1]RADIO!X42</f>
        <v>-3.3965719999940136E-2</v>
      </c>
      <c r="AG75" s="24">
        <f>+[1]RADIO!Y42</f>
        <v>3.4758251299999969</v>
      </c>
      <c r="AH75" s="25" t="str">
        <f>IF(AG75=0,"---",IF(OR(ABS((AF75-AG75)/ABS(AG75))&gt;2,(AF75*AG75)&lt;0),"---",IF(AG75="0","---",((AF75-AG75)/ABS(AG75))*100)))</f>
        <v>---</v>
      </c>
      <c r="AI75" s="50"/>
      <c r="AJ75" s="57"/>
      <c r="AK75" s="57"/>
      <c r="AL75" s="57"/>
      <c r="AM75" s="57"/>
      <c r="AN75" s="57"/>
      <c r="AO75" s="57"/>
      <c r="AP75" s="57"/>
      <c r="AQ75" s="57"/>
      <c r="AR75" s="57"/>
      <c r="AS75" s="57"/>
      <c r="AT75" s="57"/>
    </row>
    <row r="76" spans="4:46" s="14" customFormat="1" ht="15" customHeight="1">
      <c r="D76" s="22" t="str">
        <f>+IF($B$3="esp","Internacional","International")</f>
        <v>International</v>
      </c>
      <c r="E76" s="1"/>
      <c r="F76" s="23">
        <f>+[1]GRUPO!T76</f>
        <v>66.31358609840197</v>
      </c>
      <c r="G76" s="24">
        <f>+[1]GRUPO!U76</f>
        <v>88.323765669162285</v>
      </c>
      <c r="H76" s="25">
        <f t="shared" si="16"/>
        <v>-24.919883571545949</v>
      </c>
      <c r="I76" s="1"/>
      <c r="J76" s="23">
        <f>+[1]GRUPO!X76</f>
        <v>13.402288027510707</v>
      </c>
      <c r="K76" s="24">
        <f>+[1]GRUPO!Y76</f>
        <v>26.103157590603253</v>
      </c>
      <c r="L76" s="25">
        <f t="shared" si="17"/>
        <v>-48.656449010079413</v>
      </c>
      <c r="O76" s="22" t="str">
        <f>+IF($B$3="esp","Negocio España","Spain business")</f>
        <v>Spain business</v>
      </c>
      <c r="P76" s="1"/>
      <c r="Q76" s="23">
        <f>+[1]SANTILLANA!T46</f>
        <v>57.639866965474248</v>
      </c>
      <c r="R76" s="24">
        <f>+[1]SANTILLANA!U46</f>
        <v>70.044433989999987</v>
      </c>
      <c r="S76" s="25">
        <f t="shared" si="18"/>
        <v>-17.709568509464578</v>
      </c>
      <c r="T76" s="1"/>
      <c r="U76" s="23">
        <f>+[1]SANTILLANA!X46</f>
        <v>46.313259963999982</v>
      </c>
      <c r="V76" s="24">
        <f>+[1]SANTILLANA!Y46</f>
        <v>56.257783059999987</v>
      </c>
      <c r="W76" s="25">
        <f t="shared" si="19"/>
        <v>-17.676706324161376</v>
      </c>
      <c r="X76" s="57"/>
      <c r="Y76" s="57"/>
      <c r="Z76" s="22" t="str">
        <f>+IF($B$3="esp","Latam","Latam")</f>
        <v>Latam</v>
      </c>
      <c r="AA76" s="1"/>
      <c r="AB76" s="23">
        <f>+[1]RADIO!T43</f>
        <v>-6.0526987693974199</v>
      </c>
      <c r="AC76" s="24">
        <f>+[1]RADIO!U43</f>
        <v>16.931259415898701</v>
      </c>
      <c r="AD76" s="25" t="str">
        <f>IF(AC76=0,"---",IF(OR(ABS((AB76-AC76)/ABS(AC76))&gt;2,(AB76*AC76)&lt;0),"---",IF(AC76="0","---",((AB76-AC76)/ABS(AC76))*100)))</f>
        <v>---</v>
      </c>
      <c r="AE76" s="1"/>
      <c r="AF76" s="23">
        <f>+[1]RADIO!X43</f>
        <v>-0.95247530642309997</v>
      </c>
      <c r="AG76" s="24">
        <f>+[1]RADIO!Y43</f>
        <v>10.223321476604522</v>
      </c>
      <c r="AH76" s="25" t="str">
        <f>IF(AG76=0,"---",IF(OR(ABS((AF76-AG76)/ABS(AG76))&gt;2,(AF76*AG76)&lt;0),"---",IF(AG76="0","---",((AF76-AG76)/ABS(AG76))*100)))</f>
        <v>---</v>
      </c>
      <c r="AI76" s="50"/>
      <c r="AJ76" s="57"/>
      <c r="AK76" s="57"/>
      <c r="AL76" s="57"/>
      <c r="AM76" s="57"/>
      <c r="AN76" s="57"/>
      <c r="AO76" s="57"/>
      <c r="AP76" s="57"/>
      <c r="AQ76" s="57"/>
      <c r="AR76" s="57"/>
      <c r="AS76" s="57"/>
      <c r="AT76" s="57"/>
    </row>
    <row r="77" spans="4:46" ht="15" customHeight="1">
      <c r="D77" s="32" t="str">
        <f>+IF($B$3="esp","Latam","Latam")</f>
        <v>Latam</v>
      </c>
      <c r="F77" s="23">
        <f>+[1]GRUPO!T77</f>
        <v>63.726605388401964</v>
      </c>
      <c r="G77" s="24">
        <f>+[1]GRUPO!U77</f>
        <v>85.934226669162285</v>
      </c>
      <c r="H77" s="25">
        <f t="shared" si="16"/>
        <v>-25.842580007448397</v>
      </c>
      <c r="J77" s="23">
        <f>+[1]GRUPO!X77</f>
        <v>10.971398727510689</v>
      </c>
      <c r="K77" s="24">
        <f>+[1]GRUPO!Y77</f>
        <v>23.480922590603249</v>
      </c>
      <c r="L77" s="25">
        <f t="shared" si="17"/>
        <v>-53.275265547269015</v>
      </c>
      <c r="O77" s="22" t="str">
        <f>+IF($B$3="esp","Negocio Internacional","International business")</f>
        <v>International business</v>
      </c>
      <c r="Q77" s="23">
        <f>+[1]SANTILLANA!T47</f>
        <v>74.891312321439017</v>
      </c>
      <c r="R77" s="24">
        <f>+[1]SANTILLANA!U47</f>
        <v>75.326453296050005</v>
      </c>
      <c r="S77" s="25">
        <f t="shared" si="18"/>
        <v>-0.57767352048394671</v>
      </c>
      <c r="U77" s="23">
        <f>+[1]SANTILLANA!X47</f>
        <v>15.59378041325887</v>
      </c>
      <c r="V77" s="24">
        <f>+[1]SANTILLANA!Y47</f>
        <v>16.496175348400705</v>
      </c>
      <c r="W77" s="25">
        <f t="shared" si="19"/>
        <v>-5.4703282190154576</v>
      </c>
      <c r="X77" s="50"/>
      <c r="Y77" s="50"/>
      <c r="Z77" s="22" t="str">
        <f>+IF($B$3="esp","Ajustes y Otros","Adjustments &amp; others")</f>
        <v>Adjustments &amp; others</v>
      </c>
      <c r="AB77" s="23">
        <f>+AB74-AB75-AB76</f>
        <v>0.33961242999999985</v>
      </c>
      <c r="AC77" s="24">
        <f>+AC74-AC75-AC76</f>
        <v>-0.13334313000009601</v>
      </c>
      <c r="AD77" s="25" t="str">
        <f>IF(AC77=0,"---",IF(OR(ABS((AB77-AC77)/ABS(AC77))&gt;2,(AB77*AC77)&lt;0),"---",IF(AC77="0","---",((AB77-AC77)/ABS(AC77))*100)))</f>
        <v>---</v>
      </c>
      <c r="AF77" s="23">
        <f>+AF74-AF75-AF76</f>
        <v>-1.2620299999202E-3</v>
      </c>
      <c r="AG77" s="24">
        <f>+AG74-AG75-AG76</f>
        <v>-2.19530000000141E-2</v>
      </c>
      <c r="AH77" s="25">
        <f>IF(AG77=0,"---",IF(OR(ABS((AF77-AG77)/ABS(AG77))&gt;2,(AF77*AG77)&lt;0),"---",IF(AG77="0","---",((AF77-AG77)/ABS(AG77))*100)))</f>
        <v>94.251218512643419</v>
      </c>
      <c r="AI77" s="64"/>
      <c r="AJ77" s="50"/>
      <c r="AK77" s="50"/>
      <c r="AL77" s="50"/>
      <c r="AM77" s="50"/>
      <c r="AN77" s="50"/>
      <c r="AO77" s="50"/>
      <c r="AP77" s="50"/>
      <c r="AQ77" s="50"/>
      <c r="AR77" s="50"/>
      <c r="AS77" s="50"/>
      <c r="AT77" s="50"/>
    </row>
    <row r="78" spans="4:46" s="14" customFormat="1" ht="15" customHeight="1">
      <c r="D78" s="32" t="str">
        <f>+IF($B$3="esp","Portugal","Portugal")</f>
        <v>Portugal</v>
      </c>
      <c r="E78" s="1"/>
      <c r="F78" s="23">
        <f>+[1]GRUPO!T78</f>
        <v>2.58698071000001</v>
      </c>
      <c r="G78" s="24">
        <f>+[1]GRUPO!U78</f>
        <v>2.3895390000000001</v>
      </c>
      <c r="H78" s="25">
        <f t="shared" si="16"/>
        <v>8.2627531921433324</v>
      </c>
      <c r="I78" s="1"/>
      <c r="J78" s="23">
        <f>+[1]GRUPO!X78</f>
        <v>2.4308893000000178</v>
      </c>
      <c r="K78" s="24">
        <f>+[1]GRUPO!Y78</f>
        <v>2.6222349999999999</v>
      </c>
      <c r="L78" s="25">
        <f t="shared" si="17"/>
        <v>-7.297046222019846</v>
      </c>
      <c r="O78" s="32" t="str">
        <f>+IF($B$3="esp","Latam","Latam")</f>
        <v>Latam</v>
      </c>
      <c r="P78" s="1"/>
      <c r="Q78" s="23">
        <f>+[1]SANTILLANA!T48</f>
        <v>72.20908332143901</v>
      </c>
      <c r="R78" s="24">
        <f>+[1]SANTILLANA!U48</f>
        <v>72.936914296050006</v>
      </c>
      <c r="S78" s="25">
        <f>IF(R78=0,"---",IF(OR(ABS((Q78-R78)/ABS(R78))&gt;2,(Q78*R78)&lt;0),"---",IF(R78="0","---",((Q78-R78)/ABS(R78))*100)))</f>
        <v>-0.99789109758158778</v>
      </c>
      <c r="T78" s="1"/>
      <c r="U78" s="23">
        <f>+[1]SANTILLANA!X48</f>
        <v>13.115229413258859</v>
      </c>
      <c r="V78" s="24">
        <f>+[1]SANTILLANA!Y48</f>
        <v>13.873940348400708</v>
      </c>
      <c r="W78" s="25">
        <f t="shared" si="19"/>
        <v>-5.4686045643068368</v>
      </c>
      <c r="X78" s="57"/>
      <c r="Y78" s="57"/>
      <c r="Z78" s="27" t="str">
        <f>+IF($B$3="esp","Margen EBITDA","EBITDA Margin")</f>
        <v>EBITDA Margin</v>
      </c>
      <c r="AA78" s="28"/>
      <c r="AB78" s="36">
        <f>+AB74/AB69</f>
        <v>-5.6560447582287142E-2</v>
      </c>
      <c r="AC78" s="37">
        <f>+AC74/AC69</f>
        <v>0.21297465471263777</v>
      </c>
      <c r="AD78" s="38"/>
      <c r="AE78" s="28"/>
      <c r="AF78" s="36">
        <f>+AF74/AF69</f>
        <v>-2.3097494339542363E-2</v>
      </c>
      <c r="AG78" s="37">
        <f>+AG74/AG69</f>
        <v>0.221054639259537</v>
      </c>
      <c r="AH78" s="38"/>
      <c r="AI78" s="57"/>
      <c r="AJ78" s="57"/>
      <c r="AK78" s="57"/>
      <c r="AL78" s="57"/>
      <c r="AM78" s="57"/>
      <c r="AN78" s="57"/>
      <c r="AO78" s="57"/>
      <c r="AP78" s="57"/>
      <c r="AQ78" s="57"/>
      <c r="AR78" s="57"/>
      <c r="AS78" s="57"/>
      <c r="AT78" s="57"/>
    </row>
    <row r="79" spans="4:46" s="14" customFormat="1" ht="15" customHeight="1" thickBot="1">
      <c r="D79" s="27" t="str">
        <f>+IF($B$3="esp","Margen EBITDA","EBITDA Margin")</f>
        <v>EBITDA Margin</v>
      </c>
      <c r="E79" s="28"/>
      <c r="F79" s="36">
        <f>+F74/F69</f>
        <v>0.13268577241184243</v>
      </c>
      <c r="G79" s="37">
        <f>+G59</f>
        <v>0.20737030379065394</v>
      </c>
      <c r="H79" s="38"/>
      <c r="I79" s="28"/>
      <c r="J79" s="36">
        <f>+J74/J69</f>
        <v>0.21322047327004118</v>
      </c>
      <c r="K79" s="37">
        <f>+K59</f>
        <v>0.25564705276503896</v>
      </c>
      <c r="L79" s="38"/>
      <c r="O79" s="32" t="str">
        <f>+IF($B$3="esp","Portugal","Portugal")</f>
        <v>Portugal</v>
      </c>
      <c r="P79" s="1"/>
      <c r="Q79" s="23">
        <f>+[1]SANTILLANA!T49</f>
        <v>2.682229</v>
      </c>
      <c r="R79" s="24">
        <f>+[1]SANTILLANA!U49</f>
        <v>2.3895390000000001</v>
      </c>
      <c r="S79" s="25">
        <f t="shared" si="18"/>
        <v>12.248806150475044</v>
      </c>
      <c r="T79" s="1"/>
      <c r="U79" s="23">
        <f>+[1]SANTILLANA!X49</f>
        <v>2.4785509999999999</v>
      </c>
      <c r="V79" s="24">
        <f>+[1]SANTILLANA!Y49</f>
        <v>2.6222349999999999</v>
      </c>
      <c r="W79" s="25">
        <f t="shared" si="19"/>
        <v>-5.4794478755717897</v>
      </c>
      <c r="X79" s="57"/>
      <c r="Y79" s="57"/>
      <c r="AB79" s="15"/>
      <c r="AC79" s="16"/>
      <c r="AD79" s="17"/>
      <c r="AF79" s="15"/>
      <c r="AG79" s="16"/>
      <c r="AH79" s="17"/>
      <c r="AI79" s="50"/>
      <c r="AJ79" s="57"/>
      <c r="AK79" s="57"/>
      <c r="AL79" s="57"/>
      <c r="AM79" s="57"/>
      <c r="AN79" s="57"/>
      <c r="AO79" s="57"/>
      <c r="AP79" s="57"/>
      <c r="AQ79" s="57"/>
      <c r="AR79" s="57"/>
      <c r="AS79" s="57"/>
      <c r="AT79" s="57"/>
    </row>
    <row r="80" spans="4:46" s="14" customFormat="1" ht="15" customHeight="1" thickTop="1">
      <c r="D80" s="14" t="str">
        <f>+IF($B$3="esp","EBIT a tipo constante","EBIT on constant currency")</f>
        <v>EBIT on constant currency</v>
      </c>
      <c r="F80" s="15">
        <f>+[1]GRUPO!T80</f>
        <v>16.950211788337679</v>
      </c>
      <c r="G80" s="16">
        <f>+[1]GRUPO!U80</f>
        <v>100.6309908043863</v>
      </c>
      <c r="H80" s="17">
        <f>IF(G80=0,"---",IF(OR(ABS((F80-G80)/ABS(G80))&gt;2,(F80*G80)&lt;0),"---",IF(G80="0","---",((F80-G80)/ABS(G80))*100)))</f>
        <v>-83.156071849390102</v>
      </c>
      <c r="J80" s="15">
        <f>+[1]GRUPO!X80</f>
        <v>26.886979866176578</v>
      </c>
      <c r="K80" s="16">
        <f>+[1]GRUPO!Y80</f>
        <v>56.932713847507294</v>
      </c>
      <c r="L80" s="17">
        <f>IF(K80=0,"---",IF(OR(ABS((J80-K80)/ABS(K80))&gt;2,(J80*K80)&lt;0),"---",IF(K80="0","---",((J80-K80)/ABS(K80))*100)))</f>
        <v>-52.774111667691429</v>
      </c>
      <c r="O80" s="22" t="str">
        <f>+IF($B$3="esp","Tecnología Educativa global y Centro Corpor.","Global Educational IT &amp; HQ")</f>
        <v>Global Educational IT &amp; HQ</v>
      </c>
      <c r="P80" s="1"/>
      <c r="Q80" s="23">
        <f>+[1]SANTILLANA!T50</f>
        <v>-15.439374640000002</v>
      </c>
      <c r="R80" s="24">
        <f>+[1]SANTILLANA!U50</f>
        <v>-16.156081760000003</v>
      </c>
      <c r="S80" s="25">
        <f t="shared" si="18"/>
        <v>4.4361444231760343</v>
      </c>
      <c r="T80" s="1"/>
      <c r="U80" s="23">
        <f>+[1]SANTILLANA!X50</f>
        <v>-4.9227973000000063</v>
      </c>
      <c r="V80" s="24">
        <f>+[1]SANTILLANA!Y50</f>
        <v>-5.3916263800000035</v>
      </c>
      <c r="W80" s="25">
        <f t="shared" si="19"/>
        <v>8.6955038601913834</v>
      </c>
      <c r="X80" s="57"/>
      <c r="Y80" s="57"/>
      <c r="Z80" s="14" t="str">
        <f>+IF($B$3="esp","EBIT a tipo constante","EBIT on constant currency")</f>
        <v>EBIT on constant currency</v>
      </c>
      <c r="AB80" s="15">
        <f>+[1]RADIO!T48</f>
        <v>-43.2519540018519</v>
      </c>
      <c r="AC80" s="70">
        <f>+[1]RADIO!U48</f>
        <v>28.3653771076156</v>
      </c>
      <c r="AD80" s="34" t="str">
        <f>IF(AC80=0,"---",IF(OR(ABS((AB80-AC80)/ABS(AC80))&gt;2,(AB80*AC80)&lt;0),"---",IF(AC80="0","---",((AB80-AC80)/ABS(AC80))*100)))</f>
        <v>---</v>
      </c>
      <c r="AF80" s="15">
        <f>+[1]RADIO!X48</f>
        <v>-5.5777482656423985</v>
      </c>
      <c r="AG80" s="70">
        <f>+[1]RADIO!Y48</f>
        <v>9.3572877868645996</v>
      </c>
      <c r="AH80" s="34" t="str">
        <f>IF(AG80=0,"---",IF(OR(ABS((AF80-AG80)/ABS(AG80))&gt;2,(AF80*AG80)&lt;0),"---",IF(AG80="0","---",((AF80-AG80)/ABS(AG80))*100)))</f>
        <v>---</v>
      </c>
      <c r="AI80" s="57"/>
      <c r="AJ80" s="57"/>
      <c r="AK80" s="57"/>
      <c r="AL80" s="57"/>
      <c r="AM80" s="57"/>
      <c r="AN80" s="57"/>
      <c r="AO80" s="57"/>
      <c r="AP80" s="57"/>
      <c r="AQ80" s="57"/>
      <c r="AR80" s="57"/>
      <c r="AS80" s="57"/>
      <c r="AT80" s="57"/>
    </row>
    <row r="81" spans="4:47">
      <c r="D81" s="22" t="str">
        <f>+IF($B$3="esp","España","Spain")</f>
        <v>Spain</v>
      </c>
      <c r="F81" s="23">
        <f>+[1]GRUPO!T81</f>
        <v>-9.8018181352865348</v>
      </c>
      <c r="G81" s="24">
        <f>+[1]GRUPO!U81</f>
        <v>47.376240279782486</v>
      </c>
      <c r="H81" s="25" t="str">
        <f>IF(G81=0,"---",IF(OR(ABS((F81-G81)/ABS(G81))&gt;2,(F81*G81)&lt;0),"---",IF(G81="0","---",((F81-G81)/ABS(G81))*100)))</f>
        <v>---</v>
      </c>
      <c r="J81" s="23">
        <f>+[1]GRUPO!X81</f>
        <v>23.167043037471789</v>
      </c>
      <c r="K81" s="24">
        <f>+[1]GRUPO!Y81</f>
        <v>39.267929330793919</v>
      </c>
      <c r="L81" s="25">
        <f>IF(K81=0,"---",IF(OR(ABS((J81-K81)/ABS(K81))&gt;2,(J81*K81)&lt;0),"---",IF(K81="0","---",((J81-K81)/ABS(K81))*100)))</f>
        <v>-41.002636420392584</v>
      </c>
      <c r="O81" s="27" t="str">
        <f>+IF($B$3="esp","Margen EBITDA","EBITDA Margin")</f>
        <v>EBITDA Margin</v>
      </c>
      <c r="P81" s="28"/>
      <c r="Q81" s="36">
        <f>+Q75/Q69</f>
        <v>0.27155967418598675</v>
      </c>
      <c r="R81" s="37">
        <f>+R75/R69</f>
        <v>0.2802097307643272</v>
      </c>
      <c r="S81" s="38"/>
      <c r="T81" s="28"/>
      <c r="U81" s="36">
        <f>+U75/U69</f>
        <v>0.35291884058942491</v>
      </c>
      <c r="V81" s="37">
        <f>+V75/V69</f>
        <v>0.32834608343472954</v>
      </c>
      <c r="W81" s="38"/>
      <c r="X81" s="50"/>
      <c r="Y81" s="50"/>
      <c r="Z81" s="22" t="str">
        <f>+IF($B$3="esp","España","Spain")</f>
        <v>Spain</v>
      </c>
      <c r="AB81" s="23">
        <f>+[1]RADIO!T49</f>
        <v>-10.282283130000017</v>
      </c>
      <c r="AC81" s="24">
        <f>+[1]RADIO!U49</f>
        <v>16.5681210300001</v>
      </c>
      <c r="AD81" s="25" t="str">
        <f>IF(AC81=0,"---",IF(OR(ABS((AB81-AC81)/ABS(AC81))&gt;2,(AB81*AC81)&lt;0),"---",IF(AC81="0","---",((AB81-AC81)/ABS(AC81))*100)))</f>
        <v>---</v>
      </c>
      <c r="AF81" s="23">
        <f>+[1]RADIO!X49</f>
        <v>-2.9252422399999976</v>
      </c>
      <c r="AG81" s="24">
        <f>+[1]RADIO!Y49</f>
        <v>0.67812074000000244</v>
      </c>
      <c r="AH81" s="25" t="str">
        <f>IF(AG81=0,"---",IF(OR(ABS((AF81-AG81)/ABS(AG81))&gt;2,(AF81*AG81)&lt;0),"---",IF(AG81="0","---",((AF81-AG81)/ABS(AG81))*100)))</f>
        <v>---</v>
      </c>
      <c r="AI81" s="57"/>
      <c r="AJ81" s="50"/>
      <c r="AK81" s="50"/>
      <c r="AL81" s="50"/>
      <c r="AM81" s="50"/>
      <c r="AN81" s="50"/>
      <c r="AO81" s="50"/>
      <c r="AP81" s="50"/>
      <c r="AQ81" s="50"/>
      <c r="AR81" s="50"/>
      <c r="AS81" s="50"/>
      <c r="AT81" s="50"/>
    </row>
    <row r="82" spans="4:47">
      <c r="D82" s="22" t="str">
        <f>+IF($B$3="esp","Internacional","International")</f>
        <v>International</v>
      </c>
      <c r="F82" s="23">
        <f>+[1]GRUPO!T82</f>
        <v>26.752029923624214</v>
      </c>
      <c r="G82" s="24">
        <f>+[1]GRUPO!U82</f>
        <v>53.254750524603814</v>
      </c>
      <c r="H82" s="25">
        <f>IF(G82=0,"---",IF(OR(ABS((F82-G82)/ABS(G82))&gt;2,(F82*G82)&lt;0),"---",IF(G82="0","---",((F82-G82)/ABS(G82))*100)))</f>
        <v>-49.765927621302595</v>
      </c>
      <c r="J82" s="23">
        <f>+[1]GRUPO!X82</f>
        <v>3.7199368287047925</v>
      </c>
      <c r="K82" s="24">
        <f>+[1]GRUPO!Y82</f>
        <v>17.664784516713375</v>
      </c>
      <c r="L82" s="25">
        <f>IF(K82=0,"---",IF(OR(ABS((J82-K82)/ABS(K82))&gt;2,(J82*K82)&lt;0),"---",IF(K82="0","---",((J82-K82)/ABS(K82))*100)))</f>
        <v>-78.941510295892897</v>
      </c>
      <c r="O82" s="14" t="str">
        <f>+IF($B$3="esp","EBIT a tipo constante","EBIT on constant currency")</f>
        <v>EBIT on constant currency</v>
      </c>
      <c r="P82" s="14"/>
      <c r="Q82" s="15">
        <f>+[1]SANTILLANA!T52</f>
        <v>73.697890295157663</v>
      </c>
      <c r="R82" s="16">
        <f>+[1]SANTILLANA!U52</f>
        <v>86.389801575300794</v>
      </c>
      <c r="S82" s="17">
        <f t="shared" ref="S82:S87" si="20">IF(R82=0,"---",IF(OR(ABS((Q82-R82)/ABS(R82))&gt;2,(Q82*R82)&lt;0),"---",IF(R82="0","---",((Q82-R82)/ABS(R82))*100)))</f>
        <v>-14.691446268782496</v>
      </c>
      <c r="T82" s="14"/>
      <c r="U82" s="15">
        <f>+[1]SANTILLANA!X52</f>
        <v>40.580928401739513</v>
      </c>
      <c r="V82" s="16">
        <f>+[1]SANTILLANA!Y52</f>
        <v>51.859808965320795</v>
      </c>
      <c r="W82" s="17">
        <f t="shared" ref="W82:W87" si="21">IF(V82=0,"---",IF(OR(ABS((U82-V82)/ABS(V82))&gt;2,(U82*V82)&lt;0),"---",IF(V82="0","---",((U82-V82)/ABS(V82))*100)))</f>
        <v>-21.748789262073043</v>
      </c>
      <c r="X82" s="50"/>
      <c r="Y82" s="50"/>
      <c r="Z82" s="22" t="str">
        <f>+IF($B$3="esp","Latam","Latam")</f>
        <v>Latam</v>
      </c>
      <c r="AB82" s="23">
        <f>+[1]RADIO!T50</f>
        <v>-29.751283301851799</v>
      </c>
      <c r="AC82" s="24">
        <f>+[1]RADIO!U50</f>
        <v>11.9305992076153</v>
      </c>
      <c r="AD82" s="25" t="str">
        <f>IF(AC82=0,"---",IF(OR(ABS((AB82-AC82)/ABS(AC82))&gt;2,(AB82*AC82)&lt;0),"---",IF(AC82="0","---",((AB82-AC82)/ABS(AC82))*100)))</f>
        <v>---</v>
      </c>
      <c r="AF82" s="23">
        <f>+[1]RADIO!X50</f>
        <v>-2.6512439956423997</v>
      </c>
      <c r="AG82" s="24">
        <f>+[1]RADIO!Y50</f>
        <v>8.7011200468644709</v>
      </c>
      <c r="AH82" s="25" t="str">
        <f>IF(AG82=0,"---",IF(OR(ABS((AF82-AG82)/ABS(AG82))&gt;2,(AF82*AG82)&lt;0),"---",IF(AG82="0","---",((AF82-AG82)/ABS(AG82))*100)))</f>
        <v>---</v>
      </c>
      <c r="AI82" s="57"/>
      <c r="AJ82" s="50"/>
      <c r="AK82" s="50"/>
      <c r="AL82" s="50"/>
      <c r="AM82" s="50"/>
      <c r="AN82" s="50"/>
      <c r="AO82" s="50"/>
      <c r="AP82" s="50"/>
      <c r="AQ82" s="50"/>
      <c r="AR82" s="50"/>
      <c r="AS82" s="50"/>
      <c r="AT82" s="50"/>
    </row>
    <row r="83" spans="4:47">
      <c r="D83" s="32" t="str">
        <f>+IF($B$3="esp","Latam","Latam")</f>
        <v>Latam</v>
      </c>
      <c r="F83" s="23">
        <f>+[1]GRUPO!T83</f>
        <v>24.294579213624203</v>
      </c>
      <c r="G83" s="24">
        <f>+[1]GRUPO!U83</f>
        <v>50.919221524603813</v>
      </c>
      <c r="H83" s="25">
        <f>IF(G83=0,"---",IF(OR(ABS((F83-G83)/ABS(G83))&gt;2,(F83*G83)&lt;0),"---",IF(G83="0","---",((F83-G83)/ABS(G83))*100)))</f>
        <v>-52.287999529047724</v>
      </c>
      <c r="J83" s="23">
        <f>+[1]GRUPO!X83</f>
        <v>1.4102905287047669</v>
      </c>
      <c r="K83" s="24">
        <f>+[1]GRUPO!Y83</f>
        <v>15.280095516713367</v>
      </c>
      <c r="L83" s="25">
        <f>IF(K83=0,"---",IF(OR(ABS((J83-K83)/ABS(K83))&gt;2,(J83*K83)&lt;0),"---",IF(K83="0","---",((J83-K83)/ABS(K83))*100)))</f>
        <v>-90.770407638079291</v>
      </c>
      <c r="O83" s="22" t="str">
        <f>+IF($B$3="esp","Negocio España","Spain business")</f>
        <v>Spain business</v>
      </c>
      <c r="Q83" s="23">
        <f>+[1]SANTILLANA!T53</f>
        <v>49.031532230544371</v>
      </c>
      <c r="R83" s="24">
        <f>+[1]SANTILLANA!U53</f>
        <v>61.062417812210342</v>
      </c>
      <c r="S83" s="25">
        <f t="shared" si="20"/>
        <v>-19.702602701821306</v>
      </c>
      <c r="U83" s="23">
        <f>+[1]SANTILLANA!X53</f>
        <v>39.746947944971524</v>
      </c>
      <c r="V83" s="24">
        <f>+[1]SANTILLANA!Y53</f>
        <v>49.528837853221269</v>
      </c>
      <c r="W83" s="25">
        <f t="shared" si="21"/>
        <v>-19.749887807257622</v>
      </c>
      <c r="X83" s="50"/>
      <c r="Y83" s="50"/>
      <c r="Z83" s="22" t="str">
        <f>+IF($B$3="esp","Ajustes y Otros","Adjustments &amp; others")</f>
        <v>Adjustments &amp; others</v>
      </c>
      <c r="AB83" s="23">
        <f>+AB80-AB81-AB82</f>
        <v>-3.2183875700000826</v>
      </c>
      <c r="AC83" s="24">
        <f>+AC80-AC81-AC82</f>
        <v>-0.13334312999979936</v>
      </c>
      <c r="AD83" s="25" t="str">
        <f>IF(AC83=0,"---",IF(OR(ABS((AB83-AC83)/ABS(AC83))&gt;2,(AB83*AC83)&lt;0),"---",IF(AC83="0","---",((AB83-AC83)/ABS(AC83))*100)))</f>
        <v>---</v>
      </c>
      <c r="AF83" s="23">
        <f>+AF80-AF81-AF82</f>
        <v>-1.2620300000012463E-3</v>
      </c>
      <c r="AG83" s="24">
        <f>+AG80-AG81-AG82</f>
        <v>-2.1952999999873768E-2</v>
      </c>
      <c r="AH83" s="25">
        <f>IF(AG83=0,"---",IF(OR(ABS((AF83-AG83)/ABS(AG83))&gt;2,(AF83*AG83)&lt;0),"---",IF(AG83="0","---",((AF83-AG83)/ABS(AG83))*100)))</f>
        <v>94.251218512237486</v>
      </c>
      <c r="AI83" s="57"/>
      <c r="AJ83" s="50"/>
      <c r="AK83" s="50"/>
      <c r="AL83" s="50"/>
      <c r="AM83" s="50"/>
      <c r="AN83" s="50"/>
      <c r="AO83" s="50"/>
      <c r="AP83" s="50"/>
      <c r="AQ83" s="50"/>
      <c r="AR83" s="50"/>
      <c r="AS83" s="50"/>
      <c r="AT83" s="50"/>
    </row>
    <row r="84" spans="4:47">
      <c r="D84" s="32" t="str">
        <f>+IF($B$3="esp","Portugal","Portugal")</f>
        <v>Portugal</v>
      </c>
      <c r="F84" s="23">
        <f>+[1]GRUPO!T84</f>
        <v>2.45745071000001</v>
      </c>
      <c r="G84" s="24">
        <f>+[1]GRUPO!U84</f>
        <v>2.3355290000000002</v>
      </c>
      <c r="H84" s="25">
        <f>IF(G84=0,"---",IF(OR(ABS((F84-G84)/ABS(G84))&gt;2,(F84*G84)&lt;0),"---",IF(G84="0","---",((F84-G84)/ABS(G84))*100)))</f>
        <v>5.2203038369469965</v>
      </c>
      <c r="J84" s="23">
        <f>+[1]GRUPO!X84</f>
        <v>2.3096463000000229</v>
      </c>
      <c r="K84" s="24">
        <f>+[1]GRUPO!Y84</f>
        <v>2.3846890000000003</v>
      </c>
      <c r="L84" s="25">
        <f>IF(K84=0,"---",IF(OR(ABS((J84-K84)/ABS(K84))&gt;2,(J84*K84)&lt;0),"---",IF(K84="0","---",((J84-K84)/ABS(K84))*100)))</f>
        <v>-3.146854789030241</v>
      </c>
      <c r="O84" s="22" t="str">
        <f>+IF($B$3="esp","Negocio Internacional","International business")</f>
        <v>International business</v>
      </c>
      <c r="Q84" s="23">
        <f>+[1]SANTILLANA!T54</f>
        <v>43.501211920444426</v>
      </c>
      <c r="R84" s="24">
        <f>+[1]SANTILLANA!U54</f>
        <v>45.449534995518334</v>
      </c>
      <c r="S84" s="25">
        <f t="shared" si="20"/>
        <v>-4.2867832977081664</v>
      </c>
      <c r="U84" s="23">
        <f>+[1]SANTILLANA!X54</f>
        <v>7.6867746642677517</v>
      </c>
      <c r="V84" s="24">
        <f>+[1]SANTILLANA!Y54</f>
        <v>9.6367580545274123</v>
      </c>
      <c r="W84" s="25">
        <f t="shared" si="21"/>
        <v>-20.234848475245734</v>
      </c>
      <c r="Z84" s="45" t="str">
        <f>+IF($B$3="esp","Margen EBIT","EBIT Margin")</f>
        <v>EBIT Margin</v>
      </c>
      <c r="AA84" s="28"/>
      <c r="AB84" s="46">
        <f>+AB80/AB69</f>
        <v>-0.33917282587218328</v>
      </c>
      <c r="AC84" s="47">
        <f>+AC80/AC69</f>
        <v>0.14444673528570931</v>
      </c>
      <c r="AD84" s="48"/>
      <c r="AE84" s="28"/>
      <c r="AF84" s="46">
        <f>+AF80/AF69</f>
        <v>-0.13043597279089342</v>
      </c>
      <c r="AG84" s="47">
        <f>+AG80/AG69</f>
        <v>0.15123510975045293</v>
      </c>
      <c r="AH84" s="48"/>
      <c r="AI84" s="14"/>
    </row>
    <row r="85" spans="4:47">
      <c r="D85" s="53" t="str">
        <f>+IF($B$3="esp","Margen EBIT","EBIT Margin")</f>
        <v>EBIT Margin</v>
      </c>
      <c r="E85" s="28"/>
      <c r="F85" s="54">
        <f>+F80/F69</f>
        <v>2.5681911490816191E-2</v>
      </c>
      <c r="G85" s="55">
        <f>+G65</f>
        <v>0.12628030301160784</v>
      </c>
      <c r="H85" s="56"/>
      <c r="I85" s="28"/>
      <c r="J85" s="54">
        <f>+J80/J69</f>
        <v>0.11267793319423355</v>
      </c>
      <c r="K85" s="55">
        <f>+K65</f>
        <v>0.18293496293007827</v>
      </c>
      <c r="L85" s="56"/>
      <c r="O85" s="32" t="str">
        <f>+IF($B$3="esp","Latam","Latam")</f>
        <v>Latam</v>
      </c>
      <c r="Q85" s="23">
        <f>+[1]SANTILLANA!T55</f>
        <v>40.948512920444429</v>
      </c>
      <c r="R85" s="24">
        <f>+[1]SANTILLANA!U55</f>
        <v>43.114005995518333</v>
      </c>
      <c r="S85" s="25">
        <f t="shared" si="20"/>
        <v>-5.0227136752242538</v>
      </c>
      <c r="U85" s="23">
        <f>+[1]SANTILLANA!X55</f>
        <v>5.3294666642677555</v>
      </c>
      <c r="V85" s="24">
        <f>+[1]SANTILLANA!Y55</f>
        <v>7.2520690545274107</v>
      </c>
      <c r="W85" s="25">
        <f t="shared" si="21"/>
        <v>-26.511087743426675</v>
      </c>
      <c r="Z85" s="71"/>
      <c r="AA85" s="14"/>
      <c r="AB85" s="72"/>
      <c r="AC85" s="73"/>
      <c r="AD85" s="74"/>
      <c r="AE85" s="14"/>
      <c r="AF85" s="72"/>
      <c r="AG85" s="73"/>
      <c r="AH85" s="74"/>
      <c r="AI85" s="14"/>
    </row>
    <row r="86" spans="4:47">
      <c r="O86" s="32" t="str">
        <f>+IF($B$3="esp","Portugal","Portugal")</f>
        <v>Portugal</v>
      </c>
      <c r="Q86" s="23">
        <f>+[1]SANTILLANA!T56</f>
        <v>2.5526990000000001</v>
      </c>
      <c r="R86" s="24">
        <f>+[1]SANTILLANA!U56</f>
        <v>2.3355290000000002</v>
      </c>
      <c r="S86" s="25">
        <f t="shared" si="20"/>
        <v>9.2985357921053371</v>
      </c>
      <c r="U86" s="23">
        <f>+[1]SANTILLANA!X56</f>
        <v>2.3573080000000002</v>
      </c>
      <c r="V86" s="24">
        <f>+[1]SANTILLANA!Y56</f>
        <v>2.3846890000000003</v>
      </c>
      <c r="W86" s="25">
        <f t="shared" si="21"/>
        <v>-1.1482000378246429</v>
      </c>
      <c r="AI86" s="14"/>
    </row>
    <row r="87" spans="4:47">
      <c r="O87" s="22" t="str">
        <f>+IF($B$3="esp","Tecnología Educativa global y Centro Corpor.","Global Educational IT &amp; HQ")</f>
        <v>Global Educational IT &amp; HQ</v>
      </c>
      <c r="Q87" s="23">
        <f>+[1]SANTILLANA!T57</f>
        <v>-18.834853855831142</v>
      </c>
      <c r="R87" s="24">
        <f>+[1]SANTILLANA!U57</f>
        <v>-20.122151232427886</v>
      </c>
      <c r="S87" s="25">
        <f t="shared" si="20"/>
        <v>6.3974142810446502</v>
      </c>
      <c r="U87" s="23">
        <f>+[1]SANTILLANA!X57</f>
        <v>-6.8527942074997661</v>
      </c>
      <c r="V87" s="24">
        <f>+[1]SANTILLANA!Y57</f>
        <v>-7.3057869424278845</v>
      </c>
      <c r="W87" s="25">
        <f t="shared" si="21"/>
        <v>6.2004646247947974</v>
      </c>
      <c r="AI87" s="14"/>
    </row>
    <row r="88" spans="4:47">
      <c r="O88" s="53" t="str">
        <f>+IF($B$3="esp","Margen EBIT","EBIT Margin")</f>
        <v>EBIT Margin</v>
      </c>
      <c r="P88" s="28"/>
      <c r="Q88" s="54">
        <f>+Q82/Q69</f>
        <v>0.17092037429175616</v>
      </c>
      <c r="R88" s="55">
        <f>+R82/R69</f>
        <v>0.18734124887351589</v>
      </c>
      <c r="S88" s="56"/>
      <c r="T88" s="28"/>
      <c r="U88" s="54">
        <f>+U82/U69</f>
        <v>0.25132867312402496</v>
      </c>
      <c r="V88" s="55">
        <f>+V82/V69</f>
        <v>0.25278170527494781</v>
      </c>
      <c r="W88" s="56"/>
      <c r="AI88" s="14"/>
    </row>
    <row r="89" spans="4:47">
      <c r="Z89" s="14"/>
      <c r="AA89" s="14"/>
      <c r="AB89" s="14"/>
      <c r="AC89" s="14"/>
      <c r="AD89" s="14"/>
      <c r="AE89" s="14"/>
      <c r="AF89" s="14"/>
      <c r="AG89" s="14"/>
      <c r="AH89" s="14"/>
      <c r="AI89" s="14"/>
    </row>
    <row r="90" spans="4:47">
      <c r="Z90" s="14"/>
      <c r="AA90" s="14"/>
      <c r="AB90" s="14"/>
      <c r="AC90" s="14"/>
      <c r="AD90" s="14"/>
      <c r="AE90" s="14"/>
      <c r="AF90" s="14"/>
      <c r="AG90" s="14"/>
      <c r="AH90" s="14"/>
      <c r="AI90" s="14"/>
    </row>
    <row r="91" spans="4:47">
      <c r="D91" s="75"/>
      <c r="E91" s="75"/>
      <c r="F91" s="75"/>
      <c r="G91" s="75"/>
      <c r="H91" s="75"/>
      <c r="I91" s="75"/>
      <c r="J91" s="75"/>
      <c r="K91" s="75"/>
      <c r="L91" s="75"/>
      <c r="M91" s="75"/>
      <c r="N91" s="75"/>
      <c r="O91" s="75"/>
      <c r="P91" s="75"/>
      <c r="Q91" s="75"/>
      <c r="R91" s="75"/>
      <c r="S91" s="75"/>
      <c r="T91" s="75"/>
      <c r="U91" s="75"/>
      <c r="V91" s="75"/>
      <c r="W91" s="75"/>
      <c r="X91" s="75"/>
      <c r="Y91" s="75"/>
      <c r="Z91" s="75"/>
      <c r="AA91" s="75"/>
      <c r="AB91" s="75"/>
      <c r="AC91" s="75"/>
      <c r="AD91" s="75"/>
      <c r="AE91" s="75"/>
      <c r="AF91" s="75"/>
      <c r="AG91" s="75"/>
      <c r="AH91" s="75"/>
      <c r="AI91" s="75"/>
      <c r="AJ91" s="75"/>
      <c r="AK91" s="75"/>
      <c r="AL91" s="75"/>
      <c r="AM91" s="75"/>
      <c r="AN91" s="75"/>
      <c r="AO91" s="75"/>
      <c r="AP91" s="75"/>
      <c r="AQ91" s="75"/>
      <c r="AR91" s="75"/>
      <c r="AS91" s="75"/>
      <c r="AT91" s="75"/>
      <c r="AU91" s="75"/>
    </row>
    <row r="92" spans="4:47">
      <c r="Z92" s="14"/>
      <c r="AA92" s="14"/>
      <c r="AB92" s="14"/>
      <c r="AC92" s="14"/>
      <c r="AD92" s="14"/>
      <c r="AE92" s="14"/>
      <c r="AF92" s="14"/>
      <c r="AG92" s="14"/>
      <c r="AH92" s="14"/>
      <c r="AI92" s="14"/>
    </row>
    <row r="94" spans="4:47">
      <c r="F94" s="63"/>
      <c r="G94" s="63"/>
      <c r="J94" s="63"/>
      <c r="K94" s="63"/>
    </row>
    <row r="95" spans="4:47">
      <c r="D95" s="50"/>
      <c r="F95" s="7" t="str">
        <f>+F6</f>
        <v>JANUARY - SEPTEMBER</v>
      </c>
      <c r="G95" s="8"/>
      <c r="H95" s="8"/>
      <c r="J95" s="7" t="str">
        <f>+J6</f>
        <v>JULY - SEPTEMBER</v>
      </c>
      <c r="K95" s="8"/>
      <c r="L95" s="8"/>
      <c r="M95" s="14"/>
      <c r="O95" s="49"/>
      <c r="P95" s="50"/>
      <c r="Q95" s="51"/>
      <c r="R95" s="51"/>
      <c r="S95" s="51"/>
      <c r="T95" s="50"/>
      <c r="U95" s="51"/>
      <c r="V95" s="51"/>
      <c r="W95" s="51"/>
      <c r="X95" s="50"/>
      <c r="Y95" s="50"/>
      <c r="Z95" s="49"/>
      <c r="AA95" s="50"/>
      <c r="AB95" s="51"/>
      <c r="AC95" s="51"/>
      <c r="AD95" s="51"/>
      <c r="AE95" s="50"/>
      <c r="AF95" s="51"/>
      <c r="AG95" s="51"/>
      <c r="AH95" s="51"/>
      <c r="AI95" s="50"/>
      <c r="AJ95" s="50"/>
      <c r="AK95" s="49"/>
      <c r="AL95" s="50"/>
      <c r="AM95" s="51"/>
      <c r="AN95" s="51"/>
      <c r="AO95" s="51"/>
      <c r="AP95" s="50"/>
      <c r="AQ95" s="51"/>
      <c r="AR95" s="51"/>
      <c r="AS95" s="51"/>
      <c r="AT95" s="50"/>
      <c r="AU95" s="50"/>
    </row>
    <row r="96" spans="4:47" ht="15.75" customHeight="1">
      <c r="O96" s="52"/>
      <c r="P96" s="50"/>
      <c r="Q96" s="50"/>
      <c r="R96" s="50"/>
      <c r="S96" s="50"/>
      <c r="T96" s="50"/>
      <c r="U96" s="50"/>
      <c r="V96" s="50"/>
      <c r="W96" s="50"/>
      <c r="X96" s="50"/>
      <c r="Y96" s="50"/>
      <c r="Z96" s="52"/>
      <c r="AA96" s="50"/>
      <c r="AB96" s="50"/>
      <c r="AC96" s="50"/>
      <c r="AD96" s="50"/>
      <c r="AE96" s="50"/>
      <c r="AF96" s="50"/>
      <c r="AG96" s="50"/>
      <c r="AH96" s="50"/>
      <c r="AI96" s="50"/>
      <c r="AJ96" s="50"/>
      <c r="AK96" s="52"/>
      <c r="AL96" s="50"/>
      <c r="AM96" s="50"/>
      <c r="AN96" s="50"/>
      <c r="AO96" s="50"/>
      <c r="AP96" s="50"/>
      <c r="AQ96" s="50"/>
      <c r="AR96" s="50"/>
      <c r="AS96" s="50"/>
      <c r="AT96" s="50"/>
      <c r="AU96" s="50"/>
    </row>
    <row r="97" spans="4:47" s="14" customFormat="1" ht="15" customHeight="1">
      <c r="D97" s="9" t="str">
        <f>+IF($B$3="esp","Millones de €","€ Millions")</f>
        <v>€ Millions</v>
      </c>
      <c r="E97" s="1"/>
      <c r="F97" s="10">
        <v>2020</v>
      </c>
      <c r="G97" s="10">
        <v>2019</v>
      </c>
      <c r="H97" s="10" t="str">
        <f>+IF($B$3="esp","Var.%","% Chg.")</f>
        <v>% Chg.</v>
      </c>
      <c r="I97" s="1"/>
      <c r="J97" s="10">
        <v>2020</v>
      </c>
      <c r="K97" s="10">
        <v>2019</v>
      </c>
      <c r="L97" s="10" t="str">
        <f>+IF($B$3="esp","Var.%","% Chg.")</f>
        <v>% Chg.</v>
      </c>
      <c r="M97" s="1"/>
      <c r="O97" s="57"/>
      <c r="P97" s="57"/>
      <c r="Q97" s="58"/>
      <c r="R97" s="58"/>
      <c r="S97" s="59"/>
      <c r="T97" s="57"/>
      <c r="U97" s="58"/>
      <c r="V97" s="58"/>
      <c r="W97" s="59"/>
      <c r="X97" s="57"/>
      <c r="Y97" s="57"/>
      <c r="Z97" s="57"/>
      <c r="AA97" s="57"/>
      <c r="AB97" s="58"/>
      <c r="AC97" s="58"/>
      <c r="AD97" s="59"/>
      <c r="AE97" s="57"/>
      <c r="AF97" s="58"/>
      <c r="AG97" s="58"/>
      <c r="AH97" s="59"/>
      <c r="AI97" s="57"/>
      <c r="AJ97" s="57"/>
      <c r="AK97" s="57"/>
      <c r="AL97" s="57"/>
      <c r="AM97" s="58"/>
      <c r="AN97" s="58"/>
      <c r="AO97" s="59"/>
      <c r="AP97" s="57"/>
      <c r="AQ97" s="58"/>
      <c r="AR97" s="58"/>
      <c r="AS97" s="59"/>
      <c r="AT97" s="57"/>
      <c r="AU97" s="57"/>
    </row>
    <row r="98" spans="4:47" ht="15" customHeight="1">
      <c r="D98" s="11" t="str">
        <f>+IF($B$3="esp","Efecto Sentencia Mediapro","Mediapro sentence")</f>
        <v>Mediapro sentence</v>
      </c>
      <c r="F98" s="13"/>
      <c r="G98" s="13"/>
      <c r="H98" s="13"/>
      <c r="J98" s="13"/>
      <c r="K98" s="13"/>
      <c r="L98" s="13"/>
      <c r="O98" s="60"/>
      <c r="P98" s="50"/>
      <c r="Q98" s="61"/>
      <c r="R98" s="61"/>
      <c r="S98" s="62"/>
      <c r="T98" s="50"/>
      <c r="U98" s="61"/>
      <c r="V98" s="61"/>
      <c r="W98" s="62"/>
      <c r="X98" s="50"/>
      <c r="Y98" s="50"/>
      <c r="Z98" s="60"/>
      <c r="AA98" s="50"/>
      <c r="AB98" s="61"/>
      <c r="AC98" s="61"/>
      <c r="AD98" s="62"/>
      <c r="AE98" s="50"/>
      <c r="AF98" s="61"/>
      <c r="AG98" s="61"/>
      <c r="AH98" s="62"/>
      <c r="AI98" s="50"/>
      <c r="AJ98" s="50"/>
      <c r="AK98" s="60"/>
      <c r="AL98" s="50"/>
      <c r="AM98" s="61"/>
      <c r="AN98" s="61"/>
      <c r="AO98" s="62"/>
      <c r="AP98" s="50"/>
      <c r="AQ98" s="61"/>
      <c r="AR98" s="61"/>
      <c r="AS98" s="62"/>
      <c r="AT98" s="50"/>
      <c r="AU98" s="50"/>
    </row>
    <row r="99" spans="4:47" ht="15" customHeight="1">
      <c r="D99" s="14" t="str">
        <f>+IF($B$3="esp","Efecto en Gastos","Effect in Expenses")</f>
        <v>Effect in Expenses</v>
      </c>
      <c r="E99" s="14"/>
      <c r="F99" s="15">
        <f>SUM(F100:F107)</f>
        <v>0</v>
      </c>
      <c r="G99" s="16">
        <f>SUM(G100:G107)</f>
        <v>51.035825500000001</v>
      </c>
      <c r="H99" s="17">
        <f>IF(G99=0,"---",IF(OR(ABS((F99-G99)/ABS(G99))&gt;2,(F99*G99)&lt;0),"---",IF(G99="0","---",((F99-G99)/ABS(G99))*100)))</f>
        <v>-100</v>
      </c>
      <c r="I99" s="14"/>
      <c r="J99" s="15">
        <f>SUM(J100:J107)</f>
        <v>0</v>
      </c>
      <c r="K99" s="16">
        <f>SUM(K100:K107)</f>
        <v>0</v>
      </c>
      <c r="L99" s="17" t="str">
        <f>IF(K99=0,"---",IF(OR(ABS((J99-K99)/ABS(K99))&gt;2,(J99*K99)&lt;0),"---",IF(K99="0","---",((J99-K99)/ABS(K99))*100)))</f>
        <v>---</v>
      </c>
      <c r="O99" s="60"/>
      <c r="P99" s="50"/>
      <c r="Q99" s="61"/>
      <c r="R99" s="61"/>
      <c r="S99" s="62"/>
      <c r="T99" s="50"/>
      <c r="U99" s="61"/>
      <c r="V99" s="61"/>
      <c r="W99" s="62"/>
      <c r="X99" s="50"/>
      <c r="Y99" s="50"/>
      <c r="Z99" s="60"/>
      <c r="AA99" s="50"/>
      <c r="AB99" s="61"/>
      <c r="AC99" s="61"/>
      <c r="AD99" s="62"/>
      <c r="AE99" s="50"/>
      <c r="AF99" s="61"/>
      <c r="AG99" s="61"/>
      <c r="AH99" s="62"/>
      <c r="AI99" s="50"/>
      <c r="AJ99" s="50"/>
      <c r="AK99" s="60"/>
      <c r="AL99" s="50"/>
      <c r="AM99" s="61"/>
      <c r="AN99" s="61"/>
      <c r="AO99" s="62"/>
      <c r="AP99" s="50"/>
      <c r="AQ99" s="61"/>
      <c r="AR99" s="61"/>
      <c r="AS99" s="62"/>
      <c r="AT99" s="50"/>
      <c r="AU99" s="50"/>
    </row>
    <row r="100" spans="4:47" ht="15" customHeight="1">
      <c r="D100" s="22" t="str">
        <f>+IF($A$1="esp","Sentencia Mediapro","Mediapro Rulling")</f>
        <v>Mediapro Rulling</v>
      </c>
      <c r="F100" s="23"/>
      <c r="G100" s="24">
        <f>+[1]GRUPO!U101</f>
        <v>51.035825500000001</v>
      </c>
      <c r="H100" s="25">
        <f>IF(G100=0,"---",IF(OR(ABS((F100-G100)/ABS(G100))&gt;2,(F100*G100)&lt;0),"---",IF(G100="0","---",((F100-G100)/ABS(G100))*100)))</f>
        <v>-100</v>
      </c>
      <c r="J100" s="23"/>
      <c r="K100" s="24">
        <f>+[1]GRUPO!Y101</f>
        <v>0</v>
      </c>
      <c r="L100" s="25" t="str">
        <f>IF(K100=0,"---",IF(OR(ABS((J100-K100)/ABS(K100))&gt;2,(J100*K100)&lt;0),"---",IF(K100="0","---",((J100-K100)/ABS(K100))*100)))</f>
        <v>---</v>
      </c>
      <c r="O100" s="60"/>
      <c r="P100" s="50"/>
      <c r="Q100" s="61"/>
      <c r="R100" s="61"/>
      <c r="S100" s="62"/>
      <c r="T100" s="50"/>
      <c r="U100" s="61"/>
      <c r="V100" s="61"/>
      <c r="W100" s="62"/>
      <c r="X100" s="50"/>
      <c r="Y100" s="50"/>
      <c r="Z100" s="60"/>
      <c r="AA100" s="50"/>
      <c r="AB100" s="61"/>
      <c r="AC100" s="61"/>
      <c r="AD100" s="62"/>
      <c r="AE100" s="50"/>
      <c r="AF100" s="61"/>
      <c r="AG100" s="61"/>
      <c r="AH100" s="62"/>
      <c r="AI100" s="50"/>
      <c r="AJ100" s="50"/>
      <c r="AK100" s="60"/>
      <c r="AL100" s="50"/>
      <c r="AM100" s="61"/>
      <c r="AN100" s="61"/>
      <c r="AO100" s="62"/>
      <c r="AP100" s="50"/>
      <c r="AQ100" s="61"/>
      <c r="AR100" s="61"/>
      <c r="AS100" s="62"/>
      <c r="AT100" s="50"/>
      <c r="AU100" s="50"/>
    </row>
    <row r="101" spans="4:47" ht="15" customHeight="1">
      <c r="D101" s="22"/>
      <c r="F101" s="24"/>
      <c r="G101" s="24"/>
      <c r="H101" s="25"/>
      <c r="J101" s="24"/>
      <c r="K101" s="24"/>
      <c r="L101" s="25"/>
      <c r="O101" s="57"/>
      <c r="P101" s="50"/>
      <c r="Q101" s="58"/>
      <c r="R101" s="58"/>
      <c r="S101" s="59"/>
      <c r="T101" s="50"/>
      <c r="U101" s="58"/>
      <c r="V101" s="58"/>
      <c r="W101" s="59"/>
      <c r="X101" s="50"/>
      <c r="Y101" s="50"/>
      <c r="Z101" s="57"/>
      <c r="AA101" s="50"/>
      <c r="AB101" s="58"/>
      <c r="AC101" s="58"/>
      <c r="AD101" s="59"/>
      <c r="AE101" s="50"/>
      <c r="AF101" s="58"/>
      <c r="AG101" s="58"/>
      <c r="AH101" s="59"/>
      <c r="AI101" s="50"/>
      <c r="AJ101" s="50"/>
      <c r="AK101" s="57"/>
      <c r="AL101" s="50"/>
      <c r="AM101" s="58"/>
      <c r="AN101" s="58"/>
      <c r="AO101" s="59"/>
      <c r="AP101" s="50"/>
      <c r="AQ101" s="58"/>
      <c r="AR101" s="58"/>
      <c r="AS101" s="59"/>
      <c r="AT101" s="50"/>
      <c r="AU101" s="50"/>
    </row>
    <row r="102" spans="4:47" ht="15" customHeight="1">
      <c r="D102" s="22"/>
      <c r="F102" s="24"/>
      <c r="G102" s="24"/>
      <c r="H102" s="25"/>
      <c r="J102" s="24"/>
      <c r="K102" s="24"/>
      <c r="L102" s="25"/>
      <c r="O102" s="60"/>
      <c r="P102" s="50"/>
      <c r="Q102" s="61"/>
      <c r="R102" s="61"/>
      <c r="S102" s="62"/>
      <c r="T102" s="50"/>
      <c r="U102" s="61"/>
      <c r="V102" s="61"/>
      <c r="W102" s="62"/>
      <c r="X102" s="57"/>
      <c r="Y102" s="50"/>
      <c r="Z102" s="60"/>
      <c r="AA102" s="50"/>
      <c r="AB102" s="61"/>
      <c r="AC102" s="61"/>
      <c r="AD102" s="62"/>
      <c r="AE102" s="50"/>
      <c r="AF102" s="61"/>
      <c r="AG102" s="61"/>
      <c r="AH102" s="62"/>
      <c r="AI102" s="50"/>
      <c r="AJ102" s="50"/>
      <c r="AK102" s="60"/>
      <c r="AL102" s="50"/>
      <c r="AM102" s="61"/>
      <c r="AN102" s="61"/>
      <c r="AO102" s="62"/>
      <c r="AP102" s="50"/>
      <c r="AQ102" s="61"/>
      <c r="AR102" s="61"/>
      <c r="AS102" s="62"/>
      <c r="AT102" s="50"/>
      <c r="AU102" s="50"/>
    </row>
    <row r="103" spans="4:47" ht="15" customHeight="1">
      <c r="O103" s="60"/>
      <c r="P103" s="50"/>
      <c r="Q103" s="61"/>
      <c r="R103" s="61"/>
      <c r="S103" s="62"/>
      <c r="T103" s="50"/>
      <c r="U103" s="61"/>
      <c r="V103" s="61"/>
      <c r="W103" s="62"/>
      <c r="X103" s="57"/>
      <c r="Y103" s="50"/>
      <c r="Z103" s="60"/>
      <c r="AA103" s="50"/>
      <c r="AB103" s="61"/>
      <c r="AC103" s="61"/>
      <c r="AD103" s="62"/>
      <c r="AE103" s="50"/>
      <c r="AF103" s="61"/>
      <c r="AG103" s="61"/>
      <c r="AH103" s="62"/>
      <c r="AI103" s="50"/>
      <c r="AJ103" s="50"/>
      <c r="AK103" s="60"/>
      <c r="AL103" s="50"/>
      <c r="AM103" s="61"/>
      <c r="AN103" s="61"/>
      <c r="AO103" s="62"/>
      <c r="AP103" s="50"/>
      <c r="AQ103" s="61"/>
      <c r="AR103" s="61"/>
      <c r="AS103" s="62"/>
      <c r="AT103" s="50"/>
      <c r="AU103" s="50"/>
    </row>
    <row r="104" spans="4:47" ht="15" customHeight="1">
      <c r="O104" s="57"/>
      <c r="P104" s="50"/>
      <c r="Q104" s="58"/>
      <c r="R104" s="58"/>
      <c r="S104" s="59"/>
      <c r="T104" s="50"/>
      <c r="U104" s="58"/>
      <c r="V104" s="58"/>
      <c r="W104" s="59"/>
      <c r="X104" s="57"/>
      <c r="Y104" s="50"/>
      <c r="Z104" s="57"/>
      <c r="AA104" s="50"/>
      <c r="AB104" s="58"/>
      <c r="AC104" s="58"/>
      <c r="AD104" s="59"/>
      <c r="AE104" s="50"/>
      <c r="AF104" s="58"/>
      <c r="AG104" s="58"/>
      <c r="AH104" s="59"/>
      <c r="AI104" s="50"/>
      <c r="AJ104" s="50"/>
      <c r="AK104" s="57"/>
      <c r="AL104" s="50"/>
      <c r="AM104" s="58"/>
      <c r="AN104" s="58"/>
      <c r="AO104" s="59"/>
      <c r="AP104" s="50"/>
      <c r="AQ104" s="58"/>
      <c r="AR104" s="58"/>
      <c r="AS104" s="59"/>
      <c r="AT104" s="50"/>
      <c r="AU104" s="50"/>
    </row>
    <row r="105" spans="4:47" ht="15" customHeight="1">
      <c r="D105" s="22"/>
      <c r="F105" s="24"/>
      <c r="G105" s="24"/>
      <c r="H105" s="25"/>
      <c r="J105" s="24"/>
      <c r="K105" s="24"/>
      <c r="L105" s="25"/>
    </row>
    <row r="106" spans="4:47" ht="15" customHeight="1">
      <c r="D106" s="22"/>
      <c r="F106" s="24"/>
      <c r="G106" s="24"/>
      <c r="H106" s="25"/>
      <c r="J106" s="24"/>
      <c r="K106" s="24"/>
      <c r="L106" s="25"/>
    </row>
    <row r="107" spans="4:47" ht="15" customHeight="1">
      <c r="D107" s="75"/>
      <c r="E107" s="75"/>
      <c r="F107" s="75"/>
      <c r="G107" s="75"/>
      <c r="H107" s="75"/>
      <c r="I107" s="75"/>
      <c r="J107" s="75"/>
      <c r="K107" s="75"/>
      <c r="L107" s="75"/>
      <c r="M107" s="75"/>
      <c r="N107" s="75"/>
      <c r="O107" s="75"/>
      <c r="P107" s="75"/>
      <c r="Q107" s="75"/>
      <c r="R107" s="75"/>
      <c r="S107" s="75"/>
      <c r="T107" s="75"/>
      <c r="U107" s="75"/>
      <c r="V107" s="75"/>
      <c r="W107" s="75"/>
      <c r="X107" s="75"/>
      <c r="Y107" s="75"/>
      <c r="Z107" s="75"/>
      <c r="AA107" s="75"/>
      <c r="AB107" s="75"/>
      <c r="AC107" s="75"/>
      <c r="AD107" s="75"/>
      <c r="AE107" s="75"/>
      <c r="AF107" s="75"/>
      <c r="AG107" s="75"/>
      <c r="AH107" s="75"/>
      <c r="AI107" s="75"/>
      <c r="AJ107" s="75"/>
      <c r="AK107" s="75"/>
      <c r="AL107" s="75"/>
      <c r="AM107" s="75"/>
      <c r="AN107" s="75"/>
      <c r="AO107" s="75"/>
      <c r="AP107" s="75"/>
      <c r="AQ107" s="75"/>
      <c r="AR107" s="75"/>
      <c r="AS107" s="75"/>
      <c r="AT107" s="75"/>
      <c r="AU107" s="75"/>
    </row>
    <row r="108" spans="4:47" ht="15" customHeight="1"/>
    <row r="109" spans="4:47" ht="15" customHeight="1">
      <c r="F109" s="7" t="str">
        <f>+F95</f>
        <v>JANUARY - SEPTEMBER</v>
      </c>
      <c r="G109" s="8"/>
      <c r="H109" s="8"/>
      <c r="J109" s="7" t="str">
        <f>+J95</f>
        <v>JULY - SEPTEMBER</v>
      </c>
      <c r="K109" s="8"/>
      <c r="L109" s="8"/>
      <c r="Q109" s="7" t="str">
        <f>+$Q$6</f>
        <v>JANUARY - SEPTEMBER</v>
      </c>
      <c r="R109" s="8"/>
      <c r="S109" s="8"/>
      <c r="U109" s="7" t="str">
        <f>+$U$6</f>
        <v>JULY - SEPTEMBER</v>
      </c>
      <c r="V109" s="8"/>
      <c r="W109" s="8"/>
    </row>
    <row r="110" spans="4:47" ht="4.5" customHeight="1"/>
    <row r="111" spans="4:47" ht="15" customHeight="1">
      <c r="D111" s="9" t="str">
        <f>+IF($B$3="esp","Millones de €","€ Millions")</f>
        <v>€ Millions</v>
      </c>
      <c r="F111" s="10">
        <v>2020</v>
      </c>
      <c r="G111" s="10">
        <v>2019</v>
      </c>
      <c r="H111" s="10" t="str">
        <f>+IF($B$3="esp","Var.%","% Chg.")</f>
        <v>% Chg.</v>
      </c>
      <c r="J111" s="10">
        <v>2020</v>
      </c>
      <c r="K111" s="10">
        <v>2019</v>
      </c>
      <c r="L111" s="10" t="str">
        <f>+IF($B$3="esp","Var.%","% Chg.")</f>
        <v>% Chg.</v>
      </c>
      <c r="O111" s="9" t="str">
        <f>+IF($B$3="esp","Millones de €","€ Millions")</f>
        <v>€ Millions</v>
      </c>
      <c r="Q111" s="10">
        <v>2020</v>
      </c>
      <c r="R111" s="10">
        <v>2019</v>
      </c>
      <c r="S111" s="10" t="str">
        <f>+IF($B$3="esp","Var.%","% Chg.")</f>
        <v>% Chg.</v>
      </c>
      <c r="U111" s="10">
        <v>2020</v>
      </c>
      <c r="V111" s="10">
        <v>2019</v>
      </c>
      <c r="W111" s="10" t="str">
        <f>+IF($B$3="esp","Var.%","% Chg.")</f>
        <v>% Chg.</v>
      </c>
    </row>
    <row r="112" spans="4:47" ht="15" customHeight="1">
      <c r="D112" s="11" t="str">
        <f>+IF($B$3="esp","Ingresos de Explotación","Operating Revenues")</f>
        <v>Operating Revenues</v>
      </c>
      <c r="F112" s="13"/>
      <c r="G112" s="13"/>
      <c r="H112" s="13"/>
      <c r="J112" s="13"/>
      <c r="K112" s="13"/>
      <c r="L112" s="13"/>
      <c r="O112" s="11" t="str">
        <f>+IF($B$3="esp","Ingresos de Explotación","Operating Revenues")</f>
        <v>Operating Revenues</v>
      </c>
      <c r="Q112" s="13"/>
      <c r="R112" s="13"/>
      <c r="S112" s="13"/>
      <c r="U112" s="13"/>
      <c r="V112" s="13"/>
      <c r="W112" s="13"/>
    </row>
    <row r="113" spans="4:23" ht="15" customHeight="1">
      <c r="D113" s="14" t="str">
        <f>+IF($B$3="esp","GRUPO","GROUP")</f>
        <v>GROUP</v>
      </c>
      <c r="E113" s="14"/>
      <c r="F113" s="15">
        <f>+[1]GRUPO!T121</f>
        <v>615.97988395455809</v>
      </c>
      <c r="G113" s="16">
        <f>+[1]GRUPO!U121</f>
        <v>796.88588326507397</v>
      </c>
      <c r="H113" s="17">
        <f>IF(G113=0,"---",IF(OR(ABS((F113-G113)/ABS(G113))&gt;2,(F113*G113)&lt;0),"---",IF(G113="0","---",((F113-G113)/ABS(G113))*100)))</f>
        <v>-22.701619279449549</v>
      </c>
      <c r="I113" s="14"/>
      <c r="J113" s="15">
        <f>+[1]GRUPO!X121</f>
        <v>223.18482418223908</v>
      </c>
      <c r="K113" s="16">
        <f>+[1]GRUPO!Y121</f>
        <v>311.21833101564198</v>
      </c>
      <c r="L113" s="17">
        <f>IF(K113=0,"---",IF(OR(ABS((J113-K113)/ABS(K113))&gt;2,(J113*K113)&lt;0),"---",IF(K113="0","---",((J113-K113)/ABS(K113))*100)))</f>
        <v>-28.286735728615643</v>
      </c>
      <c r="O113" s="14" t="str">
        <f>+IF($B$3="esp","Total Santillana","Total Santillana")</f>
        <v>Total Santillana</v>
      </c>
      <c r="P113" s="14"/>
      <c r="Q113" s="15">
        <f>+[1]SANTILLANA!T69</f>
        <v>392.343097643124</v>
      </c>
      <c r="R113" s="16">
        <f>+[1]SANTILLANA!U69</f>
        <v>461.13603968567099</v>
      </c>
      <c r="S113" s="17">
        <f>IF(R113=0,"---",IF(OR(ABS((Q113-R113)/ABS(R113))&gt;2,(Q113*R113)&lt;0),"---",IF(R113="0","---",((Q113-R113)/ABS(R113))*100)))</f>
        <v>-14.918144782055867</v>
      </c>
      <c r="T113" s="14"/>
      <c r="U113" s="15">
        <f>+[1]SANTILLANA!X69</f>
        <v>147.79822406324499</v>
      </c>
      <c r="V113" s="16">
        <f>+[1]SANTILLANA!Y69</f>
        <v>205.156496230269</v>
      </c>
      <c r="W113" s="17">
        <f>IF(V113=0,"---",IF(OR(ABS((U113-V113)/ABS(V113))&gt;2,(U113*V113)&lt;0),"---",IF(V113="0","---",((U113-V113)/ABS(V113))*100)))</f>
        <v>-27.958301696985849</v>
      </c>
    </row>
    <row r="114" spans="4:23" s="14" customFormat="1" ht="15" customHeight="1">
      <c r="D114" s="22" t="str">
        <f>+IF($B$3="esp","Educación","Education")</f>
        <v>Education</v>
      </c>
      <c r="E114" s="1"/>
      <c r="F114" s="23">
        <f>+[1]GRUPO!T122</f>
        <v>392.343097643124</v>
      </c>
      <c r="G114" s="24">
        <f>+[1]GRUPO!U122</f>
        <v>461.13603968567099</v>
      </c>
      <c r="H114" s="25">
        <f>IF(G114=0,"---",IF(OR(ABS((F114-G114)/ABS(G114))&gt;2,(F114*G114)&lt;0),"---",IF(G114="0","---",((F114-G114)/ABS(G114))*100)))</f>
        <v>-14.918144782055867</v>
      </c>
      <c r="I114" s="1"/>
      <c r="J114" s="23">
        <f>+[1]GRUPO!X122</f>
        <v>147.79822406324499</v>
      </c>
      <c r="K114" s="24">
        <f>+[1]GRUPO!Y122</f>
        <v>205.156496230269</v>
      </c>
      <c r="L114" s="25">
        <f>IF(K114=0,"---",IF(OR(ABS((J114-K114)/ABS(K114))&gt;2,(J114*K114)&lt;0),"---",IF(K114="0","---",((J114-K114)/ABS(K114))*100)))</f>
        <v>-27.958301696985849</v>
      </c>
      <c r="O114" s="22" t="str">
        <f>+IF($B$3="esp","Campaña Sur","South Campaign")</f>
        <v>South Campaign</v>
      </c>
      <c r="P114" s="1"/>
      <c r="Q114" s="23">
        <f>+[1]SANTILLANA!T70</f>
        <v>190.16829048387328</v>
      </c>
      <c r="R114" s="24">
        <f>+[1]SANTILLANA!U70</f>
        <v>184.22594586392043</v>
      </c>
      <c r="S114" s="25">
        <f>IF(R114=0,"---",IF(OR(ABS((Q114-R114)/ABS(R114))&gt;2,(Q114*R114)&lt;0),"---",IF(R114="0","---",((Q114-R114)/ABS(R114))*100)))</f>
        <v>3.2255742219623045</v>
      </c>
      <c r="T114" s="1"/>
      <c r="U114" s="23">
        <f>+[1]SANTILLANA!X70</f>
        <v>25.816872447266462</v>
      </c>
      <c r="V114" s="24">
        <f>+[1]SANTILLANA!Y70</f>
        <v>22.968733651956057</v>
      </c>
      <c r="W114" s="25">
        <f>IF(V114=0,"---",IF(OR(ABS((U114-V114)/ABS(V114))&gt;2,(U114*V114)&lt;0),"---",IF(V114="0","---",((U114-V114)/ABS(V114))*100)))</f>
        <v>12.400068886983902</v>
      </c>
    </row>
    <row r="115" spans="4:23" ht="15" customHeight="1">
      <c r="D115" s="22" t="str">
        <f>+IF($B$3="esp","Radio","Radio")</f>
        <v>Radio</v>
      </c>
      <c r="F115" s="23">
        <f>+[1]GRUPO!T123</f>
        <v>122.46076654436101</v>
      </c>
      <c r="G115" s="24">
        <f>+[1]GRUPO!U123</f>
        <v>196.37257326384102</v>
      </c>
      <c r="H115" s="25">
        <f>IF(G115=0,"---",IF(OR(ABS((F115-G115)/ABS(G115))&gt;2,(F115*G115)&lt;0),"---",IF(G115="0","---",((F115-G115)/ABS(G115))*100)))</f>
        <v>-37.638558934690977</v>
      </c>
      <c r="J115" s="23">
        <f>+[1]GRUPO!X123</f>
        <v>41.0517472864029</v>
      </c>
      <c r="K115" s="24">
        <f>+[1]GRUPO!Y123</f>
        <v>61.872456748335026</v>
      </c>
      <c r="L115" s="25">
        <f>IF(K115=0,"---",IF(OR(ABS((J115-K115)/ABS(K115))&gt;2,(J115*K115)&lt;0),"---",IF(K115="0","---",((J115-K115)/ABS(K115))*100)))</f>
        <v>-33.651014613206556</v>
      </c>
      <c r="O115" s="32" t="str">
        <f>+IF($B$3="esp","Brasil","Brazil")</f>
        <v>Brazil</v>
      </c>
      <c r="Q115" s="23">
        <f>+[1]SANTILLANA!T71</f>
        <v>96.010169379587055</v>
      </c>
      <c r="R115" s="24">
        <f>+[1]SANTILLANA!U71</f>
        <v>70.919458418775093</v>
      </c>
      <c r="S115" s="25">
        <f t="shared" ref="S115:S121" si="22">IF(R115=0,"---",IF(OR(ABS((Q115-R115)/ABS(R115))&gt;2,(Q115*R115)&lt;0),"---",IF(R115="0","---",((Q115-R115)/ABS(R115))*100)))</f>
        <v>35.379163237052431</v>
      </c>
      <c r="U115" s="23">
        <f>+[1]SANTILLANA!X71</f>
        <v>25.627748627763737</v>
      </c>
      <c r="V115" s="24">
        <f>+[1]SANTILLANA!Y71</f>
        <v>15.201062274817104</v>
      </c>
      <c r="W115" s="25">
        <f t="shared" ref="W115:W121" si="23">IF(V115=0,"---",IF(OR(ABS((U115-V115)/ABS(V115))&gt;2,(U115*V115)&lt;0),"---",IF(V115="0","---",((U115-V115)/ABS(V115))*100)))</f>
        <v>68.591827100268119</v>
      </c>
    </row>
    <row r="116" spans="4:23" ht="15" customHeight="1">
      <c r="D116" s="22" t="str">
        <f>+IF($B$3="esp","Prensa Total - incluye PBS y Tecnología","Press Total - includes PBS&amp;IT")</f>
        <v>Press Total - includes PBS&amp;IT</v>
      </c>
      <c r="F116" s="23">
        <f>+[1]GRUPO!T124</f>
        <v>113.457293515239</v>
      </c>
      <c r="G116" s="24">
        <f>+[1]GRUPO!U124</f>
        <v>152.93424918526998</v>
      </c>
      <c r="H116" s="25">
        <f>IF(G116=0,"---",IF(OR(ABS((F116-G116)/ABS(G116))&gt;2,(F116*G116)&lt;0),"---",IF(G116="0","---",((F116-G116)/ABS(G116))*100)))</f>
        <v>-25.813024800093793</v>
      </c>
      <c r="J116" s="23">
        <f>+[1]GRUPO!X124</f>
        <v>37.877398768810991</v>
      </c>
      <c r="K116" s="24">
        <f>+[1]GRUPO!Y124</f>
        <v>48.402927849129981</v>
      </c>
      <c r="L116" s="25">
        <f>IF(K116=0,"---",IF(OR(ABS((J116-K116)/ABS(K116))&gt;2,(J116*K116)&lt;0),"---",IF(K116="0","---",((J116-K116)/ABS(K116))*100)))</f>
        <v>-21.745645455842357</v>
      </c>
      <c r="O116" s="32" t="str">
        <f>+IF($B$3="esp","Otros países","Other countries")</f>
        <v>Other countries</v>
      </c>
      <c r="Q116" s="23">
        <f>+[1]SANTILLANA!T72</f>
        <v>94.158121104286224</v>
      </c>
      <c r="R116" s="24">
        <f>+[1]SANTILLANA!U72</f>
        <v>113.30648744514534</v>
      </c>
      <c r="S116" s="25">
        <f t="shared" si="22"/>
        <v>-16.899620465358918</v>
      </c>
      <c r="U116" s="23">
        <f>+[1]SANTILLANA!X72</f>
        <v>0.18912381950272561</v>
      </c>
      <c r="V116" s="24">
        <f>+[1]SANTILLANA!Y72</f>
        <v>7.7676713771389529</v>
      </c>
      <c r="W116" s="25">
        <f t="shared" si="23"/>
        <v>-97.565244327156577</v>
      </c>
    </row>
    <row r="117" spans="4:23" s="14" customFormat="1" ht="15" customHeight="1">
      <c r="D117" s="22" t="str">
        <f>+IF($B$3="esp","Otros","Others")</f>
        <v>Others</v>
      </c>
      <c r="E117" s="1"/>
      <c r="F117" s="23">
        <f>+[1]GRUPO!T125</f>
        <v>-12.281273748165916</v>
      </c>
      <c r="G117" s="24">
        <f>+[1]GRUPO!U125</f>
        <v>-13.556978869708018</v>
      </c>
      <c r="H117" s="25">
        <f>IF(G117=0,"---",IF(OR(ABS((F117-G117)/ABS(G117))&gt;2,(F117*G117)&lt;0),"---",IF(G117="0","---",((F117-G117)/ABS(G117))*100)))</f>
        <v>9.4099513896312388</v>
      </c>
      <c r="I117" s="1"/>
      <c r="J117" s="23">
        <f>+[1]GRUPO!X125</f>
        <v>-3.5425459362197955</v>
      </c>
      <c r="K117" s="24">
        <f>+[1]GRUPO!Y125</f>
        <v>-4.2135498120920261</v>
      </c>
      <c r="L117" s="25">
        <f>IF(K117=0,"---",IF(OR(ABS((J117-K117)/ABS(K117))&gt;2,(J117*K117)&lt;0),"---",IF(K117="0","---",((J117-K117)/ABS(K117))*100)))</f>
        <v>15.924906689048429</v>
      </c>
      <c r="M117" s="1"/>
      <c r="O117" s="22" t="str">
        <f>+IF($B$3="esp","Campaña Norte","North Campaign")</f>
        <v>North Campaign</v>
      </c>
      <c r="P117" s="1"/>
      <c r="Q117" s="23">
        <f>+[1]SANTILLANA!T73</f>
        <v>200.73638114167895</v>
      </c>
      <c r="R117" s="24">
        <f>+[1]SANTILLANA!U73</f>
        <v>275.34365186664047</v>
      </c>
      <c r="S117" s="25">
        <f t="shared" si="22"/>
        <v>-27.096056226165221</v>
      </c>
      <c r="T117" s="1"/>
      <c r="U117" s="23">
        <f>+[1]SANTILLANA!X73</f>
        <v>121.29595228925452</v>
      </c>
      <c r="V117" s="24">
        <f>+[1]SANTILLANA!Y73</f>
        <v>181.86114414649464</v>
      </c>
      <c r="W117" s="25">
        <f t="shared" si="23"/>
        <v>-33.302986265418539</v>
      </c>
    </row>
    <row r="118" spans="4:23" ht="15" customHeight="1">
      <c r="D118" s="22"/>
      <c r="F118" s="24"/>
      <c r="G118" s="24"/>
      <c r="H118" s="25"/>
      <c r="J118" s="24"/>
      <c r="K118" s="24"/>
      <c r="L118" s="25"/>
      <c r="O118" s="32" t="str">
        <f>+IF($B$3="esp","España","Spain")</f>
        <v>Spain</v>
      </c>
      <c r="Q118" s="23">
        <f>+[1]SANTILLANA!T74</f>
        <v>121.46594248999999</v>
      </c>
      <c r="R118" s="24">
        <f>+[1]SANTILLANA!U74</f>
        <v>147.94980382999998</v>
      </c>
      <c r="S118" s="25">
        <f t="shared" si="22"/>
        <v>-17.900572122711946</v>
      </c>
      <c r="U118" s="23">
        <f>+[1]SANTILLANA!X74</f>
        <v>81.721259279999998</v>
      </c>
      <c r="V118" s="24">
        <f>+[1]SANTILLANA!Y74</f>
        <v>102.58703253999997</v>
      </c>
      <c r="W118" s="25">
        <f t="shared" si="23"/>
        <v>-20.339581663856144</v>
      </c>
    </row>
    <row r="119" spans="4:23" ht="15" customHeight="1">
      <c r="F119" s="7" t="str">
        <f>+F109</f>
        <v>JANUARY - SEPTEMBER</v>
      </c>
      <c r="G119" s="8"/>
      <c r="H119" s="8"/>
      <c r="J119" s="7" t="str">
        <f>+J109</f>
        <v>JULY - SEPTEMBER</v>
      </c>
      <c r="K119" s="8"/>
      <c r="L119" s="8"/>
      <c r="O119" s="32" t="str">
        <f>+IF($B$3="esp","México","Mexico")</f>
        <v>Mexico</v>
      </c>
      <c r="Q119" s="23">
        <f>+[1]SANTILLANA!T75</f>
        <v>59.634379330763828</v>
      </c>
      <c r="R119" s="24">
        <f>+[1]SANTILLANA!U75</f>
        <v>85.14676465792931</v>
      </c>
      <c r="S119" s="25">
        <f t="shared" si="22"/>
        <v>-29.962835851320435</v>
      </c>
      <c r="U119" s="23">
        <f>+[1]SANTILLANA!X75</f>
        <v>29.99511577561363</v>
      </c>
      <c r="V119" s="24">
        <f>+[1]SANTILLANA!Y75</f>
        <v>53.674146661236563</v>
      </c>
      <c r="W119" s="25">
        <f t="shared" si="23"/>
        <v>-44.116268927520586</v>
      </c>
    </row>
    <row r="120" spans="4:23" ht="15" customHeight="1">
      <c r="M120" s="14"/>
      <c r="O120" s="32" t="str">
        <f>+IF($B$3="esp","Otros países","Other countries")</f>
        <v>Other countries</v>
      </c>
      <c r="Q120" s="23">
        <f>+[1]SANTILLANA!T76</f>
        <v>19.63605932091513</v>
      </c>
      <c r="R120" s="24">
        <f>+[1]SANTILLANA!U76</f>
        <v>42.247083378711181</v>
      </c>
      <c r="S120" s="25">
        <f t="shared" si="22"/>
        <v>-53.520911384831884</v>
      </c>
      <c r="U120" s="23">
        <f>+[1]SANTILLANA!X76</f>
        <v>9.5795772336408938</v>
      </c>
      <c r="V120" s="24">
        <f>+[1]SANTILLANA!Y76</f>
        <v>25.599964945258101</v>
      </c>
      <c r="W120" s="25">
        <f t="shared" si="23"/>
        <v>-62.579725190540444</v>
      </c>
    </row>
    <row r="121" spans="4:23" s="14" customFormat="1" ht="17.25" customHeight="1">
      <c r="D121" s="9" t="str">
        <f>+IF($B$3="esp","Millones de €","€ Millions")</f>
        <v>€ Millions</v>
      </c>
      <c r="E121" s="1"/>
      <c r="F121" s="10">
        <v>2020</v>
      </c>
      <c r="G121" s="10">
        <v>2019</v>
      </c>
      <c r="H121" s="10" t="str">
        <f>+IF($B$3="esp","Var.%","% Chg.")</f>
        <v>% Chg.</v>
      </c>
      <c r="I121" s="1"/>
      <c r="J121" s="10">
        <v>2020</v>
      </c>
      <c r="K121" s="10">
        <v>2019</v>
      </c>
      <c r="L121" s="10" t="str">
        <f>+IF($B$3="esp","Var.%","% Chg.")</f>
        <v>% Chg.</v>
      </c>
      <c r="M121" s="1"/>
      <c r="O121" s="22" t="str">
        <f>+IF($B$3="esp","Tecnología Educativa global y Centro Corpor.","Global Educational IT &amp; HQ")</f>
        <v>Global Educational IT &amp; HQ</v>
      </c>
      <c r="P121" s="1"/>
      <c r="Q121" s="23">
        <f>+[1]SANTILLANA!T77</f>
        <v>1.4372398000000002</v>
      </c>
      <c r="R121" s="24">
        <f>+[1]SANTILLANA!U77</f>
        <v>1.5630849800000013</v>
      </c>
      <c r="S121" s="25">
        <f t="shared" si="22"/>
        <v>-8.0510772997128424</v>
      </c>
      <c r="T121" s="1"/>
      <c r="U121" s="23">
        <f>+[1]SANTILLANA!X77</f>
        <v>0.68050747999999983</v>
      </c>
      <c r="V121" s="24">
        <f>+[1]SANTILLANA!Y77</f>
        <v>0.32482901000000108</v>
      </c>
      <c r="W121" s="25">
        <f t="shared" si="23"/>
        <v>109.4971382020336</v>
      </c>
    </row>
    <row r="122" spans="4:23" ht="15" customHeight="1">
      <c r="D122" s="11" t="str">
        <f>+IF($B$3="esp","EBITDA Comparable","Comparable EBITDA")</f>
        <v>Comparable EBITDA</v>
      </c>
      <c r="F122" s="13"/>
      <c r="G122" s="13"/>
      <c r="H122" s="13"/>
      <c r="J122" s="13"/>
      <c r="K122" s="13"/>
      <c r="L122" s="13"/>
      <c r="O122" s="22"/>
      <c r="Q122" s="24"/>
      <c r="R122" s="24"/>
      <c r="S122" s="25"/>
      <c r="U122" s="24"/>
      <c r="V122" s="24"/>
      <c r="W122" s="25"/>
    </row>
    <row r="123" spans="4:23" ht="15" customHeight="1">
      <c r="D123" s="14" t="str">
        <f>+IF($B$3="esp","GRUPO","GROUP")</f>
        <v>GROUP</v>
      </c>
      <c r="E123" s="14"/>
      <c r="F123" s="15">
        <f>+[1]GRUPO!T133</f>
        <v>82.127006075945104</v>
      </c>
      <c r="G123" s="16">
        <f>+[1]GRUPO!U133</f>
        <v>165.25046769916199</v>
      </c>
      <c r="H123" s="17">
        <f>IF(G123=0,"---",IF(OR(ABS((F123-G123)/ABS(G123))&gt;2,(F123*G123)&lt;0),"---",IF(G123="0","---",((F123-G123)/ABS(G123))*100)))</f>
        <v>-50.301498555842464</v>
      </c>
      <c r="I123" s="14"/>
      <c r="J123" s="15">
        <f>+[1]GRUPO!X133</f>
        <v>50.022120379630707</v>
      </c>
      <c r="K123" s="16">
        <f>+[1]GRUPO!Y133</f>
        <v>79.562049090603182</v>
      </c>
      <c r="L123" s="17">
        <f>IF(K123=0,"---",IF(OR(ABS((J123-K123)/ABS(K123))&gt;2,(J123*K123)&lt;0),"---",IF(K123="0","---",((J123-K123)/ABS(K123))*100)))</f>
        <v>-37.128164807989265</v>
      </c>
      <c r="Q123" s="7" t="str">
        <f>+$Q$6</f>
        <v>JANUARY - SEPTEMBER</v>
      </c>
      <c r="R123" s="8"/>
      <c r="S123" s="8"/>
      <c r="U123" s="7" t="str">
        <f>+$U$6</f>
        <v>JULY - SEPTEMBER</v>
      </c>
      <c r="V123" s="8"/>
      <c r="W123" s="8"/>
    </row>
    <row r="124" spans="4:23" ht="15" customHeight="1">
      <c r="D124" s="22" t="str">
        <f>+IF($B$3="esp","Educación","Education")</f>
        <v>Education</v>
      </c>
      <c r="F124" s="23">
        <f>+[1]GRUPO!T134</f>
        <v>110.092546489529</v>
      </c>
      <c r="G124" s="24">
        <f>+[1]GRUPO!U134</f>
        <v>129.21480552604999</v>
      </c>
      <c r="H124" s="25">
        <f>IF(G124=0,"---",IF(OR(ABS((F124-G124)/ABS(G124))&gt;2,(F124*G124)&lt;0),"---",IF(G124="0","---",((F124-G124)/ABS(G124))*100)))</f>
        <v>-14.79881423701551</v>
      </c>
      <c r="J124" s="23">
        <f>+[1]GRUPO!X134</f>
        <v>55.547327172106996</v>
      </c>
      <c r="K124" s="24">
        <f>+[1]GRUPO!Y134</f>
        <v>67.362332028400687</v>
      </c>
      <c r="L124" s="25">
        <f>IF(K124=0,"---",IF(OR(ABS((J124-K124)/ABS(K124))&gt;2,(J124*K124)&lt;0),"---",IF(K124="0","---",((J124-K124)/ABS(K124))*100)))</f>
        <v>-17.539483121386528</v>
      </c>
      <c r="M124" s="14"/>
    </row>
    <row r="125" spans="4:23" ht="15" customHeight="1">
      <c r="D125" s="22" t="str">
        <f>+IF($B$3="esp","Radio","Radio")</f>
        <v>Radio</v>
      </c>
      <c r="F125" s="23">
        <f>+[1]GRUPO!T135</f>
        <v>-6.2032962586861302</v>
      </c>
      <c r="G125" s="24">
        <f>+[1]GRUPO!U135</f>
        <v>41.822380985898704</v>
      </c>
      <c r="H125" s="25" t="str">
        <f>IF(G125=0,"---",IF(OR(ABS((F125-G125)/ABS(G125))&gt;2,(F125*G125)&lt;0),"---",IF(G125="0","---",((F125-G125)/ABS(G125))*100)))</f>
        <v>---</v>
      </c>
      <c r="J125" s="23">
        <f>+[1]GRUPO!X135</f>
        <v>-1.0205478146595306</v>
      </c>
      <c r="K125" s="24">
        <f>+[1]GRUPO!Y135</f>
        <v>13.677193606604504</v>
      </c>
      <c r="L125" s="25" t="str">
        <f>IF(K125=0,"---",IF(OR(ABS((J125-K125)/ABS(K125))&gt;2,(J125*K125)&lt;0),"---",IF(K125="0","---",((J125-K125)/ABS(K125))*100)))</f>
        <v>---</v>
      </c>
      <c r="O125" s="9"/>
      <c r="Q125" s="10">
        <v>2020</v>
      </c>
      <c r="R125" s="10">
        <v>2019</v>
      </c>
      <c r="S125" s="10" t="str">
        <f>+IF($B$3="esp","Var.%","% Chg.")</f>
        <v>% Chg.</v>
      </c>
      <c r="U125" s="10">
        <v>2020</v>
      </c>
      <c r="V125" s="10">
        <v>2019</v>
      </c>
      <c r="W125" s="10" t="str">
        <f>+IF($B$3="esp","Var.%","% Chg.")</f>
        <v>% Chg.</v>
      </c>
    </row>
    <row r="126" spans="4:23" ht="15" customHeight="1">
      <c r="D126" s="22" t="str">
        <f>+IF($B$3="esp","Prensa Total - incluye PBS y Tecnología","Press Total - includes PBS&amp;IT")</f>
        <v>Press Total - includes PBS&amp;IT</v>
      </c>
      <c r="F126" s="23">
        <f>+[1]GRUPO!T136</f>
        <v>-16.9812513748982</v>
      </c>
      <c r="G126" s="24">
        <f>+[1]GRUPO!U136</f>
        <v>1.1243398419538499</v>
      </c>
      <c r="H126" s="25" t="str">
        <f>IF(G126=0,"---",IF(OR(ABS((F126-G126)/ABS(G126))&gt;2,(F126*G126)&lt;0),"---",IF(G126="0","---",((F126-G126)/ABS(G126))*100)))</f>
        <v>---</v>
      </c>
      <c r="J126" s="23">
        <f>+[1]GRUPO!X136</f>
        <v>-3.3421918078174997</v>
      </c>
      <c r="K126" s="24">
        <f>+[1]GRUPO!Y136</f>
        <v>-0.52044125079057002</v>
      </c>
      <c r="L126" s="25" t="str">
        <f>IF(K126=0,"---",IF(OR(ABS((J126-K126)/ABS(K126))&gt;2,(J126*K126)&lt;0),"---",IF(K126="0","---",((J126-K126)/ABS(K126))*100)))</f>
        <v>---</v>
      </c>
      <c r="O126" s="11" t="str">
        <f>+IF($B$3="esp","Ingresos de Explotación a tipo constante","Operating Revenues at constant currency")</f>
        <v>Operating Revenues at constant currency</v>
      </c>
      <c r="Q126" s="13"/>
      <c r="R126" s="13"/>
      <c r="S126" s="13"/>
      <c r="U126" s="13"/>
      <c r="V126" s="13"/>
      <c r="W126" s="13"/>
    </row>
    <row r="127" spans="4:23" ht="15" customHeight="1">
      <c r="D127" s="22" t="str">
        <f>+IF($B$3="esp","Otros","Others")</f>
        <v>Others</v>
      </c>
      <c r="F127" s="23">
        <f>+[1]GRUPO!T137</f>
        <v>-4.7809927799995648</v>
      </c>
      <c r="G127" s="24">
        <f>+[1]GRUPO!U137</f>
        <v>-6.9110586547405521</v>
      </c>
      <c r="H127" s="25">
        <f>IF(G127=0,"---",IF(OR(ABS((F127-G127)/ABS(G127))&gt;2,(F127*G127)&lt;0),"---",IF(G127="0","---",((F127-G127)/ABS(G127))*100)))</f>
        <v>30.821122799759426</v>
      </c>
      <c r="J127" s="23">
        <f>+[1]GRUPO!X137</f>
        <v>-1.1624671699992604</v>
      </c>
      <c r="K127" s="24">
        <f>+[1]GRUPO!Y137</f>
        <v>-0.95703529361143858</v>
      </c>
      <c r="L127" s="25">
        <f>IF(K127=0,"---",IF(OR(ABS((J127-K127)/ABS(K127))&gt;2,(J127*K127)&lt;0),"---",IF(K127="0","---",((J127-K127)/ABS(K127))*100)))</f>
        <v>-21.465444143926028</v>
      </c>
      <c r="O127" s="14" t="str">
        <f>+IF($B$3="esp","Total Santillana","Total Santillana")</f>
        <v>Total Santillana</v>
      </c>
      <c r="P127" s="14"/>
      <c r="Q127" s="15">
        <f>+[1]SANTILLANA!T83</f>
        <v>431.18259365239561</v>
      </c>
      <c r="R127" s="16">
        <f>+[1]SANTILLANA!U83</f>
        <v>461.13603968567099</v>
      </c>
      <c r="S127" s="17">
        <f>IF(R127=0,"---",IF(OR(ABS((Q127-R127)/ABS(R127))&gt;2,(Q127*R127)&lt;0),"---",IF(R127="0","---",((Q127-R127)/ABS(R127))*100)))</f>
        <v>-6.495576891733049</v>
      </c>
      <c r="T127" s="14"/>
      <c r="U127" s="15">
        <f>+[1]SANTILLANA!X83</f>
        <v>161.46557373385627</v>
      </c>
      <c r="V127" s="16">
        <f>+[1]SANTILLANA!Y83</f>
        <v>205.156496230269</v>
      </c>
      <c r="W127" s="17">
        <f>IF(V127=0,"---",IF(OR(ABS((U127-V127)/ABS(V127))&gt;2,(U127*V127)&lt;0),"---",IF(V127="0","---",((U127-V127)/ABS(V127))*100)))</f>
        <v>-21.296387537918246</v>
      </c>
    </row>
    <row r="128" spans="4:23" s="14" customFormat="1" ht="15" customHeight="1">
      <c r="M128" s="1"/>
      <c r="O128" s="22" t="str">
        <f>+IF($B$3="esp","Campaña Sur","South Campaign")</f>
        <v>South Campaign</v>
      </c>
      <c r="P128" s="1"/>
      <c r="Q128" s="23">
        <f>+[1]SANTILLANA!T84</f>
        <v>218.97028900185063</v>
      </c>
      <c r="R128" s="24">
        <f>+[1]SANTILLANA!U84</f>
        <v>184.22594586392043</v>
      </c>
      <c r="S128" s="25">
        <f>IF(R128=0,"---",IF(OR(ABS((Q128-R128)/ABS(R128))&gt;2,(Q128*R128)&lt;0),"---",IF(R128="0","---",((Q128-R128)/ABS(R128))*100)))</f>
        <v>18.859636179365481</v>
      </c>
      <c r="T128" s="1"/>
      <c r="U128" s="23">
        <f>+[1]SANTILLANA!X84</f>
        <v>33.171334295857065</v>
      </c>
      <c r="V128" s="24">
        <f>+[1]SANTILLANA!Y84</f>
        <v>22.968733651956057</v>
      </c>
      <c r="W128" s="25">
        <f>IF(V128=0,"---",IF(OR(ABS((U128-V128)/ABS(V128))&gt;2,(U128*V128)&lt;0),"---",IF(V128="0","---",((U128-V128)/ABS(V128))*100)))</f>
        <v>44.419517412237205</v>
      </c>
    </row>
    <row r="129" spans="13:23" ht="15" customHeight="1">
      <c r="O129" s="32" t="str">
        <f>+IF($B$3="esp","Brasil","Brazil")</f>
        <v>Brazil</v>
      </c>
      <c r="Q129" s="23">
        <f>+[1]SANTILLANA!T85</f>
        <v>114.71444704184998</v>
      </c>
      <c r="R129" s="24">
        <f>+[1]SANTILLANA!U85</f>
        <v>70.919458418775093</v>
      </c>
      <c r="S129" s="25">
        <f t="shared" ref="S129:S135" si="24">IF(R129=0,"---",IF(OR(ABS((Q129-R129)/ABS(R129))&gt;2,(Q129*R129)&lt;0),"---",IF(R129="0","---",((Q129-R129)/ABS(R129))*100)))</f>
        <v>61.753134611474522</v>
      </c>
      <c r="U129" s="23">
        <f>+[1]SANTILLANA!X85</f>
        <v>37.043994606492078</v>
      </c>
      <c r="V129" s="24">
        <f>+[1]SANTILLANA!Y85</f>
        <v>15.201062274817104</v>
      </c>
      <c r="W129" s="25">
        <f t="shared" ref="W129:W135" si="25">IF(V129=0,"---",IF(OR(ABS((U129-V129)/ABS(V129))&gt;2,(U129*V129)&lt;0),"---",IF(V129="0","---",((U129-V129)/ABS(V129))*100)))</f>
        <v>143.69345994892177</v>
      </c>
    </row>
    <row r="130" spans="13:23" s="14" customFormat="1" ht="15" customHeight="1">
      <c r="M130" s="1"/>
      <c r="O130" s="32" t="str">
        <f>+IF($B$3="esp","Otros países","Other countries")</f>
        <v>Other countries</v>
      </c>
      <c r="P130" s="1"/>
      <c r="Q130" s="23">
        <f>+[1]SANTILLANA!T86</f>
        <v>104.25584196000065</v>
      </c>
      <c r="R130" s="24">
        <f>+[1]SANTILLANA!U86</f>
        <v>113.30648744514534</v>
      </c>
      <c r="S130" s="25">
        <f t="shared" si="24"/>
        <v>-7.9877557668764032</v>
      </c>
      <c r="T130" s="1"/>
      <c r="U130" s="23">
        <f>+[1]SANTILLANA!X86</f>
        <v>-3.8726603106350126</v>
      </c>
      <c r="V130" s="24">
        <f>+[1]SANTILLANA!Y86</f>
        <v>7.7676713771389529</v>
      </c>
      <c r="W130" s="25" t="str">
        <f t="shared" si="25"/>
        <v>---</v>
      </c>
    </row>
    <row r="131" spans="13:23" ht="15" customHeight="1">
      <c r="O131" s="22" t="str">
        <f>+IF($B$3="esp","Campaña Norte","North Campaign")</f>
        <v>North Campaign</v>
      </c>
      <c r="Q131" s="23">
        <f>+[1]SANTILLANA!T87</f>
        <v>210.77387863297324</v>
      </c>
      <c r="R131" s="24">
        <f>+[1]SANTILLANA!U87</f>
        <v>275.34365186664047</v>
      </c>
      <c r="S131" s="25">
        <f t="shared" si="24"/>
        <v>-23.450612642030645</v>
      </c>
      <c r="U131" s="23">
        <f>+[1]SANTILLANA!X87</f>
        <v>127.60884011127524</v>
      </c>
      <c r="V131" s="24">
        <f>+[1]SANTILLANA!Y87</f>
        <v>181.86114414649464</v>
      </c>
      <c r="W131" s="25">
        <f t="shared" si="25"/>
        <v>-29.831718198977971</v>
      </c>
    </row>
    <row r="132" spans="13:23" ht="15" customHeight="1">
      <c r="O132" s="32" t="str">
        <f>+IF($B$3="esp","España","Spain")</f>
        <v>Spain</v>
      </c>
      <c r="Q132" s="23">
        <f>+[1]SANTILLANA!T88</f>
        <v>121.46594248999999</v>
      </c>
      <c r="R132" s="24">
        <f>+[1]SANTILLANA!U88</f>
        <v>147.94980382999998</v>
      </c>
      <c r="S132" s="25">
        <f t="shared" si="24"/>
        <v>-17.900572122711946</v>
      </c>
      <c r="U132" s="23">
        <f>+[1]SANTILLANA!X88</f>
        <v>81.721259279999998</v>
      </c>
      <c r="V132" s="24">
        <f>+[1]SANTILLANA!Y88</f>
        <v>102.58703253999997</v>
      </c>
      <c r="W132" s="25">
        <f t="shared" si="25"/>
        <v>-20.339581663856144</v>
      </c>
    </row>
    <row r="133" spans="13:23" ht="15" customHeight="1">
      <c r="O133" s="32" t="str">
        <f>+IF($B$3="esp","México","Mexico")</f>
        <v>Mexico</v>
      </c>
      <c r="Q133" s="23">
        <f>+[1]SANTILLANA!T89</f>
        <v>69.274601657202211</v>
      </c>
      <c r="R133" s="24">
        <f>+[1]SANTILLANA!U89</f>
        <v>85.14676465792931</v>
      </c>
      <c r="S133" s="25">
        <f t="shared" si="24"/>
        <v>-18.640946681288849</v>
      </c>
      <c r="U133" s="23">
        <f>+[1]SANTILLANA!X89</f>
        <v>35.72321665413191</v>
      </c>
      <c r="V133" s="24">
        <f>+[1]SANTILLANA!Y89</f>
        <v>53.674146661236563</v>
      </c>
      <c r="W133" s="25">
        <f t="shared" si="25"/>
        <v>-33.444276478956681</v>
      </c>
    </row>
    <row r="134" spans="13:23" s="14" customFormat="1" ht="15" customHeight="1">
      <c r="O134" s="32" t="str">
        <f>+IF($B$3="esp","Otros países","Other countries")</f>
        <v>Other countries</v>
      </c>
      <c r="P134" s="1"/>
      <c r="Q134" s="23">
        <f>+[1]SANTILLANA!T90</f>
        <v>20.033334485771036</v>
      </c>
      <c r="R134" s="24">
        <f>+[1]SANTILLANA!U90</f>
        <v>42.247083378711181</v>
      </c>
      <c r="S134" s="25">
        <f t="shared" si="24"/>
        <v>-52.580550221211062</v>
      </c>
      <c r="T134" s="1"/>
      <c r="U134" s="23">
        <f>+[1]SANTILLANA!X90</f>
        <v>10.164364177143341</v>
      </c>
      <c r="V134" s="24">
        <f>+[1]SANTILLANA!Y90</f>
        <v>25.599964945258101</v>
      </c>
      <c r="W134" s="25">
        <f t="shared" si="25"/>
        <v>-60.295398064495821</v>
      </c>
    </row>
    <row r="135" spans="13:23" ht="15" customHeight="1">
      <c r="O135" s="22" t="str">
        <f>+IF($B$3="esp","Tecnología Educativa global y Centro Corpor.","Global Educational IT &amp; HQ")</f>
        <v>Global Educational IT &amp; HQ</v>
      </c>
      <c r="Q135" s="23">
        <f>+[1]SANTILLANA!T91</f>
        <v>1.4372398000000002</v>
      </c>
      <c r="R135" s="24">
        <f>+[1]SANTILLANA!U91</f>
        <v>1.5630849800000013</v>
      </c>
      <c r="S135" s="25">
        <f t="shared" si="24"/>
        <v>-8.0510772997128424</v>
      </c>
      <c r="U135" s="23">
        <f>+[1]SANTILLANA!X91</f>
        <v>0.68050747999999983</v>
      </c>
      <c r="V135" s="24">
        <f>+[1]SANTILLANA!Y91</f>
        <v>0.32482901000000108</v>
      </c>
      <c r="W135" s="25">
        <f t="shared" si="25"/>
        <v>109.4971382020336</v>
      </c>
    </row>
    <row r="136" spans="13:23" ht="15" customHeight="1">
      <c r="O136" s="22"/>
      <c r="Q136" s="24"/>
      <c r="R136" s="24"/>
      <c r="S136" s="25"/>
      <c r="U136" s="24"/>
      <c r="V136" s="24"/>
      <c r="W136" s="25"/>
    </row>
    <row r="137" spans="13:23" ht="15" customHeight="1">
      <c r="Q137" s="76"/>
      <c r="U137" s="76"/>
    </row>
    <row r="138" spans="13:23" ht="15" customHeight="1">
      <c r="Q138" s="76"/>
      <c r="U138" s="76"/>
    </row>
    <row r="139" spans="13:23" ht="15" customHeight="1">
      <c r="Q139" s="76"/>
      <c r="U139" s="76"/>
    </row>
    <row r="140" spans="13:23" ht="15" customHeight="1">
      <c r="Q140" s="7" t="str">
        <f>+$Q$6</f>
        <v>JANUARY - SEPTEMBER</v>
      </c>
      <c r="R140" s="8"/>
      <c r="S140" s="8"/>
      <c r="U140" s="7" t="str">
        <f>+$U$6</f>
        <v>JULY - SEPTEMBER</v>
      </c>
      <c r="V140" s="8"/>
      <c r="W140" s="8"/>
    </row>
    <row r="141" spans="13:23" ht="15" customHeight="1"/>
    <row r="142" spans="13:23" ht="15" customHeight="1">
      <c r="O142" s="9"/>
      <c r="Q142" s="10">
        <v>2020</v>
      </c>
      <c r="R142" s="10">
        <v>2019</v>
      </c>
      <c r="S142" s="10" t="str">
        <f>+IF($B$3="esp","Var.%","% Chg.")</f>
        <v>% Chg.</v>
      </c>
      <c r="U142" s="10">
        <v>2020</v>
      </c>
      <c r="V142" s="10">
        <v>2019</v>
      </c>
      <c r="W142" s="10" t="str">
        <f>+IF($B$3="esp","Var.%","% Chg.")</f>
        <v>% Chg.</v>
      </c>
    </row>
    <row r="143" spans="13:23" ht="15" customHeight="1">
      <c r="O143" s="11" t="str">
        <f>+IF($B$3="esp","EBITDA ","EBITDA")</f>
        <v>EBITDA</v>
      </c>
      <c r="Q143" s="13"/>
      <c r="R143" s="13"/>
      <c r="S143" s="13"/>
      <c r="U143" s="13"/>
      <c r="V143" s="13"/>
      <c r="W143" s="13"/>
    </row>
    <row r="144" spans="13:23" ht="15" customHeight="1">
      <c r="O144" s="14" t="str">
        <f>+IF($B$3="esp","Total Santillana","Total Santillana")</f>
        <v>Total Santillana</v>
      </c>
      <c r="P144" s="14"/>
      <c r="Q144" s="15">
        <f>+[1]SANTILLANA!T100</f>
        <v>110.092546489529</v>
      </c>
      <c r="R144" s="16">
        <f>+[1]SANTILLANA!U100</f>
        <v>129.21480552604999</v>
      </c>
      <c r="S144" s="17">
        <f>IF(R144=0,"---",IF(OR(ABS((Q144-R144)/ABS(R144))&gt;2,(Q144*R144)&lt;0),"---",IF(R144="0","---",((Q144-R144)/ABS(R144))*100)))</f>
        <v>-14.79881423701551</v>
      </c>
      <c r="T144" s="14"/>
      <c r="U144" s="15">
        <f>+[1]SANTILLANA!X100</f>
        <v>55.547327172106996</v>
      </c>
      <c r="V144" s="16">
        <f>+[1]SANTILLANA!Y100</f>
        <v>67.362332028400687</v>
      </c>
      <c r="W144" s="17">
        <f>IF(V144=0,"---",IF(OR(ABS((U144-V144)/ABS(V144))&gt;2,(U144*V144)&lt;0),"---",IF(V144="0","---",((U144-V144)/ABS(V144))*100)))</f>
        <v>-17.539483121386528</v>
      </c>
    </row>
    <row r="145" spans="15:23" ht="15" customHeight="1">
      <c r="O145" s="22" t="str">
        <f>+IF($B$3="esp","Campaña Sur","South Campaign")</f>
        <v>South Campaign</v>
      </c>
      <c r="Q145" s="23">
        <f>+[1]SANTILLANA!T101</f>
        <v>50.853964643483536</v>
      </c>
      <c r="R145" s="24">
        <f>+[1]SANTILLANA!U101</f>
        <v>24.64176381382325</v>
      </c>
      <c r="S145" s="25">
        <f>IF(R145=0,"---",IF(OR(ABS((Q145-R145)/ABS(R145))&gt;2,(Q145*R145)&lt;0),"---",IF(R145="0","---",((Q145-R145)/ABS(R145))*100)))</f>
        <v>106.37307064422097</v>
      </c>
      <c r="U145" s="23">
        <f>+[1]SANTILLANA!X101</f>
        <v>-1.0225041194580271</v>
      </c>
      <c r="V145" s="24">
        <f>+[1]SANTILLANA!Y101</f>
        <v>-22.689288768085898</v>
      </c>
      <c r="W145" s="25">
        <f>IF(V145=0,"---",IF(OR(ABS((U145-V145)/ABS(V145))&gt;2,(U145*V145)&lt;0),"---",IF(V145="0","---",((U145-V145)/ABS(V145))*100)))</f>
        <v>95.4934501036619</v>
      </c>
    </row>
    <row r="146" spans="15:23" ht="15" customHeight="1">
      <c r="O146" s="32" t="str">
        <f>+IF($B$3="esp","Brasil","Brazil")</f>
        <v>Brazil</v>
      </c>
      <c r="Q146" s="23">
        <f>+[1]SANTILLANA!T102</f>
        <v>23.574143490802065</v>
      </c>
      <c r="R146" s="24">
        <f>+[1]SANTILLANA!U102</f>
        <v>-7.1171239225243887</v>
      </c>
      <c r="S146" s="25" t="str">
        <f t="shared" ref="S146:S152" si="26">IF(R146=0,"---",IF(OR(ABS((Q146-R146)/ABS(R146))&gt;2,(Q146*R146)&lt;0),"---",IF(R146="0","---",((Q146-R146)/ABS(R146))*100)))</f>
        <v>---</v>
      </c>
      <c r="U146" s="23">
        <f>+[1]SANTILLANA!X102</f>
        <v>2.9665802839878523</v>
      </c>
      <c r="V146" s="24">
        <f>+[1]SANTILLANA!Y102</f>
        <v>-12.946646279080255</v>
      </c>
      <c r="W146" s="25" t="str">
        <f t="shared" ref="W146:W152" si="27">IF(V146=0,"---",IF(OR(ABS((U146-V146)/ABS(V146))&gt;2,(U146*V146)&lt;0),"---",IF(V146="0","---",((U146-V146)/ABS(V146))*100)))</f>
        <v>---</v>
      </c>
    </row>
    <row r="147" spans="15:23" ht="15" customHeight="1">
      <c r="O147" s="32" t="str">
        <f>+IF($B$3="esp","Otros países","Other countries")</f>
        <v>Other countries</v>
      </c>
      <c r="Q147" s="23">
        <f>+[1]SANTILLANA!T103</f>
        <v>27.279821152681471</v>
      </c>
      <c r="R147" s="24">
        <f>+[1]SANTILLANA!U103</f>
        <v>31.758887736347639</v>
      </c>
      <c r="S147" s="25">
        <f t="shared" si="26"/>
        <v>-14.103348394471427</v>
      </c>
      <c r="U147" s="23">
        <f>+[1]SANTILLANA!X103</f>
        <v>-3.9890844034458794</v>
      </c>
      <c r="V147" s="24">
        <f>+[1]SANTILLANA!Y103</f>
        <v>-9.7426424890056396</v>
      </c>
      <c r="W147" s="25">
        <f t="shared" si="27"/>
        <v>59.055416351903766</v>
      </c>
    </row>
    <row r="148" spans="15:23" ht="15" customHeight="1">
      <c r="O148" s="22" t="str">
        <f>+IF($B$3="esp","Campaña Norte","North Campaign")</f>
        <v>North Campaign</v>
      </c>
      <c r="Q148" s="23">
        <f>+[1]SANTILLANA!T104</f>
        <v>76.755765393374844</v>
      </c>
      <c r="R148" s="24">
        <f>+[1]SANTILLANA!U104</f>
        <v>118.07222622240502</v>
      </c>
      <c r="S148" s="25">
        <f t="shared" si="26"/>
        <v>-34.992531394474625</v>
      </c>
      <c r="U148" s="23">
        <f>+[1]SANTILLANA!X104</f>
        <v>61.741764539468875</v>
      </c>
      <c r="V148" s="24">
        <f>+[1]SANTILLANA!Y104</f>
        <v>93.073070287179775</v>
      </c>
      <c r="W148" s="25">
        <f t="shared" si="27"/>
        <v>-33.66312688625959</v>
      </c>
    </row>
    <row r="149" spans="15:23" ht="15" customHeight="1">
      <c r="O149" s="32" t="str">
        <f>+IF($B$3="esp","España","Spain")</f>
        <v>Spain</v>
      </c>
      <c r="Q149" s="23">
        <f>+[1]SANTILLANA!T105</f>
        <v>57.639866965474248</v>
      </c>
      <c r="R149" s="24">
        <f>+[1]SANTILLANA!U105</f>
        <v>70.044433989999987</v>
      </c>
      <c r="S149" s="25">
        <f t="shared" si="26"/>
        <v>-17.709568509464578</v>
      </c>
      <c r="U149" s="23">
        <f>+[1]SANTILLANA!X105</f>
        <v>46.313259963999982</v>
      </c>
      <c r="V149" s="24">
        <f>+[1]SANTILLANA!Y105</f>
        <v>56.257783059999987</v>
      </c>
      <c r="W149" s="25">
        <f t="shared" si="27"/>
        <v>-17.676706324161376</v>
      </c>
    </row>
    <row r="150" spans="15:23" ht="15" customHeight="1">
      <c r="O150" s="32" t="str">
        <f>+IF($B$3="esp","México","Mexico")</f>
        <v>Mexico</v>
      </c>
      <c r="Q150" s="23">
        <f>+[1]SANTILLANA!T106</f>
        <v>17.514276304550002</v>
      </c>
      <c r="R150" s="24">
        <f>+[1]SANTILLANA!U106</f>
        <v>28.53430636585815</v>
      </c>
      <c r="S150" s="25">
        <f t="shared" si="26"/>
        <v>-38.62028366841195</v>
      </c>
      <c r="U150" s="23">
        <f>+[1]SANTILLANA!X106</f>
        <v>12.261340152964442</v>
      </c>
      <c r="V150" s="24">
        <f>+[1]SANTILLANA!Y106</f>
        <v>20.508537165487475</v>
      </c>
      <c r="W150" s="25">
        <f t="shared" si="27"/>
        <v>-40.213482541318072</v>
      </c>
    </row>
    <row r="151" spans="15:23" ht="15" customHeight="1">
      <c r="O151" s="32" t="str">
        <f>+IF($B$3="esp","Otros países","Other countries")</f>
        <v>Other countries</v>
      </c>
      <c r="Q151" s="23">
        <f>+[1]SANTILLANA!T107</f>
        <v>1.6016221233505945</v>
      </c>
      <c r="R151" s="24">
        <f>+[1]SANTILLANA!U107</f>
        <v>19.493485866546884</v>
      </c>
      <c r="S151" s="25">
        <f t="shared" si="26"/>
        <v>-91.783808528062366</v>
      </c>
      <c r="U151" s="23">
        <f>+[1]SANTILLANA!X107</f>
        <v>3.1671644225044506</v>
      </c>
      <c r="V151" s="24">
        <f>+[1]SANTILLANA!Y107</f>
        <v>16.30675006169232</v>
      </c>
      <c r="W151" s="25">
        <f t="shared" si="27"/>
        <v>-80.577586517716199</v>
      </c>
    </row>
    <row r="152" spans="15:23" ht="15" customHeight="1">
      <c r="O152" s="22" t="str">
        <f>+IF($B$3="esp","Tecnología Educativa global y Centro Corpor.","Global Educational IT &amp; HQ")</f>
        <v>Global Educational IT &amp; HQ</v>
      </c>
      <c r="Q152" s="23">
        <f>+[1]SANTILLANA!T108</f>
        <v>-17.520186951171485</v>
      </c>
      <c r="R152" s="24">
        <f>+[1]SANTILLANA!U108</f>
        <v>-13.499264093333339</v>
      </c>
      <c r="S152" s="25">
        <f t="shared" si="26"/>
        <v>-29.786237457372906</v>
      </c>
      <c r="U152" s="23">
        <f>+[1]SANTILLANA!X108</f>
        <v>-5.1747223000000044</v>
      </c>
      <c r="V152" s="24">
        <f>+[1]SANTILLANA!Y108</f>
        <v>-3.0218087133333409</v>
      </c>
      <c r="W152" s="25">
        <f t="shared" si="27"/>
        <v>-71.245859381078958</v>
      </c>
    </row>
    <row r="153" spans="15:23" ht="15" customHeight="1">
      <c r="O153" s="22"/>
      <c r="Q153" s="24"/>
      <c r="R153" s="24"/>
      <c r="S153" s="25"/>
      <c r="U153" s="24"/>
      <c r="V153" s="24"/>
      <c r="W153" s="25"/>
    </row>
    <row r="154" spans="15:23">
      <c r="Q154" s="7" t="str">
        <f>+$Q$6</f>
        <v>JANUARY - SEPTEMBER</v>
      </c>
      <c r="R154" s="8"/>
      <c r="S154" s="8"/>
      <c r="U154" s="7" t="str">
        <f>+$U$6</f>
        <v>JULY - SEPTEMBER</v>
      </c>
      <c r="V154" s="8"/>
      <c r="W154" s="8"/>
    </row>
    <row r="156" spans="15:23">
      <c r="O156" s="9"/>
      <c r="Q156" s="10">
        <v>2020</v>
      </c>
      <c r="R156" s="10">
        <v>2019</v>
      </c>
      <c r="S156" s="10" t="str">
        <f>+IF($B$3="esp","Var.%","% Chg.")</f>
        <v>% Chg.</v>
      </c>
      <c r="U156" s="10">
        <v>2020</v>
      </c>
      <c r="V156" s="10">
        <v>2019</v>
      </c>
      <c r="W156" s="10" t="str">
        <f>+IF($B$3="esp","Var.%","% Chg.")</f>
        <v>% Chg.</v>
      </c>
    </row>
    <row r="157" spans="15:23">
      <c r="O157" s="11" t="str">
        <f>+IF($B$3="esp","EBITDA a tipo constante"," EBITDA at constant currency")</f>
        <v xml:space="preserve"> EBITDA at constant currency</v>
      </c>
      <c r="Q157" s="13"/>
      <c r="R157" s="13"/>
      <c r="S157" s="13"/>
      <c r="U157" s="13"/>
      <c r="V157" s="13"/>
      <c r="W157" s="13"/>
    </row>
    <row r="158" spans="15:23">
      <c r="O158" s="14" t="str">
        <f>+IF($B$3="esp","Total Santillana","Total Santillana")</f>
        <v>Total Santillana</v>
      </c>
      <c r="P158" s="14"/>
      <c r="Q158" s="15">
        <f>+[1]SANTILLANA!T114</f>
        <v>117.09180464691327</v>
      </c>
      <c r="R158" s="16">
        <f>+[1]SANTILLANA!U114</f>
        <v>129.21480552604999</v>
      </c>
      <c r="S158" s="17">
        <f>IF(R158=0,"---",IF(OR(ABS((Q158-R158)/ABS(R158))&gt;2,(Q158*R158)&lt;0),"---",IF(R158="0","---",((Q158-R158)/ABS(R158))*100)))</f>
        <v>-9.3820524898694266</v>
      </c>
      <c r="T158" s="14"/>
      <c r="U158" s="15">
        <f>+[1]SANTILLANA!X114</f>
        <v>56.984243077258853</v>
      </c>
      <c r="V158" s="16">
        <f>+[1]SANTILLANA!Y114</f>
        <v>67.362332028400687</v>
      </c>
      <c r="W158" s="17">
        <f>IF(V158=0,"---",IF(OR(ABS((U158-V158)/ABS(V158))&gt;2,(U158*V158)&lt;0),"---",IF(V158="0","---",((U158-V158)/ABS(V158))*100)))</f>
        <v>-15.406368275323839</v>
      </c>
    </row>
    <row r="159" spans="15:23">
      <c r="O159" s="22" t="str">
        <f>+IF($B$3="esp","Campaña Sur","South Campaign")</f>
        <v>South Campaign</v>
      </c>
      <c r="Q159" s="23">
        <f>+[1]SANTILLANA!T115</f>
        <v>53.833814956495132</v>
      </c>
      <c r="R159" s="24">
        <f>+[1]SANTILLANA!U115</f>
        <v>24.64176381382325</v>
      </c>
      <c r="S159" s="25">
        <f>IF(R159=0,"---",IF(OR(ABS((Q159-R159)/ABS(R159))&gt;2,(Q159*R159)&lt;0),"---",IF(R159="0","---",((Q159-R159)/ABS(R159))*100)))</f>
        <v>118.4657533577043</v>
      </c>
      <c r="U159" s="23">
        <f>+[1]SANTILLANA!X115</f>
        <v>-2.2167936920847211</v>
      </c>
      <c r="V159" s="24">
        <f>+[1]SANTILLANA!Y115</f>
        <v>-22.689288768085898</v>
      </c>
      <c r="W159" s="25">
        <f>IF(V159=0,"---",IF(OR(ABS((U159-V159)/ABS(V159))&gt;2,(U159*V159)&lt;0),"---",IF(V159="0","---",((U159-V159)/ABS(V159))*100)))</f>
        <v>90.229778840829951</v>
      </c>
    </row>
    <row r="160" spans="15:23">
      <c r="O160" s="32" t="str">
        <f>+IF($B$3="esp","Brasil","Brazil")</f>
        <v>Brazil</v>
      </c>
      <c r="Q160" s="23">
        <f>+[1]SANTILLANA!T116</f>
        <v>24.493678583766471</v>
      </c>
      <c r="R160" s="24">
        <f>+[1]SANTILLANA!U116</f>
        <v>-7.1171239225243887</v>
      </c>
      <c r="S160" s="25" t="str">
        <f t="shared" ref="S160:S166" si="28">IF(R160=0,"---",IF(OR(ABS((Q160-R160)/ABS(R160))&gt;2,(Q160*R160)&lt;0),"---",IF(R160="0","---",((Q160-R160)/ABS(R160))*100)))</f>
        <v>---</v>
      </c>
      <c r="U160" s="23">
        <f>+[1]SANTILLANA!X116</f>
        <v>4.4366757415904061</v>
      </c>
      <c r="V160" s="24">
        <f>+[1]SANTILLANA!Y116</f>
        <v>-12.946646279080255</v>
      </c>
      <c r="W160" s="25" t="str">
        <f t="shared" ref="W160:W166" si="29">IF(V160=0,"---",IF(OR(ABS((U160-V160)/ABS(V160))&gt;2,(U160*V160)&lt;0),"---",IF(V160="0","---",((U160-V160)/ABS(V160))*100)))</f>
        <v>---</v>
      </c>
    </row>
    <row r="161" spans="15:23">
      <c r="O161" s="32" t="str">
        <f>+IF($B$3="esp","Otros países","Other countries")</f>
        <v>Other countries</v>
      </c>
      <c r="Q161" s="23">
        <f>+[1]SANTILLANA!T117</f>
        <v>29.340136372728661</v>
      </c>
      <c r="R161" s="24">
        <f>+[1]SANTILLANA!U117</f>
        <v>31.758887736347639</v>
      </c>
      <c r="S161" s="25">
        <f t="shared" si="28"/>
        <v>-7.6159825989458296</v>
      </c>
      <c r="U161" s="23">
        <f>+[1]SANTILLANA!X117</f>
        <v>-6.6534694336751308</v>
      </c>
      <c r="V161" s="24">
        <f>+[1]SANTILLANA!Y117</f>
        <v>-9.7426424890056396</v>
      </c>
      <c r="W161" s="25">
        <f t="shared" si="29"/>
        <v>31.707753402801892</v>
      </c>
    </row>
    <row r="162" spans="15:23">
      <c r="O162" s="22" t="str">
        <f>+IF($B$3="esp","Campaña Norte","North Campaign")</f>
        <v>North Campaign</v>
      </c>
      <c r="Q162" s="23">
        <f>+[1]SANTILLANA!T118</f>
        <v>80.775173237747524</v>
      </c>
      <c r="R162" s="24">
        <f>+[1]SANTILLANA!U118</f>
        <v>118.07222622240502</v>
      </c>
      <c r="S162" s="25">
        <f t="shared" si="28"/>
        <v>-31.588337222001261</v>
      </c>
      <c r="U162" s="23">
        <f>+[1]SANTILLANA!X118</f>
        <v>64.372970017247411</v>
      </c>
      <c r="V162" s="24">
        <f>+[1]SANTILLANA!Y118</f>
        <v>93.073070287179775</v>
      </c>
      <c r="W162" s="25">
        <f t="shared" si="29"/>
        <v>-30.836094889077298</v>
      </c>
    </row>
    <row r="163" spans="15:23">
      <c r="O163" s="32" t="str">
        <f>+IF($B$3="esp","España","Spain")</f>
        <v>Spain</v>
      </c>
      <c r="Q163" s="23">
        <f>+[1]SANTILLANA!T119</f>
        <v>57.639866965474248</v>
      </c>
      <c r="R163" s="24">
        <f>+[1]SANTILLANA!U119</f>
        <v>70.044433989999987</v>
      </c>
      <c r="S163" s="25">
        <f t="shared" si="28"/>
        <v>-17.709568509464578</v>
      </c>
      <c r="U163" s="23">
        <f>+[1]SANTILLANA!X119</f>
        <v>46.313259963999982</v>
      </c>
      <c r="V163" s="24">
        <f>+[1]SANTILLANA!Y119</f>
        <v>56.257783059999987</v>
      </c>
      <c r="W163" s="25">
        <f t="shared" si="29"/>
        <v>-17.676706324161376</v>
      </c>
    </row>
    <row r="164" spans="15:23">
      <c r="O164" s="32" t="str">
        <f>+IF($B$3="esp","México","Mexico")</f>
        <v>Mexico</v>
      </c>
      <c r="Q164" s="23">
        <f>+[1]SANTILLANA!T120</f>
        <v>21.398039126399198</v>
      </c>
      <c r="R164" s="24">
        <f>+[1]SANTILLANA!U120</f>
        <v>28.53430636585815</v>
      </c>
      <c r="S164" s="25">
        <f t="shared" si="28"/>
        <v>-25.009429519540149</v>
      </c>
      <c r="U164" s="23">
        <f>+[1]SANTILLANA!X120</f>
        <v>14.69793460615071</v>
      </c>
      <c r="V164" s="24">
        <f>+[1]SANTILLANA!Y120</f>
        <v>20.508537165487475</v>
      </c>
      <c r="W164" s="25">
        <f t="shared" si="29"/>
        <v>-28.332603697912994</v>
      </c>
    </row>
    <row r="165" spans="15:23">
      <c r="O165" s="32" t="str">
        <f>+IF($B$3="esp","Otros países","Other countries")</f>
        <v>Other countries</v>
      </c>
      <c r="Q165" s="23">
        <f>+[1]SANTILLANA!T121</f>
        <v>1.7372671458740783</v>
      </c>
      <c r="R165" s="24">
        <f>+[1]SANTILLANA!U121</f>
        <v>19.493485866546884</v>
      </c>
      <c r="S165" s="25">
        <f t="shared" si="28"/>
        <v>-91.087960574278654</v>
      </c>
      <c r="U165" s="23">
        <f>+[1]SANTILLANA!X121</f>
        <v>3.3617754470967167</v>
      </c>
      <c r="V165" s="24">
        <f>+[1]SANTILLANA!Y121</f>
        <v>16.30675006169232</v>
      </c>
      <c r="W165" s="25">
        <f t="shared" si="29"/>
        <v>-79.384148071330458</v>
      </c>
    </row>
    <row r="166" spans="15:23">
      <c r="O166" s="22" t="str">
        <f>+IF($B$3="esp","Tecnología Educativa global y Centro Corpor.","Global Educational IT &amp; HQ")</f>
        <v>Global Educational IT &amp; HQ</v>
      </c>
      <c r="Q166" s="23">
        <f>+[1]SANTILLANA!T122</f>
        <v>-17.520186951171485</v>
      </c>
      <c r="R166" s="24">
        <f>+[1]SANTILLANA!U122</f>
        <v>-13.499264093333339</v>
      </c>
      <c r="S166" s="25">
        <f t="shared" si="28"/>
        <v>-29.786237457372906</v>
      </c>
      <c r="U166" s="23">
        <f>+[1]SANTILLANA!X122</f>
        <v>-5.1747223000000044</v>
      </c>
      <c r="V166" s="24">
        <f>+[1]SANTILLANA!Y122</f>
        <v>-3.0218087133333409</v>
      </c>
      <c r="W166" s="25">
        <f t="shared" si="29"/>
        <v>-71.245859381078958</v>
      </c>
    </row>
  </sheetData>
  <pageMargins left="0" right="0" top="0" bottom="0" header="0" footer="0"/>
  <pageSetup paperSize="9" scale="24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To Publish 3Q</vt:lpstr>
      <vt:lpstr>'To Publish 3Q'!Área_de_impresión</vt:lpstr>
    </vt:vector>
  </TitlesOfParts>
  <Company>Prisa Corporación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Tobal Favelukes, Matías</dc:creator>
  <cp:lastModifiedBy>Guelbenzu Robles, Belen</cp:lastModifiedBy>
  <dcterms:created xsi:type="dcterms:W3CDTF">2020-10-27T11:02:38Z</dcterms:created>
  <dcterms:modified xsi:type="dcterms:W3CDTF">2020-10-27T11:42:27Z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