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O:\RELACIÓN CON INVERSORES\NEW\RESULTS\2020\4Q2020\DEF\Envío CNMV\"/>
    </mc:Choice>
  </mc:AlternateContent>
  <xr:revisionPtr revIDLastSave="0" documentId="8_{D189A608-759F-47CB-AA1F-2DA0A78E6C71}" xr6:coauthVersionLast="46" xr6:coauthVersionMax="46" xr10:uidLastSave="{00000000-0000-0000-0000-000000000000}"/>
  <bookViews>
    <workbookView xWindow="1884" yWindow="1884" windowWidth="17280" windowHeight="9024" xr2:uid="{F8E49D8E-A5E3-49E2-9E3E-0A80DC6F6AAB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66" i="1" l="1"/>
  <c r="V166" i="1"/>
  <c r="U166" i="1"/>
  <c r="R166" i="1"/>
  <c r="S166" i="1" s="1"/>
  <c r="Q166" i="1"/>
  <c r="O166" i="1"/>
  <c r="W165" i="1"/>
  <c r="V165" i="1"/>
  <c r="U165" i="1"/>
  <c r="R165" i="1"/>
  <c r="S165" i="1" s="1"/>
  <c r="Q165" i="1"/>
  <c r="O165" i="1"/>
  <c r="V164" i="1"/>
  <c r="W164" i="1" s="1"/>
  <c r="U164" i="1"/>
  <c r="R164" i="1"/>
  <c r="Q164" i="1"/>
  <c r="S164" i="1" s="1"/>
  <c r="O164" i="1"/>
  <c r="W163" i="1"/>
  <c r="V163" i="1"/>
  <c r="U163" i="1"/>
  <c r="S163" i="1"/>
  <c r="R163" i="1"/>
  <c r="Q163" i="1"/>
  <c r="O163" i="1"/>
  <c r="V162" i="1"/>
  <c r="W162" i="1" s="1"/>
  <c r="U162" i="1"/>
  <c r="S162" i="1"/>
  <c r="R162" i="1"/>
  <c r="Q162" i="1"/>
  <c r="O162" i="1"/>
  <c r="V161" i="1"/>
  <c r="W161" i="1" s="1"/>
  <c r="U161" i="1"/>
  <c r="R161" i="1"/>
  <c r="S161" i="1" s="1"/>
  <c r="Q161" i="1"/>
  <c r="O161" i="1"/>
  <c r="V160" i="1"/>
  <c r="W160" i="1" s="1"/>
  <c r="U160" i="1"/>
  <c r="S160" i="1"/>
  <c r="R160" i="1"/>
  <c r="Q160" i="1"/>
  <c r="O160" i="1"/>
  <c r="V159" i="1"/>
  <c r="U159" i="1"/>
  <c r="W159" i="1" s="1"/>
  <c r="R159" i="1"/>
  <c r="S159" i="1" s="1"/>
  <c r="Q159" i="1"/>
  <c r="O159" i="1"/>
  <c r="O158" i="1"/>
  <c r="W157" i="1"/>
  <c r="S157" i="1"/>
  <c r="W152" i="1"/>
  <c r="V152" i="1"/>
  <c r="U152" i="1"/>
  <c r="S152" i="1"/>
  <c r="R152" i="1"/>
  <c r="Q152" i="1"/>
  <c r="O152" i="1"/>
  <c r="V151" i="1"/>
  <c r="W151" i="1" s="1"/>
  <c r="U151" i="1"/>
  <c r="S151" i="1"/>
  <c r="R151" i="1"/>
  <c r="Q151" i="1"/>
  <c r="O151" i="1"/>
  <c r="V150" i="1"/>
  <c r="W150" i="1" s="1"/>
  <c r="U150" i="1"/>
  <c r="R150" i="1"/>
  <c r="S150" i="1" s="1"/>
  <c r="Q150" i="1"/>
  <c r="O150" i="1"/>
  <c r="V149" i="1"/>
  <c r="W149" i="1" s="1"/>
  <c r="U149" i="1"/>
  <c r="S149" i="1"/>
  <c r="R149" i="1"/>
  <c r="Q149" i="1"/>
  <c r="O149" i="1"/>
  <c r="V148" i="1"/>
  <c r="U148" i="1"/>
  <c r="W148" i="1" s="1"/>
  <c r="R148" i="1"/>
  <c r="S148" i="1" s="1"/>
  <c r="Q148" i="1"/>
  <c r="O148" i="1"/>
  <c r="W147" i="1"/>
  <c r="V147" i="1"/>
  <c r="U147" i="1"/>
  <c r="R147" i="1"/>
  <c r="S147" i="1" s="1"/>
  <c r="Q147" i="1"/>
  <c r="O147" i="1"/>
  <c r="W146" i="1"/>
  <c r="V146" i="1"/>
  <c r="U146" i="1"/>
  <c r="R146" i="1"/>
  <c r="S146" i="1" s="1"/>
  <c r="Q146" i="1"/>
  <c r="O146" i="1"/>
  <c r="V145" i="1"/>
  <c r="W145" i="1" s="1"/>
  <c r="U145" i="1"/>
  <c r="R145" i="1"/>
  <c r="Q145" i="1"/>
  <c r="S145" i="1" s="1"/>
  <c r="O145" i="1"/>
  <c r="O144" i="1"/>
  <c r="W143" i="1"/>
  <c r="S143" i="1"/>
  <c r="V135" i="1"/>
  <c r="W135" i="1" s="1"/>
  <c r="U135" i="1"/>
  <c r="S135" i="1"/>
  <c r="R135" i="1"/>
  <c r="Q135" i="1"/>
  <c r="O135" i="1"/>
  <c r="V134" i="1"/>
  <c r="U134" i="1"/>
  <c r="W134" i="1" s="1"/>
  <c r="R134" i="1"/>
  <c r="S134" i="1" s="1"/>
  <c r="Q134" i="1"/>
  <c r="O134" i="1"/>
  <c r="W133" i="1"/>
  <c r="V133" i="1"/>
  <c r="U133" i="1"/>
  <c r="R133" i="1"/>
  <c r="S133" i="1" s="1"/>
  <c r="Q133" i="1"/>
  <c r="O133" i="1"/>
  <c r="W132" i="1"/>
  <c r="V132" i="1"/>
  <c r="U132" i="1"/>
  <c r="R132" i="1"/>
  <c r="S132" i="1" s="1"/>
  <c r="Q132" i="1"/>
  <c r="O132" i="1"/>
  <c r="V131" i="1"/>
  <c r="W131" i="1" s="1"/>
  <c r="U131" i="1"/>
  <c r="R131" i="1"/>
  <c r="Q131" i="1"/>
  <c r="S131" i="1" s="1"/>
  <c r="O131" i="1"/>
  <c r="W130" i="1"/>
  <c r="V130" i="1"/>
  <c r="U130" i="1"/>
  <c r="S130" i="1"/>
  <c r="R130" i="1"/>
  <c r="Q130" i="1"/>
  <c r="O130" i="1"/>
  <c r="V129" i="1"/>
  <c r="W129" i="1" s="1"/>
  <c r="U129" i="1"/>
  <c r="S129" i="1"/>
  <c r="R129" i="1"/>
  <c r="Q129" i="1"/>
  <c r="O129" i="1"/>
  <c r="V128" i="1"/>
  <c r="W128" i="1" s="1"/>
  <c r="U128" i="1"/>
  <c r="R128" i="1"/>
  <c r="S128" i="1" s="1"/>
  <c r="Q128" i="1"/>
  <c r="O128" i="1"/>
  <c r="K128" i="1"/>
  <c r="L128" i="1" s="1"/>
  <c r="J128" i="1"/>
  <c r="H128" i="1"/>
  <c r="G128" i="1"/>
  <c r="F128" i="1"/>
  <c r="D128" i="1"/>
  <c r="O127" i="1"/>
  <c r="K127" i="1"/>
  <c r="L127" i="1" s="1"/>
  <c r="J127" i="1"/>
  <c r="H127" i="1"/>
  <c r="G127" i="1"/>
  <c r="F127" i="1"/>
  <c r="D127" i="1"/>
  <c r="W126" i="1"/>
  <c r="S126" i="1"/>
  <c r="K126" i="1"/>
  <c r="L126" i="1" s="1"/>
  <c r="J126" i="1"/>
  <c r="G126" i="1"/>
  <c r="H126" i="1" s="1"/>
  <c r="F126" i="1"/>
  <c r="D126" i="1"/>
  <c r="K125" i="1"/>
  <c r="L125" i="1" s="1"/>
  <c r="J125" i="1"/>
  <c r="H125" i="1"/>
  <c r="G125" i="1"/>
  <c r="F125" i="1"/>
  <c r="D125" i="1"/>
  <c r="K124" i="1"/>
  <c r="L124" i="1" s="1"/>
  <c r="J124" i="1"/>
  <c r="G124" i="1"/>
  <c r="H124" i="1" s="1"/>
  <c r="F124" i="1"/>
  <c r="D124" i="1"/>
  <c r="D123" i="1"/>
  <c r="L122" i="1"/>
  <c r="H122" i="1"/>
  <c r="D122" i="1"/>
  <c r="V121" i="1"/>
  <c r="W121" i="1" s="1"/>
  <c r="U121" i="1"/>
  <c r="R121" i="1"/>
  <c r="Q121" i="1"/>
  <c r="S121" i="1" s="1"/>
  <c r="O121" i="1"/>
  <c r="W120" i="1"/>
  <c r="V120" i="1"/>
  <c r="U120" i="1"/>
  <c r="S120" i="1"/>
  <c r="R120" i="1"/>
  <c r="Q120" i="1"/>
  <c r="O120" i="1"/>
  <c r="V119" i="1"/>
  <c r="W119" i="1" s="1"/>
  <c r="U119" i="1"/>
  <c r="R119" i="1"/>
  <c r="Q119" i="1"/>
  <c r="S119" i="1" s="1"/>
  <c r="O119" i="1"/>
  <c r="W118" i="1"/>
  <c r="V118" i="1"/>
  <c r="U118" i="1"/>
  <c r="S118" i="1"/>
  <c r="R118" i="1"/>
  <c r="Q118" i="1"/>
  <c r="O118" i="1"/>
  <c r="K118" i="1"/>
  <c r="L118" i="1" s="1"/>
  <c r="J118" i="1"/>
  <c r="H118" i="1"/>
  <c r="G118" i="1"/>
  <c r="F118" i="1"/>
  <c r="D118" i="1"/>
  <c r="V117" i="1"/>
  <c r="W117" i="1" s="1"/>
  <c r="U117" i="1"/>
  <c r="R117" i="1"/>
  <c r="S117" i="1" s="1"/>
  <c r="Q117" i="1"/>
  <c r="O117" i="1"/>
  <c r="K117" i="1"/>
  <c r="L117" i="1" s="1"/>
  <c r="J117" i="1"/>
  <c r="H117" i="1"/>
  <c r="G117" i="1"/>
  <c r="F117" i="1"/>
  <c r="D117" i="1"/>
  <c r="V116" i="1"/>
  <c r="U116" i="1"/>
  <c r="W116" i="1" s="1"/>
  <c r="R116" i="1"/>
  <c r="S116" i="1" s="1"/>
  <c r="Q116" i="1"/>
  <c r="O116" i="1"/>
  <c r="L116" i="1"/>
  <c r="K116" i="1"/>
  <c r="J116" i="1"/>
  <c r="G116" i="1"/>
  <c r="H116" i="1" s="1"/>
  <c r="F116" i="1"/>
  <c r="D116" i="1"/>
  <c r="W115" i="1"/>
  <c r="V115" i="1"/>
  <c r="U115" i="1"/>
  <c r="R115" i="1"/>
  <c r="S115" i="1" s="1"/>
  <c r="Q115" i="1"/>
  <c r="O115" i="1"/>
  <c r="K115" i="1"/>
  <c r="L115" i="1" s="1"/>
  <c r="J115" i="1"/>
  <c r="G115" i="1"/>
  <c r="F115" i="1"/>
  <c r="H115" i="1" s="1"/>
  <c r="D115" i="1"/>
  <c r="W114" i="1"/>
  <c r="V114" i="1"/>
  <c r="U114" i="1"/>
  <c r="S114" i="1"/>
  <c r="R114" i="1"/>
  <c r="Q114" i="1"/>
  <c r="O114" i="1"/>
  <c r="K114" i="1"/>
  <c r="L114" i="1" s="1"/>
  <c r="J114" i="1"/>
  <c r="H114" i="1"/>
  <c r="G114" i="1"/>
  <c r="F114" i="1"/>
  <c r="D114" i="1"/>
  <c r="O113" i="1"/>
  <c r="D113" i="1"/>
  <c r="W112" i="1"/>
  <c r="S112" i="1"/>
  <c r="O112" i="1"/>
  <c r="L112" i="1"/>
  <c r="H112" i="1"/>
  <c r="D112" i="1"/>
  <c r="L101" i="1"/>
  <c r="K101" i="1"/>
  <c r="H101" i="1"/>
  <c r="G101" i="1"/>
  <c r="D101" i="1"/>
  <c r="K100" i="1"/>
  <c r="L100" i="1" s="1"/>
  <c r="J100" i="1"/>
  <c r="H100" i="1"/>
  <c r="G100" i="1"/>
  <c r="F100" i="1"/>
  <c r="D100" i="1"/>
  <c r="D99" i="1"/>
  <c r="L98" i="1"/>
  <c r="H98" i="1"/>
  <c r="D98" i="1"/>
  <c r="F96" i="1"/>
  <c r="F110" i="1" s="1"/>
  <c r="F120" i="1" s="1"/>
  <c r="O86" i="1"/>
  <c r="D86" i="1"/>
  <c r="AC85" i="1"/>
  <c r="Z85" i="1"/>
  <c r="W85" i="1"/>
  <c r="V85" i="1"/>
  <c r="U85" i="1"/>
  <c r="R85" i="1"/>
  <c r="S85" i="1" s="1"/>
  <c r="Q85" i="1"/>
  <c r="O85" i="1"/>
  <c r="L85" i="1"/>
  <c r="K85" i="1"/>
  <c r="J85" i="1"/>
  <c r="G85" i="1"/>
  <c r="H85" i="1" s="1"/>
  <c r="F85" i="1"/>
  <c r="D85" i="1"/>
  <c r="AG84" i="1"/>
  <c r="AH84" i="1" s="1"/>
  <c r="Z84" i="1"/>
  <c r="W84" i="1"/>
  <c r="V84" i="1"/>
  <c r="U84" i="1"/>
  <c r="S84" i="1"/>
  <c r="R84" i="1"/>
  <c r="Q84" i="1"/>
  <c r="O84" i="1"/>
  <c r="K84" i="1"/>
  <c r="L84" i="1" s="1"/>
  <c r="J84" i="1"/>
  <c r="H84" i="1"/>
  <c r="G84" i="1"/>
  <c r="F84" i="1"/>
  <c r="D84" i="1"/>
  <c r="AG83" i="1"/>
  <c r="AH83" i="1" s="1"/>
  <c r="AF83" i="1"/>
  <c r="AC83" i="1"/>
  <c r="AD83" i="1" s="1"/>
  <c r="AB83" i="1"/>
  <c r="Z83" i="1"/>
  <c r="V83" i="1"/>
  <c r="W83" i="1" s="1"/>
  <c r="U83" i="1"/>
  <c r="S83" i="1"/>
  <c r="R83" i="1"/>
  <c r="Q83" i="1"/>
  <c r="O83" i="1"/>
  <c r="K83" i="1"/>
  <c r="J83" i="1"/>
  <c r="L83" i="1" s="1"/>
  <c r="G83" i="1"/>
  <c r="H83" i="1" s="1"/>
  <c r="F83" i="1"/>
  <c r="D83" i="1"/>
  <c r="AH82" i="1"/>
  <c r="AG82" i="1"/>
  <c r="AF82" i="1"/>
  <c r="AC82" i="1"/>
  <c r="AD82" i="1" s="1"/>
  <c r="AB82" i="1"/>
  <c r="AB84" i="1" s="1"/>
  <c r="Z82" i="1"/>
  <c r="W82" i="1"/>
  <c r="V82" i="1"/>
  <c r="U82" i="1"/>
  <c r="R82" i="1"/>
  <c r="S82" i="1" s="1"/>
  <c r="Q82" i="1"/>
  <c r="O82" i="1"/>
  <c r="K82" i="1"/>
  <c r="L82" i="1" s="1"/>
  <c r="J82" i="1"/>
  <c r="G82" i="1"/>
  <c r="F82" i="1"/>
  <c r="H82" i="1" s="1"/>
  <c r="D82" i="1"/>
  <c r="AH81" i="1"/>
  <c r="AG81" i="1"/>
  <c r="AF81" i="1"/>
  <c r="AF84" i="1" s="1"/>
  <c r="AD81" i="1"/>
  <c r="AC81" i="1"/>
  <c r="AC84" i="1" s="1"/>
  <c r="AB81" i="1"/>
  <c r="Z81" i="1"/>
  <c r="V81" i="1"/>
  <c r="V86" i="1" s="1"/>
  <c r="U81" i="1"/>
  <c r="U86" i="1" s="1"/>
  <c r="S81" i="1"/>
  <c r="R81" i="1"/>
  <c r="R86" i="1" s="1"/>
  <c r="Q81" i="1"/>
  <c r="O81" i="1"/>
  <c r="K81" i="1"/>
  <c r="L81" i="1" s="1"/>
  <c r="J81" i="1"/>
  <c r="J86" i="1" s="1"/>
  <c r="G81" i="1"/>
  <c r="H81" i="1" s="1"/>
  <c r="F81" i="1"/>
  <c r="F86" i="1" s="1"/>
  <c r="D81" i="1"/>
  <c r="R80" i="1"/>
  <c r="Q80" i="1"/>
  <c r="O80" i="1"/>
  <c r="D80" i="1"/>
  <c r="AF79" i="1"/>
  <c r="Z79" i="1"/>
  <c r="V79" i="1"/>
  <c r="U79" i="1"/>
  <c r="W79" i="1" s="1"/>
  <c r="R79" i="1"/>
  <c r="S79" i="1" s="1"/>
  <c r="Q79" i="1"/>
  <c r="O79" i="1"/>
  <c r="L79" i="1"/>
  <c r="K79" i="1"/>
  <c r="J79" i="1"/>
  <c r="G79" i="1"/>
  <c r="H79" i="1" s="1"/>
  <c r="F79" i="1"/>
  <c r="D79" i="1"/>
  <c r="AB78" i="1"/>
  <c r="Z78" i="1"/>
  <c r="V78" i="1"/>
  <c r="W78" i="1" s="1"/>
  <c r="U78" i="1"/>
  <c r="R78" i="1"/>
  <c r="Q78" i="1"/>
  <c r="S78" i="1" s="1"/>
  <c r="O78" i="1"/>
  <c r="L78" i="1"/>
  <c r="K78" i="1"/>
  <c r="J78" i="1"/>
  <c r="H78" i="1"/>
  <c r="G78" i="1"/>
  <c r="F78" i="1"/>
  <c r="D78" i="1"/>
  <c r="AG77" i="1"/>
  <c r="AH77" i="1" s="1"/>
  <c r="AF77" i="1"/>
  <c r="AD77" i="1"/>
  <c r="AC77" i="1"/>
  <c r="AB77" i="1"/>
  <c r="Z77" i="1"/>
  <c r="V77" i="1"/>
  <c r="W77" i="1" s="1"/>
  <c r="U77" i="1"/>
  <c r="R77" i="1"/>
  <c r="S77" i="1" s="1"/>
  <c r="Q77" i="1"/>
  <c r="O77" i="1"/>
  <c r="K77" i="1"/>
  <c r="L77" i="1" s="1"/>
  <c r="J77" i="1"/>
  <c r="H77" i="1"/>
  <c r="G77" i="1"/>
  <c r="F77" i="1"/>
  <c r="D77" i="1"/>
  <c r="AG76" i="1"/>
  <c r="AF76" i="1"/>
  <c r="AH76" i="1" s="1"/>
  <c r="AC76" i="1"/>
  <c r="AC78" i="1" s="1"/>
  <c r="AD78" i="1" s="1"/>
  <c r="AB76" i="1"/>
  <c r="Z76" i="1"/>
  <c r="W76" i="1"/>
  <c r="V76" i="1"/>
  <c r="U76" i="1"/>
  <c r="R76" i="1"/>
  <c r="S76" i="1" s="1"/>
  <c r="Q76" i="1"/>
  <c r="O76" i="1"/>
  <c r="L76" i="1"/>
  <c r="K76" i="1"/>
  <c r="J76" i="1"/>
  <c r="G76" i="1"/>
  <c r="H76" i="1" s="1"/>
  <c r="F76" i="1"/>
  <c r="D76" i="1"/>
  <c r="AG75" i="1"/>
  <c r="AG78" i="1" s="1"/>
  <c r="AH78" i="1" s="1"/>
  <c r="AF75" i="1"/>
  <c r="AF78" i="1" s="1"/>
  <c r="AC75" i="1"/>
  <c r="AB75" i="1"/>
  <c r="AD75" i="1" s="1"/>
  <c r="Z75" i="1"/>
  <c r="W75" i="1"/>
  <c r="V75" i="1"/>
  <c r="V80" i="1" s="1"/>
  <c r="U75" i="1"/>
  <c r="U80" i="1" s="1"/>
  <c r="S75" i="1"/>
  <c r="R75" i="1"/>
  <c r="Q75" i="1"/>
  <c r="O75" i="1"/>
  <c r="K75" i="1"/>
  <c r="L75" i="1" s="1"/>
  <c r="J75" i="1"/>
  <c r="H75" i="1"/>
  <c r="G75" i="1"/>
  <c r="F75" i="1"/>
  <c r="F80" i="1" s="1"/>
  <c r="D75" i="1"/>
  <c r="V74" i="1"/>
  <c r="W74" i="1" s="1"/>
  <c r="U74" i="1"/>
  <c r="R74" i="1"/>
  <c r="S74" i="1" s="1"/>
  <c r="Q74" i="1"/>
  <c r="O74" i="1"/>
  <c r="K74" i="1"/>
  <c r="L74" i="1" s="1"/>
  <c r="J74" i="1"/>
  <c r="H74" i="1"/>
  <c r="G74" i="1"/>
  <c r="F74" i="1"/>
  <c r="D74" i="1"/>
  <c r="AC73" i="1"/>
  <c r="Z73" i="1"/>
  <c r="W73" i="1"/>
  <c r="V73" i="1"/>
  <c r="U73" i="1"/>
  <c r="R73" i="1"/>
  <c r="S73" i="1" s="1"/>
  <c r="Q73" i="1"/>
  <c r="O73" i="1"/>
  <c r="L73" i="1"/>
  <c r="K73" i="1"/>
  <c r="J73" i="1"/>
  <c r="G73" i="1"/>
  <c r="H73" i="1" s="1"/>
  <c r="F73" i="1"/>
  <c r="D73" i="1"/>
  <c r="AG72" i="1"/>
  <c r="AH72" i="1" s="1"/>
  <c r="AF72" i="1"/>
  <c r="AC72" i="1"/>
  <c r="AB72" i="1"/>
  <c r="AD72" i="1" s="1"/>
  <c r="Z72" i="1"/>
  <c r="W72" i="1"/>
  <c r="V72" i="1"/>
  <c r="U72" i="1"/>
  <c r="S72" i="1"/>
  <c r="R72" i="1"/>
  <c r="Q72" i="1"/>
  <c r="O72" i="1"/>
  <c r="K72" i="1"/>
  <c r="L72" i="1" s="1"/>
  <c r="J72" i="1"/>
  <c r="H72" i="1"/>
  <c r="G72" i="1"/>
  <c r="F72" i="1"/>
  <c r="D72" i="1"/>
  <c r="AG71" i="1"/>
  <c r="AH71" i="1" s="1"/>
  <c r="AF71" i="1"/>
  <c r="AF73" i="1" s="1"/>
  <c r="AC71" i="1"/>
  <c r="AD71" i="1" s="1"/>
  <c r="AB71" i="1"/>
  <c r="Z71" i="1"/>
  <c r="V71" i="1"/>
  <c r="W71" i="1" s="1"/>
  <c r="U71" i="1"/>
  <c r="S71" i="1"/>
  <c r="R71" i="1"/>
  <c r="Q71" i="1"/>
  <c r="O71" i="1"/>
  <c r="K71" i="1"/>
  <c r="J71" i="1"/>
  <c r="L71" i="1" s="1"/>
  <c r="G71" i="1"/>
  <c r="H71" i="1" s="1"/>
  <c r="F71" i="1"/>
  <c r="D71" i="1"/>
  <c r="AH70" i="1"/>
  <c r="AG70" i="1"/>
  <c r="AG73" i="1" s="1"/>
  <c r="AH73" i="1" s="1"/>
  <c r="AF70" i="1"/>
  <c r="AC70" i="1"/>
  <c r="AD70" i="1" s="1"/>
  <c r="AB70" i="1"/>
  <c r="AB85" i="1" s="1"/>
  <c r="Z70" i="1"/>
  <c r="W70" i="1"/>
  <c r="V70" i="1"/>
  <c r="U70" i="1"/>
  <c r="R70" i="1"/>
  <c r="S70" i="1" s="1"/>
  <c r="Q70" i="1"/>
  <c r="Q86" i="1" s="1"/>
  <c r="O70" i="1"/>
  <c r="K70" i="1"/>
  <c r="L70" i="1" s="1"/>
  <c r="J70" i="1"/>
  <c r="J80" i="1" s="1"/>
  <c r="G70" i="1"/>
  <c r="F70" i="1"/>
  <c r="H70" i="1" s="1"/>
  <c r="D70" i="1"/>
  <c r="Z69" i="1"/>
  <c r="O69" i="1"/>
  <c r="D69" i="1"/>
  <c r="AH68" i="1"/>
  <c r="AD68" i="1"/>
  <c r="W68" i="1"/>
  <c r="S68" i="1"/>
  <c r="L68" i="1"/>
  <c r="H68" i="1"/>
  <c r="J66" i="1"/>
  <c r="G66" i="1"/>
  <c r="G86" i="1" s="1"/>
  <c r="D66" i="1"/>
  <c r="K65" i="1"/>
  <c r="L65" i="1" s="1"/>
  <c r="J65" i="1"/>
  <c r="G65" i="1"/>
  <c r="H65" i="1" s="1"/>
  <c r="F65" i="1"/>
  <c r="D65" i="1"/>
  <c r="K64" i="1"/>
  <c r="L64" i="1" s="1"/>
  <c r="J64" i="1"/>
  <c r="H64" i="1"/>
  <c r="G64" i="1"/>
  <c r="F64" i="1"/>
  <c r="D64" i="1"/>
  <c r="K63" i="1"/>
  <c r="J63" i="1"/>
  <c r="L63" i="1" s="1"/>
  <c r="G63" i="1"/>
  <c r="H63" i="1" s="1"/>
  <c r="F63" i="1"/>
  <c r="D63" i="1"/>
  <c r="L62" i="1"/>
  <c r="K62" i="1"/>
  <c r="J62" i="1"/>
  <c r="G62" i="1"/>
  <c r="H62" i="1" s="1"/>
  <c r="F62" i="1"/>
  <c r="D62" i="1"/>
  <c r="L61" i="1"/>
  <c r="K61" i="1"/>
  <c r="K66" i="1" s="1"/>
  <c r="K86" i="1" s="1"/>
  <c r="J61" i="1"/>
  <c r="G61" i="1"/>
  <c r="H61" i="1" s="1"/>
  <c r="F61" i="1"/>
  <c r="F66" i="1" s="1"/>
  <c r="D61" i="1"/>
  <c r="J60" i="1"/>
  <c r="G60" i="1"/>
  <c r="G80" i="1" s="1"/>
  <c r="D60" i="1"/>
  <c r="K59" i="1"/>
  <c r="L59" i="1" s="1"/>
  <c r="J59" i="1"/>
  <c r="G59" i="1"/>
  <c r="H59" i="1" s="1"/>
  <c r="F59" i="1"/>
  <c r="D59" i="1"/>
  <c r="K58" i="1"/>
  <c r="L58" i="1" s="1"/>
  <c r="J58" i="1"/>
  <c r="H58" i="1"/>
  <c r="G58" i="1"/>
  <c r="F58" i="1"/>
  <c r="D58" i="1"/>
  <c r="K57" i="1"/>
  <c r="J57" i="1"/>
  <c r="L57" i="1" s="1"/>
  <c r="G57" i="1"/>
  <c r="H57" i="1" s="1"/>
  <c r="F57" i="1"/>
  <c r="D57" i="1"/>
  <c r="L56" i="1"/>
  <c r="K56" i="1"/>
  <c r="J56" i="1"/>
  <c r="G56" i="1"/>
  <c r="H56" i="1" s="1"/>
  <c r="F56" i="1"/>
  <c r="D56" i="1"/>
  <c r="L55" i="1"/>
  <c r="K55" i="1"/>
  <c r="K60" i="1" s="1"/>
  <c r="K80" i="1" s="1"/>
  <c r="J55" i="1"/>
  <c r="G55" i="1"/>
  <c r="H55" i="1" s="1"/>
  <c r="F55" i="1"/>
  <c r="F60" i="1" s="1"/>
  <c r="D55" i="1"/>
  <c r="K54" i="1"/>
  <c r="L54" i="1" s="1"/>
  <c r="J54" i="1"/>
  <c r="G54" i="1"/>
  <c r="F54" i="1"/>
  <c r="H54" i="1" s="1"/>
  <c r="D54" i="1"/>
  <c r="L53" i="1"/>
  <c r="K53" i="1"/>
  <c r="J53" i="1"/>
  <c r="H53" i="1"/>
  <c r="G53" i="1"/>
  <c r="F53" i="1"/>
  <c r="D53" i="1"/>
  <c r="K52" i="1"/>
  <c r="L52" i="1" s="1"/>
  <c r="J52" i="1"/>
  <c r="H52" i="1"/>
  <c r="G52" i="1"/>
  <c r="F52" i="1"/>
  <c r="D52" i="1"/>
  <c r="K51" i="1"/>
  <c r="L51" i="1" s="1"/>
  <c r="J51" i="1"/>
  <c r="G51" i="1"/>
  <c r="H51" i="1" s="1"/>
  <c r="F51" i="1"/>
  <c r="D51" i="1"/>
  <c r="K50" i="1"/>
  <c r="L50" i="1" s="1"/>
  <c r="J50" i="1"/>
  <c r="H50" i="1"/>
  <c r="G50" i="1"/>
  <c r="F50" i="1"/>
  <c r="D50" i="1"/>
  <c r="D49" i="1"/>
  <c r="L48" i="1"/>
  <c r="H48" i="1"/>
  <c r="D48" i="1"/>
  <c r="L46" i="1"/>
  <c r="K46" i="1"/>
  <c r="J46" i="1"/>
  <c r="H46" i="1"/>
  <c r="G46" i="1"/>
  <c r="F46" i="1"/>
  <c r="D46" i="1"/>
  <c r="J45" i="1"/>
  <c r="F45" i="1"/>
  <c r="D45" i="1"/>
  <c r="K44" i="1"/>
  <c r="J44" i="1"/>
  <c r="G44" i="1"/>
  <c r="F44" i="1"/>
  <c r="D44" i="1"/>
  <c r="K43" i="1"/>
  <c r="G43" i="1"/>
  <c r="D43" i="1"/>
  <c r="K42" i="1"/>
  <c r="J42" i="1"/>
  <c r="G42" i="1"/>
  <c r="F42" i="1"/>
  <c r="D42" i="1"/>
  <c r="J41" i="1"/>
  <c r="F41" i="1"/>
  <c r="D41" i="1"/>
  <c r="L40" i="1"/>
  <c r="K40" i="1"/>
  <c r="J40" i="1"/>
  <c r="G40" i="1"/>
  <c r="H40" i="1" s="1"/>
  <c r="F40" i="1"/>
  <c r="D40" i="1"/>
  <c r="K39" i="1"/>
  <c r="L39" i="1" s="1"/>
  <c r="J39" i="1"/>
  <c r="G39" i="1"/>
  <c r="F39" i="1"/>
  <c r="H39" i="1" s="1"/>
  <c r="D39" i="1"/>
  <c r="L38" i="1"/>
  <c r="K38" i="1"/>
  <c r="J38" i="1"/>
  <c r="H38" i="1"/>
  <c r="G38" i="1"/>
  <c r="F38" i="1"/>
  <c r="D38" i="1"/>
  <c r="K37" i="1"/>
  <c r="L37" i="1" s="1"/>
  <c r="J37" i="1"/>
  <c r="H37" i="1"/>
  <c r="G37" i="1"/>
  <c r="F37" i="1"/>
  <c r="D37" i="1"/>
  <c r="K36" i="1"/>
  <c r="L36" i="1" s="1"/>
  <c r="J36" i="1"/>
  <c r="G36" i="1"/>
  <c r="H36" i="1" s="1"/>
  <c r="F36" i="1"/>
  <c r="D36" i="1"/>
  <c r="K35" i="1"/>
  <c r="L35" i="1" s="1"/>
  <c r="J35" i="1"/>
  <c r="H35" i="1"/>
  <c r="G35" i="1"/>
  <c r="F35" i="1"/>
  <c r="D35" i="1"/>
  <c r="AR34" i="1"/>
  <c r="AQ34" i="1"/>
  <c r="AS34" i="1" s="1"/>
  <c r="AN34" i="1"/>
  <c r="AO34" i="1" s="1"/>
  <c r="AM34" i="1"/>
  <c r="AK34" i="1"/>
  <c r="L34" i="1"/>
  <c r="K34" i="1"/>
  <c r="J34" i="1"/>
  <c r="G34" i="1"/>
  <c r="H34" i="1" s="1"/>
  <c r="F34" i="1"/>
  <c r="D34" i="1"/>
  <c r="AK33" i="1"/>
  <c r="K33" i="1"/>
  <c r="L33" i="1" s="1"/>
  <c r="J33" i="1"/>
  <c r="H33" i="1"/>
  <c r="G33" i="1"/>
  <c r="F33" i="1"/>
  <c r="D33" i="1"/>
  <c r="AR32" i="1"/>
  <c r="AS32" i="1" s="1"/>
  <c r="AQ32" i="1"/>
  <c r="AQ33" i="1" s="1"/>
  <c r="AN32" i="1"/>
  <c r="AN33" i="1" s="1"/>
  <c r="AM32" i="1"/>
  <c r="AM33" i="1" s="1"/>
  <c r="AK32" i="1"/>
  <c r="K32" i="1"/>
  <c r="L32" i="1" s="1"/>
  <c r="J32" i="1"/>
  <c r="H32" i="1"/>
  <c r="G32" i="1"/>
  <c r="F32" i="1"/>
  <c r="D32" i="1"/>
  <c r="AR31" i="1"/>
  <c r="AQ31" i="1"/>
  <c r="AS31" i="1" s="1"/>
  <c r="AN31" i="1"/>
  <c r="AO31" i="1" s="1"/>
  <c r="AM31" i="1"/>
  <c r="AK31" i="1"/>
  <c r="O31" i="1"/>
  <c r="F31" i="1"/>
  <c r="D31" i="1"/>
  <c r="AR30" i="1"/>
  <c r="AS30" i="1" s="1"/>
  <c r="AQ30" i="1"/>
  <c r="AO30" i="1"/>
  <c r="AN30" i="1"/>
  <c r="AM30" i="1"/>
  <c r="AK30" i="1"/>
  <c r="V30" i="1"/>
  <c r="U30" i="1"/>
  <c r="W30" i="1" s="1"/>
  <c r="R30" i="1"/>
  <c r="S30" i="1" s="1"/>
  <c r="Q30" i="1"/>
  <c r="O30" i="1"/>
  <c r="L30" i="1"/>
  <c r="K30" i="1"/>
  <c r="J30" i="1"/>
  <c r="G30" i="1"/>
  <c r="H30" i="1" s="1"/>
  <c r="F30" i="1"/>
  <c r="D30" i="1"/>
  <c r="AR29" i="1"/>
  <c r="AK29" i="1"/>
  <c r="V29" i="1"/>
  <c r="W29" i="1" s="1"/>
  <c r="U29" i="1"/>
  <c r="S29" i="1"/>
  <c r="R29" i="1"/>
  <c r="Q29" i="1"/>
  <c r="O29" i="1"/>
  <c r="K29" i="1"/>
  <c r="L29" i="1" s="1"/>
  <c r="J29" i="1"/>
  <c r="G29" i="1"/>
  <c r="H29" i="1" s="1"/>
  <c r="F29" i="1"/>
  <c r="D29" i="1"/>
  <c r="AR28" i="1"/>
  <c r="AS28" i="1" s="1"/>
  <c r="AQ28" i="1"/>
  <c r="AO28" i="1"/>
  <c r="AN28" i="1"/>
  <c r="AM28" i="1"/>
  <c r="AM29" i="1" s="1"/>
  <c r="AK28" i="1"/>
  <c r="V28" i="1"/>
  <c r="U28" i="1"/>
  <c r="W28" i="1" s="1"/>
  <c r="R28" i="1"/>
  <c r="S28" i="1" s="1"/>
  <c r="Q28" i="1"/>
  <c r="O28" i="1"/>
  <c r="L28" i="1"/>
  <c r="K28" i="1"/>
  <c r="J28" i="1"/>
  <c r="G28" i="1"/>
  <c r="H28" i="1" s="1"/>
  <c r="F28" i="1"/>
  <c r="D28" i="1"/>
  <c r="AS27" i="1"/>
  <c r="AR27" i="1"/>
  <c r="AQ27" i="1"/>
  <c r="AN27" i="1"/>
  <c r="AO27" i="1" s="1"/>
  <c r="AM27" i="1"/>
  <c r="AK27" i="1"/>
  <c r="AC27" i="1"/>
  <c r="Z27" i="1"/>
  <c r="V27" i="1"/>
  <c r="W27" i="1" s="1"/>
  <c r="U27" i="1"/>
  <c r="R27" i="1"/>
  <c r="S27" i="1" s="1"/>
  <c r="Q27" i="1"/>
  <c r="O27" i="1"/>
  <c r="K27" i="1"/>
  <c r="L27" i="1" s="1"/>
  <c r="J27" i="1"/>
  <c r="H27" i="1"/>
  <c r="G27" i="1"/>
  <c r="F27" i="1"/>
  <c r="D27" i="1"/>
  <c r="AR26" i="1"/>
  <c r="AQ26" i="1"/>
  <c r="AS26" i="1" s="1"/>
  <c r="AN26" i="1"/>
  <c r="AO26" i="1" s="1"/>
  <c r="AM26" i="1"/>
  <c r="AK26" i="1"/>
  <c r="Z26" i="1"/>
  <c r="W26" i="1"/>
  <c r="V26" i="1"/>
  <c r="V31" i="1" s="1"/>
  <c r="U26" i="1"/>
  <c r="U31" i="1" s="1"/>
  <c r="R26" i="1"/>
  <c r="R31" i="1" s="1"/>
  <c r="Q26" i="1"/>
  <c r="Q31" i="1" s="1"/>
  <c r="O26" i="1"/>
  <c r="K26" i="1"/>
  <c r="L26" i="1" s="1"/>
  <c r="J26" i="1"/>
  <c r="J31" i="1" s="1"/>
  <c r="G26" i="1"/>
  <c r="F26" i="1"/>
  <c r="H26" i="1" s="1"/>
  <c r="D26" i="1"/>
  <c r="AS25" i="1"/>
  <c r="AR25" i="1"/>
  <c r="AQ25" i="1"/>
  <c r="AO25" i="1"/>
  <c r="AN25" i="1"/>
  <c r="AM25" i="1"/>
  <c r="AK25" i="1"/>
  <c r="AG25" i="1"/>
  <c r="AH25" i="1" s="1"/>
  <c r="AF25" i="1"/>
  <c r="AD25" i="1"/>
  <c r="AC25" i="1"/>
  <c r="AB25" i="1"/>
  <c r="Z25" i="1"/>
  <c r="V25" i="1"/>
  <c r="O25" i="1"/>
  <c r="J25" i="1"/>
  <c r="D25" i="1"/>
  <c r="AS24" i="1"/>
  <c r="AR24" i="1"/>
  <c r="AQ24" i="1"/>
  <c r="AO24" i="1"/>
  <c r="AN24" i="1"/>
  <c r="AM24" i="1"/>
  <c r="AK24" i="1"/>
  <c r="AG24" i="1"/>
  <c r="AH24" i="1" s="1"/>
  <c r="AF24" i="1"/>
  <c r="AD24" i="1"/>
  <c r="AC24" i="1"/>
  <c r="AB24" i="1"/>
  <c r="Z24" i="1"/>
  <c r="V24" i="1"/>
  <c r="W24" i="1" s="1"/>
  <c r="U24" i="1"/>
  <c r="R24" i="1"/>
  <c r="S24" i="1" s="1"/>
  <c r="Q24" i="1"/>
  <c r="O24" i="1"/>
  <c r="K24" i="1"/>
  <c r="L24" i="1" s="1"/>
  <c r="J24" i="1"/>
  <c r="H24" i="1"/>
  <c r="G24" i="1"/>
  <c r="F24" i="1"/>
  <c r="D24" i="1"/>
  <c r="AR23" i="1"/>
  <c r="AQ23" i="1"/>
  <c r="AS23" i="1" s="1"/>
  <c r="AN23" i="1"/>
  <c r="AO23" i="1" s="1"/>
  <c r="AM23" i="1"/>
  <c r="AK23" i="1"/>
  <c r="AH23" i="1"/>
  <c r="AG23" i="1"/>
  <c r="AG26" i="1" s="1"/>
  <c r="AF23" i="1"/>
  <c r="AF26" i="1" s="1"/>
  <c r="AC23" i="1"/>
  <c r="AD23" i="1" s="1"/>
  <c r="AB23" i="1"/>
  <c r="AB27" i="1" s="1"/>
  <c r="Z23" i="1"/>
  <c r="W23" i="1"/>
  <c r="V23" i="1"/>
  <c r="U23" i="1"/>
  <c r="R23" i="1"/>
  <c r="S23" i="1" s="1"/>
  <c r="Q23" i="1"/>
  <c r="O23" i="1"/>
  <c r="K23" i="1"/>
  <c r="L23" i="1" s="1"/>
  <c r="J23" i="1"/>
  <c r="G23" i="1"/>
  <c r="F23" i="1"/>
  <c r="H23" i="1" s="1"/>
  <c r="D23" i="1"/>
  <c r="AS22" i="1"/>
  <c r="AR22" i="1"/>
  <c r="AQ22" i="1"/>
  <c r="AO22" i="1"/>
  <c r="AN22" i="1"/>
  <c r="AM22" i="1"/>
  <c r="AK22" i="1"/>
  <c r="AF22" i="1"/>
  <c r="Z22" i="1"/>
  <c r="V22" i="1"/>
  <c r="U22" i="1"/>
  <c r="W22" i="1" s="1"/>
  <c r="R22" i="1"/>
  <c r="S22" i="1" s="1"/>
  <c r="Q22" i="1"/>
  <c r="O22" i="1"/>
  <c r="L22" i="1"/>
  <c r="K22" i="1"/>
  <c r="J22" i="1"/>
  <c r="G22" i="1"/>
  <c r="H22" i="1" s="1"/>
  <c r="F22" i="1"/>
  <c r="D22" i="1"/>
  <c r="AS21" i="1"/>
  <c r="AR21" i="1"/>
  <c r="AQ21" i="1"/>
  <c r="AN21" i="1"/>
  <c r="AO21" i="1" s="1"/>
  <c r="AM21" i="1"/>
  <c r="AK21" i="1"/>
  <c r="AG21" i="1"/>
  <c r="Z21" i="1"/>
  <c r="W21" i="1"/>
  <c r="V21" i="1"/>
  <c r="U21" i="1"/>
  <c r="S21" i="1"/>
  <c r="R21" i="1"/>
  <c r="Q21" i="1"/>
  <c r="O21" i="1"/>
  <c r="K21" i="1"/>
  <c r="L21" i="1" s="1"/>
  <c r="J21" i="1"/>
  <c r="H21" i="1"/>
  <c r="G21" i="1"/>
  <c r="F21" i="1"/>
  <c r="D21" i="1"/>
  <c r="AR20" i="1"/>
  <c r="AS20" i="1" s="1"/>
  <c r="AQ20" i="1"/>
  <c r="AN20" i="1"/>
  <c r="AO20" i="1" s="1"/>
  <c r="AM20" i="1"/>
  <c r="AK20" i="1"/>
  <c r="AG20" i="1"/>
  <c r="AH20" i="1" s="1"/>
  <c r="AF20" i="1"/>
  <c r="AD20" i="1"/>
  <c r="AC20" i="1"/>
  <c r="AB20" i="1"/>
  <c r="Z20" i="1"/>
  <c r="V20" i="1"/>
  <c r="U20" i="1"/>
  <c r="W20" i="1" s="1"/>
  <c r="R20" i="1"/>
  <c r="S20" i="1" s="1"/>
  <c r="Q20" i="1"/>
  <c r="Q25" i="1" s="1"/>
  <c r="O20" i="1"/>
  <c r="L20" i="1"/>
  <c r="K20" i="1"/>
  <c r="J20" i="1"/>
  <c r="G20" i="1"/>
  <c r="G25" i="1" s="1"/>
  <c r="F20" i="1"/>
  <c r="F25" i="1" s="1"/>
  <c r="D20" i="1"/>
  <c r="AS19" i="1"/>
  <c r="AR19" i="1"/>
  <c r="AQ19" i="1"/>
  <c r="AN19" i="1"/>
  <c r="AO19" i="1" s="1"/>
  <c r="AM19" i="1"/>
  <c r="AH19" i="1"/>
  <c r="AG19" i="1"/>
  <c r="AF19" i="1"/>
  <c r="AF21" i="1" s="1"/>
  <c r="AD19" i="1"/>
  <c r="AC19" i="1"/>
  <c r="AB19" i="1"/>
  <c r="Z19" i="1"/>
  <c r="V19" i="1"/>
  <c r="W19" i="1" s="1"/>
  <c r="U19" i="1"/>
  <c r="S19" i="1"/>
  <c r="R19" i="1"/>
  <c r="Q19" i="1"/>
  <c r="O19" i="1"/>
  <c r="K19" i="1"/>
  <c r="L19" i="1" s="1"/>
  <c r="J19" i="1"/>
  <c r="G19" i="1"/>
  <c r="H19" i="1" s="1"/>
  <c r="F19" i="1"/>
  <c r="D19" i="1"/>
  <c r="AR18" i="1"/>
  <c r="AS18" i="1" s="1"/>
  <c r="AQ18" i="1"/>
  <c r="AO18" i="1"/>
  <c r="AN18" i="1"/>
  <c r="AM18" i="1"/>
  <c r="AH18" i="1"/>
  <c r="AG18" i="1"/>
  <c r="AF18" i="1"/>
  <c r="AC18" i="1"/>
  <c r="AC21" i="1" s="1"/>
  <c r="AD21" i="1" s="1"/>
  <c r="AB18" i="1"/>
  <c r="AB21" i="1" s="1"/>
  <c r="Z18" i="1"/>
  <c r="W18" i="1"/>
  <c r="V18" i="1"/>
  <c r="U18" i="1"/>
  <c r="R18" i="1"/>
  <c r="S18" i="1" s="1"/>
  <c r="Q18" i="1"/>
  <c r="O18" i="1"/>
  <c r="K18" i="1"/>
  <c r="L18" i="1" s="1"/>
  <c r="J18" i="1"/>
  <c r="G18" i="1"/>
  <c r="F18" i="1"/>
  <c r="H18" i="1" s="1"/>
  <c r="D18" i="1"/>
  <c r="AS17" i="1"/>
  <c r="AR17" i="1"/>
  <c r="AQ17" i="1"/>
  <c r="AO17" i="1"/>
  <c r="AN17" i="1"/>
  <c r="AM17" i="1"/>
  <c r="AK17" i="1"/>
  <c r="Z17" i="1"/>
  <c r="V17" i="1"/>
  <c r="W17" i="1" s="1"/>
  <c r="U17" i="1"/>
  <c r="R17" i="1"/>
  <c r="S17" i="1" s="1"/>
  <c r="Q17" i="1"/>
  <c r="O17" i="1"/>
  <c r="K17" i="1"/>
  <c r="L17" i="1" s="1"/>
  <c r="J17" i="1"/>
  <c r="H17" i="1"/>
  <c r="G17" i="1"/>
  <c r="F17" i="1"/>
  <c r="D17" i="1"/>
  <c r="AR16" i="1"/>
  <c r="AQ16" i="1"/>
  <c r="AS16" i="1" s="1"/>
  <c r="AN16" i="1"/>
  <c r="AO16" i="1" s="1"/>
  <c r="AM16" i="1"/>
  <c r="AK16" i="1"/>
  <c r="AC16" i="1"/>
  <c r="AD16" i="1" s="1"/>
  <c r="AB16" i="1"/>
  <c r="Z16" i="1"/>
  <c r="W16" i="1"/>
  <c r="V16" i="1"/>
  <c r="U16" i="1"/>
  <c r="R16" i="1"/>
  <c r="S16" i="1" s="1"/>
  <c r="Q16" i="1"/>
  <c r="O16" i="1"/>
  <c r="K16" i="1"/>
  <c r="L16" i="1" s="1"/>
  <c r="J16" i="1"/>
  <c r="G16" i="1"/>
  <c r="F16" i="1"/>
  <c r="H16" i="1" s="1"/>
  <c r="D16" i="1"/>
  <c r="AS15" i="1"/>
  <c r="AR15" i="1"/>
  <c r="AQ15" i="1"/>
  <c r="AO15" i="1"/>
  <c r="AN15" i="1"/>
  <c r="AM15" i="1"/>
  <c r="AG15" i="1"/>
  <c r="AH15" i="1" s="1"/>
  <c r="AF15" i="1"/>
  <c r="AC15" i="1"/>
  <c r="AD15" i="1" s="1"/>
  <c r="Z15" i="1"/>
  <c r="V15" i="1"/>
  <c r="W15" i="1" s="1"/>
  <c r="U15" i="1"/>
  <c r="S15" i="1"/>
  <c r="R15" i="1"/>
  <c r="Q15" i="1"/>
  <c r="O15" i="1"/>
  <c r="K15" i="1"/>
  <c r="J15" i="1"/>
  <c r="L15" i="1" s="1"/>
  <c r="G15" i="1"/>
  <c r="H15" i="1" s="1"/>
  <c r="F15" i="1"/>
  <c r="D15" i="1"/>
  <c r="AS14" i="1"/>
  <c r="AR14" i="1"/>
  <c r="AQ14" i="1"/>
  <c r="AN14" i="1"/>
  <c r="AO14" i="1" s="1"/>
  <c r="AM14" i="1"/>
  <c r="Z14" i="1"/>
  <c r="W14" i="1"/>
  <c r="V14" i="1"/>
  <c r="U14" i="1"/>
  <c r="S14" i="1"/>
  <c r="R14" i="1"/>
  <c r="Q14" i="1"/>
  <c r="O14" i="1"/>
  <c r="K14" i="1"/>
  <c r="L14" i="1" s="1"/>
  <c r="J14" i="1"/>
  <c r="H14" i="1"/>
  <c r="G14" i="1"/>
  <c r="F14" i="1"/>
  <c r="D14" i="1"/>
  <c r="AR13" i="1"/>
  <c r="AS13" i="1" s="1"/>
  <c r="AQ13" i="1"/>
  <c r="AN13" i="1"/>
  <c r="AO13" i="1" s="1"/>
  <c r="AM13" i="1"/>
  <c r="AK13" i="1"/>
  <c r="Z13" i="1"/>
  <c r="V13" i="1"/>
  <c r="U13" i="1"/>
  <c r="W13" i="1" s="1"/>
  <c r="R13" i="1"/>
  <c r="S13" i="1" s="1"/>
  <c r="Q13" i="1"/>
  <c r="O13" i="1"/>
  <c r="L13" i="1"/>
  <c r="K13" i="1"/>
  <c r="J13" i="1"/>
  <c r="G13" i="1"/>
  <c r="H13" i="1" s="1"/>
  <c r="F13" i="1"/>
  <c r="D13" i="1"/>
  <c r="AS12" i="1"/>
  <c r="AR12" i="1"/>
  <c r="AQ12" i="1"/>
  <c r="AN12" i="1"/>
  <c r="AO12" i="1" s="1"/>
  <c r="AM12" i="1"/>
  <c r="AK12" i="1"/>
  <c r="AG12" i="1"/>
  <c r="AG16" i="1" s="1"/>
  <c r="AF12" i="1"/>
  <c r="AF16" i="1" s="1"/>
  <c r="AC12" i="1"/>
  <c r="AB12" i="1"/>
  <c r="AD12" i="1" s="1"/>
  <c r="Z12" i="1"/>
  <c r="W12" i="1"/>
  <c r="V12" i="1"/>
  <c r="U12" i="1"/>
  <c r="S12" i="1"/>
  <c r="R12" i="1"/>
  <c r="Q12" i="1"/>
  <c r="O12" i="1"/>
  <c r="K12" i="1"/>
  <c r="L12" i="1" s="1"/>
  <c r="J12" i="1"/>
  <c r="H12" i="1"/>
  <c r="G12" i="1"/>
  <c r="F12" i="1"/>
  <c r="D12" i="1"/>
  <c r="AR11" i="1"/>
  <c r="AS11" i="1" s="1"/>
  <c r="AQ11" i="1"/>
  <c r="AQ29" i="1" s="1"/>
  <c r="AN11" i="1"/>
  <c r="AN29" i="1" s="1"/>
  <c r="AM11" i="1"/>
  <c r="AK11" i="1"/>
  <c r="AG11" i="1"/>
  <c r="AH11" i="1" s="1"/>
  <c r="AF11" i="1"/>
  <c r="AD11" i="1"/>
  <c r="AC11" i="1"/>
  <c r="AC13" i="1" s="1"/>
  <c r="AB11" i="1"/>
  <c r="AB15" i="1" s="1"/>
  <c r="Z11" i="1"/>
  <c r="V11" i="1"/>
  <c r="U11" i="1"/>
  <c r="W11" i="1" s="1"/>
  <c r="R11" i="1"/>
  <c r="S11" i="1" s="1"/>
  <c r="Q11" i="1"/>
  <c r="O11" i="1"/>
  <c r="L11" i="1"/>
  <c r="K11" i="1"/>
  <c r="J11" i="1"/>
  <c r="G11" i="1"/>
  <c r="H11" i="1" s="1"/>
  <c r="F11" i="1"/>
  <c r="D11" i="1"/>
  <c r="AS10" i="1"/>
  <c r="AR10" i="1"/>
  <c r="AQ10" i="1"/>
  <c r="AN10" i="1"/>
  <c r="AO10" i="1" s="1"/>
  <c r="AM10" i="1"/>
  <c r="AK10" i="1"/>
  <c r="AG10" i="1"/>
  <c r="AG13" i="1" s="1"/>
  <c r="AF10" i="1"/>
  <c r="AF14" i="1" s="1"/>
  <c r="AC10" i="1"/>
  <c r="AC14" i="1" s="1"/>
  <c r="AB10" i="1"/>
  <c r="AD10" i="1" s="1"/>
  <c r="Z10" i="1"/>
  <c r="W10" i="1"/>
  <c r="V10" i="1"/>
  <c r="U10" i="1"/>
  <c r="U25" i="1" s="1"/>
  <c r="S10" i="1"/>
  <c r="R10" i="1"/>
  <c r="Q10" i="1"/>
  <c r="O10" i="1"/>
  <c r="K10" i="1"/>
  <c r="K25" i="1" s="1"/>
  <c r="J10" i="1"/>
  <c r="H10" i="1"/>
  <c r="G10" i="1"/>
  <c r="G31" i="1" s="1"/>
  <c r="F10" i="1"/>
  <c r="D10" i="1"/>
  <c r="AK9" i="1"/>
  <c r="Z9" i="1"/>
  <c r="O9" i="1"/>
  <c r="D9" i="1"/>
  <c r="AS8" i="1"/>
  <c r="AO8" i="1"/>
  <c r="AK8" i="1"/>
  <c r="AH8" i="1"/>
  <c r="AD8" i="1"/>
  <c r="Z8" i="1"/>
  <c r="W8" i="1"/>
  <c r="S8" i="1"/>
  <c r="O8" i="1"/>
  <c r="L8" i="1"/>
  <c r="H8" i="1"/>
  <c r="D8" i="1"/>
  <c r="AQ6" i="1"/>
  <c r="AM6" i="1"/>
  <c r="AF6" i="1"/>
  <c r="AB6" i="1"/>
  <c r="U6" i="1"/>
  <c r="U141" i="1" s="1"/>
  <c r="Q6" i="1"/>
  <c r="Q141" i="1" s="1"/>
  <c r="J6" i="1"/>
  <c r="J96" i="1" s="1"/>
  <c r="J110" i="1" s="1"/>
  <c r="J120" i="1" s="1"/>
  <c r="F6" i="1"/>
  <c r="AK3" i="1"/>
  <c r="Z3" i="1"/>
  <c r="O3" i="1"/>
  <c r="D3" i="1"/>
  <c r="AH21" i="1" l="1"/>
  <c r="AC17" i="1"/>
  <c r="AH16" i="1"/>
  <c r="AF17" i="1"/>
  <c r="AH26" i="1"/>
  <c r="AH13" i="1"/>
  <c r="AD84" i="1"/>
  <c r="AD13" i="1"/>
  <c r="AB13" i="1"/>
  <c r="AG14" i="1"/>
  <c r="AB22" i="1"/>
  <c r="AF27" i="1"/>
  <c r="AR33" i="1"/>
  <c r="AB79" i="1"/>
  <c r="AH10" i="1"/>
  <c r="AO11" i="1"/>
  <c r="AH12" i="1"/>
  <c r="AC22" i="1"/>
  <c r="AG27" i="1"/>
  <c r="AO32" i="1"/>
  <c r="AB73" i="1"/>
  <c r="AD73" i="1" s="1"/>
  <c r="AH75" i="1"/>
  <c r="AC79" i="1"/>
  <c r="R25" i="1"/>
  <c r="AB26" i="1"/>
  <c r="K31" i="1"/>
  <c r="L10" i="1"/>
  <c r="AF13" i="1"/>
  <c r="AG22" i="1"/>
  <c r="AC26" i="1"/>
  <c r="AD76" i="1"/>
  <c r="AG79" i="1"/>
  <c r="W81" i="1"/>
  <c r="AF85" i="1"/>
  <c r="Q110" i="1"/>
  <c r="Q155" i="1"/>
  <c r="AB14" i="1"/>
  <c r="AB17" i="1" s="1"/>
  <c r="AD18" i="1"/>
  <c r="H20" i="1"/>
  <c r="AG85" i="1"/>
  <c r="U110" i="1"/>
  <c r="U155" i="1"/>
  <c r="S26" i="1"/>
  <c r="Q124" i="1"/>
  <c r="U124" i="1"/>
  <c r="AD26" i="1" l="1"/>
  <c r="AG17" i="1"/>
  <c r="AH17" i="1" s="1"/>
  <c r="AH14" i="1"/>
  <c r="AD14" i="1"/>
  <c r="AD17" i="1"/>
</calcChain>
</file>

<file path=xl/sharedStrings.xml><?xml version="1.0" encoding="utf-8"?>
<sst xmlns="http://schemas.openxmlformats.org/spreadsheetml/2006/main" count="10" uniqueCount="7">
  <si>
    <t>idioma</t>
  </si>
  <si>
    <t>ENG</t>
  </si>
  <si>
    <t>ESP</t>
  </si>
  <si>
    <t>Español</t>
  </si>
  <si>
    <t>English</t>
  </si>
  <si>
    <t>El País</t>
  </si>
  <si>
    <t>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</si>
</sst>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#,##0.0"/>
    <numFmt numFmtId="166" formatCode="#,##0.0;\(#,##0.0\)"/>
    <numFmt numFmtId="167" formatCode="0.0;\ \(0.0\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Neo Sans Pro"/>
      <family val="2"/>
    </font>
    <font>
      <b/>
      <sz val="12"/>
      <color rgb="FF0070C0"/>
      <name val="Neo Sans Pro"/>
      <family val="2"/>
    </font>
    <font>
      <b/>
      <sz val="10"/>
      <color theme="0"/>
      <name val="Neo Sans Pro"/>
      <family val="2"/>
    </font>
    <font>
      <sz val="8"/>
      <color theme="1"/>
      <name val="Neo Sans Pro"/>
      <family val="2"/>
    </font>
    <font>
      <b/>
      <sz val="10"/>
      <color rgb="FF00B0F0"/>
      <name val="Neo Sans Pro"/>
      <family val="2"/>
    </font>
    <font>
      <b/>
      <sz val="10"/>
      <color theme="1"/>
      <name val="Neo Sans Pro"/>
      <family val="2"/>
    </font>
    <font>
      <i/>
      <sz val="10"/>
      <color theme="1"/>
      <name val="Neo Sans Pro"/>
      <family val="2"/>
    </font>
    <font>
      <b/>
      <sz val="10"/>
      <color rgb="FFFF0000"/>
      <name val="Neo Sans Pro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00076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theme="4" tint="-0.499984740745262"/>
      </bottom>
      <diagonal/>
    </border>
    <border>
      <left/>
      <right/>
      <top/>
      <bottom style="thin">
        <color theme="4" tint="-0.4999847407452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4" tint="-0.499984740745262"/>
      </top>
      <bottom style="thin">
        <color indexed="64"/>
      </bottom>
      <diagonal/>
    </border>
    <border>
      <left/>
      <right/>
      <top style="thick">
        <color theme="0"/>
      </top>
      <bottom/>
      <diagonal/>
    </border>
    <border>
      <left/>
      <right/>
      <top style="thick">
        <color theme="0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2" fillId="2" borderId="0" xfId="0" applyFont="1" applyFill="1"/>
    <xf numFmtId="0" fontId="2" fillId="2" borderId="1" xfId="0" applyFont="1" applyFill="1" applyBorder="1"/>
    <xf numFmtId="0" fontId="3" fillId="2" borderId="2" xfId="0" applyFont="1" applyFill="1" applyBorder="1"/>
    <xf numFmtId="0" fontId="2" fillId="2" borderId="2" xfId="0" applyFont="1" applyFill="1" applyBorder="1"/>
    <xf numFmtId="164" fontId="2" fillId="2" borderId="2" xfId="1" applyNumberFormat="1" applyFont="1" applyFill="1" applyBorder="1"/>
    <xf numFmtId="0" fontId="2" fillId="2" borderId="0" xfId="0" quotePrefix="1" applyFont="1" applyFill="1"/>
    <xf numFmtId="0" fontId="4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5" fillId="2" borderId="0" xfId="0" applyFont="1" applyFill="1"/>
    <xf numFmtId="0" fontId="4" fillId="3" borderId="0" xfId="0" applyFont="1" applyFill="1" applyAlignment="1">
      <alignment horizontal="right" indent="1"/>
    </xf>
    <xf numFmtId="0" fontId="6" fillId="2" borderId="3" xfId="0" applyFont="1" applyFill="1" applyBorder="1"/>
    <xf numFmtId="165" fontId="2" fillId="2" borderId="3" xfId="0" applyNumberFormat="1" applyFont="1" applyFill="1" applyBorder="1"/>
    <xf numFmtId="0" fontId="2" fillId="2" borderId="3" xfId="0" applyFont="1" applyFill="1" applyBorder="1"/>
    <xf numFmtId="0" fontId="7" fillId="2" borderId="0" xfId="0" applyFont="1" applyFill="1"/>
    <xf numFmtId="166" fontId="7" fillId="4" borderId="0" xfId="0" applyNumberFormat="1" applyFont="1" applyFill="1" applyAlignment="1">
      <alignment horizontal="right" indent="1"/>
    </xf>
    <xf numFmtId="166" fontId="7" fillId="2" borderId="0" xfId="0" applyNumberFormat="1" applyFont="1" applyFill="1" applyAlignment="1">
      <alignment horizontal="right" indent="1"/>
    </xf>
    <xf numFmtId="167" fontId="7" fillId="2" borderId="0" xfId="0" applyNumberFormat="1" applyFont="1" applyFill="1" applyAlignment="1">
      <alignment horizontal="right" indent="1"/>
    </xf>
    <xf numFmtId="0" fontId="7" fillId="2" borderId="4" xfId="0" applyFont="1" applyFill="1" applyBorder="1"/>
    <xf numFmtId="166" fontId="7" fillId="4" borderId="5" xfId="0" applyNumberFormat="1" applyFont="1" applyFill="1" applyBorder="1" applyAlignment="1">
      <alignment horizontal="right" indent="1"/>
    </xf>
    <xf numFmtId="166" fontId="7" fillId="2" borderId="5" xfId="0" applyNumberFormat="1" applyFont="1" applyFill="1" applyBorder="1" applyAlignment="1">
      <alignment horizontal="right" indent="1"/>
    </xf>
    <xf numFmtId="167" fontId="7" fillId="2" borderId="5" xfId="0" applyNumberFormat="1" applyFont="1" applyFill="1" applyBorder="1" applyAlignment="1">
      <alignment horizontal="right" indent="1"/>
    </xf>
    <xf numFmtId="0" fontId="2" fillId="2" borderId="0" xfId="0" applyFont="1" applyFill="1" applyAlignment="1">
      <alignment horizontal="left" indent="2"/>
    </xf>
    <xf numFmtId="166" fontId="2" fillId="4" borderId="0" xfId="0" applyNumberFormat="1" applyFont="1" applyFill="1" applyAlignment="1">
      <alignment horizontal="right" indent="1"/>
    </xf>
    <xf numFmtId="166" fontId="2" fillId="2" borderId="0" xfId="0" applyNumberFormat="1" applyFont="1" applyFill="1" applyAlignment="1">
      <alignment horizontal="right" indent="1"/>
    </xf>
    <xf numFmtId="167" fontId="2" fillId="2" borderId="0" xfId="0" applyNumberFormat="1" applyFont="1" applyFill="1" applyAlignment="1">
      <alignment horizontal="right" indent="1"/>
    </xf>
    <xf numFmtId="0" fontId="7" fillId="2" borderId="0" xfId="0" applyFont="1" applyFill="1" applyAlignment="1">
      <alignment horizontal="left" indent="1"/>
    </xf>
    <xf numFmtId="0" fontId="2" fillId="2" borderId="0" xfId="0" applyFont="1" applyFill="1" applyAlignment="1">
      <alignment horizontal="left" indent="4"/>
    </xf>
    <xf numFmtId="0" fontId="8" fillId="2" borderId="0" xfId="0" applyFont="1" applyFill="1" applyAlignment="1">
      <alignment horizontal="left" indent="2"/>
    </xf>
    <xf numFmtId="0" fontId="8" fillId="2" borderId="0" xfId="0" applyFont="1" applyFill="1"/>
    <xf numFmtId="166" fontId="8" fillId="4" borderId="0" xfId="0" applyNumberFormat="1" applyFont="1" applyFill="1" applyAlignment="1">
      <alignment horizontal="right" indent="1"/>
    </xf>
    <xf numFmtId="166" fontId="8" fillId="2" borderId="0" xfId="0" applyNumberFormat="1" applyFont="1" applyFill="1" applyAlignment="1">
      <alignment horizontal="right" indent="1"/>
    </xf>
    <xf numFmtId="167" fontId="8" fillId="2" borderId="0" xfId="0" applyNumberFormat="1" applyFont="1" applyFill="1" applyAlignment="1">
      <alignment horizontal="right" indent="1"/>
    </xf>
    <xf numFmtId="0" fontId="8" fillId="2" borderId="0" xfId="0" applyFont="1" applyFill="1" applyAlignment="1">
      <alignment horizontal="left" indent="4"/>
    </xf>
    <xf numFmtId="167" fontId="7" fillId="2" borderId="6" xfId="0" applyNumberFormat="1" applyFont="1" applyFill="1" applyBorder="1" applyAlignment="1">
      <alignment horizontal="right" indent="1"/>
    </xf>
    <xf numFmtId="0" fontId="8" fillId="2" borderId="0" xfId="0" applyFont="1" applyFill="1" applyAlignment="1">
      <alignment horizontal="left" indent="6"/>
    </xf>
    <xf numFmtId="164" fontId="8" fillId="4" borderId="0" xfId="0" applyNumberFormat="1" applyFont="1" applyFill="1" applyAlignment="1">
      <alignment horizontal="right" indent="1"/>
    </xf>
    <xf numFmtId="164" fontId="8" fillId="2" borderId="0" xfId="0" applyNumberFormat="1" applyFont="1" applyFill="1" applyAlignment="1">
      <alignment horizontal="right" indent="1"/>
    </xf>
    <xf numFmtId="0" fontId="8" fillId="2" borderId="0" xfId="0" applyFont="1" applyFill="1" applyAlignment="1">
      <alignment horizontal="right" indent="1"/>
    </xf>
    <xf numFmtId="0" fontId="7" fillId="2" borderId="7" xfId="0" applyFont="1" applyFill="1" applyBorder="1"/>
    <xf numFmtId="0" fontId="7" fillId="2" borderId="6" xfId="0" applyFont="1" applyFill="1" applyBorder="1"/>
    <xf numFmtId="166" fontId="7" fillId="4" borderId="4" xfId="0" applyNumberFormat="1" applyFont="1" applyFill="1" applyBorder="1" applyAlignment="1">
      <alignment horizontal="right" indent="1"/>
    </xf>
    <xf numFmtId="166" fontId="7" fillId="2" borderId="7" xfId="0" applyNumberFormat="1" applyFont="1" applyFill="1" applyBorder="1" applyAlignment="1">
      <alignment horizontal="right" indent="1"/>
    </xf>
    <xf numFmtId="167" fontId="7" fillId="2" borderId="7" xfId="0" applyNumberFormat="1" applyFont="1" applyFill="1" applyBorder="1" applyAlignment="1">
      <alignment horizontal="right" indent="1"/>
    </xf>
    <xf numFmtId="0" fontId="7" fillId="2" borderId="4" xfId="0" applyFont="1" applyFill="1" applyBorder="1" applyAlignment="1">
      <alignment horizontal="left" indent="1"/>
    </xf>
    <xf numFmtId="0" fontId="8" fillId="2" borderId="3" xfId="0" applyFont="1" applyFill="1" applyBorder="1" applyAlignment="1">
      <alignment horizontal="left" indent="2"/>
    </xf>
    <xf numFmtId="164" fontId="8" fillId="4" borderId="3" xfId="0" applyNumberFormat="1" applyFont="1" applyFill="1" applyBorder="1" applyAlignment="1">
      <alignment horizontal="right" indent="1"/>
    </xf>
    <xf numFmtId="164" fontId="8" fillId="2" borderId="3" xfId="0" applyNumberFormat="1" applyFont="1" applyFill="1" applyBorder="1" applyAlignment="1">
      <alignment horizontal="right" indent="1"/>
    </xf>
    <xf numFmtId="0" fontId="8" fillId="2" borderId="3" xfId="0" applyFont="1" applyFill="1" applyBorder="1" applyAlignment="1">
      <alignment horizontal="right" indent="1"/>
    </xf>
    <xf numFmtId="0" fontId="4" fillId="2" borderId="0" xfId="0" applyFont="1" applyFill="1" applyAlignment="1">
      <alignment horizontal="right" indent="1"/>
    </xf>
    <xf numFmtId="0" fontId="6" fillId="2" borderId="0" xfId="0" applyFont="1" applyFill="1"/>
    <xf numFmtId="165" fontId="2" fillId="2" borderId="0" xfId="0" applyNumberFormat="1" applyFont="1" applyFill="1"/>
    <xf numFmtId="166" fontId="7" fillId="2" borderId="6" xfId="0" applyNumberFormat="1" applyFont="1" applyFill="1" applyBorder="1" applyAlignment="1">
      <alignment horizontal="right" indent="1"/>
    </xf>
    <xf numFmtId="0" fontId="7" fillId="2" borderId="3" xfId="0" applyFont="1" applyFill="1" applyBorder="1"/>
    <xf numFmtId="166" fontId="7" fillId="4" borderId="3" xfId="0" applyNumberFormat="1" applyFont="1" applyFill="1" applyBorder="1" applyAlignment="1">
      <alignment horizontal="right" indent="1"/>
    </xf>
    <xf numFmtId="166" fontId="7" fillId="2" borderId="3" xfId="0" applyNumberFormat="1" applyFont="1" applyFill="1" applyBorder="1" applyAlignment="1">
      <alignment horizontal="right" indent="1"/>
    </xf>
    <xf numFmtId="167" fontId="7" fillId="2" borderId="3" xfId="0" applyNumberFormat="1" applyFont="1" applyFill="1" applyBorder="1" applyAlignment="1">
      <alignment horizontal="right" indent="1"/>
    </xf>
    <xf numFmtId="0" fontId="2" fillId="5" borderId="0" xfId="0" applyFont="1" applyFill="1"/>
    <xf numFmtId="0" fontId="9" fillId="2" borderId="0" xfId="0" applyFont="1" applyFill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LACI&#211;N%20CON%20INVERSORES/NEW/RESULTS/2020/4Q2020/DEF/TABLAS%20NOTA%20IR%20DEF%2023%20FEBRE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UPO"/>
      <sheetName val="SANTILLANA"/>
      <sheetName val="RADIO"/>
      <sheetName val="NOTICIAS"/>
      <sheetName val="TRANSFORMACIÓN"/>
      <sheetName val="To Publish 4Q"/>
      <sheetName val="To Publish 3Q"/>
      <sheetName val="MEDIA CAPITAL"/>
      <sheetName val="To Publish 2Q"/>
      <sheetName val="Hoja1"/>
    </sheetNames>
    <sheetDataSet>
      <sheetData sheetId="0">
        <row r="10">
          <cell r="AC10">
            <v>700.64061539075271</v>
          </cell>
          <cell r="AD10">
            <v>964.88539770247667</v>
          </cell>
          <cell r="AG10">
            <v>206.02327616619476</v>
          </cell>
          <cell r="AH10">
            <v>315.72671911740281</v>
          </cell>
        </row>
        <row r="11">
          <cell r="AC11">
            <v>285.32841093398071</v>
          </cell>
          <cell r="AD11">
            <v>385.11898828555434</v>
          </cell>
          <cell r="AG11">
            <v>94.622148311389935</v>
          </cell>
          <cell r="AH11">
            <v>116.49693342298696</v>
          </cell>
        </row>
        <row r="12">
          <cell r="AC12">
            <v>415.31220445677201</v>
          </cell>
          <cell r="AD12">
            <v>579.76640941692233</v>
          </cell>
          <cell r="AG12">
            <v>111.40112785480483</v>
          </cell>
          <cell r="AH12">
            <v>199.22978569441585</v>
          </cell>
        </row>
        <row r="13">
          <cell r="AC13">
            <v>410.47742245677199</v>
          </cell>
          <cell r="AD13">
            <v>575.92012841692235</v>
          </cell>
          <cell r="AG13">
            <v>110.94329985480488</v>
          </cell>
          <cell r="AH13">
            <v>199.21670269441586</v>
          </cell>
        </row>
        <row r="14">
          <cell r="AC14">
            <v>4.8347820000000015</v>
          </cell>
          <cell r="AD14">
            <v>3.8462809999999994</v>
          </cell>
          <cell r="AG14">
            <v>0.4578280000000019</v>
          </cell>
          <cell r="AH14">
            <v>1.3082999999999512E-2</v>
          </cell>
        </row>
        <row r="15">
          <cell r="AC15">
            <v>636.77529041731623</v>
          </cell>
          <cell r="AD15">
            <v>826.70792523336695</v>
          </cell>
          <cell r="AG15">
            <v>165.4463943387039</v>
          </cell>
          <cell r="AH15">
            <v>221.90530649745551</v>
          </cell>
        </row>
        <row r="16">
          <cell r="AC16">
            <v>313.3660624516902</v>
          </cell>
          <cell r="AD16">
            <v>412.83695148163827</v>
          </cell>
          <cell r="AG16">
            <v>85.080732589099568</v>
          </cell>
          <cell r="AH16">
            <v>100.24733915907143</v>
          </cell>
        </row>
        <row r="17">
          <cell r="AC17">
            <v>323.40922796562609</v>
          </cell>
          <cell r="AD17">
            <v>413.87097375172868</v>
          </cell>
          <cell r="AG17">
            <v>80.365661749604385</v>
          </cell>
          <cell r="AH17">
            <v>121.65796733838403</v>
          </cell>
        </row>
        <row r="18">
          <cell r="AC18">
            <v>321.15340772562604</v>
          </cell>
          <cell r="AD18">
            <v>412.26535675172869</v>
          </cell>
          <cell r="AG18">
            <v>79.8998147996044</v>
          </cell>
          <cell r="AH18">
            <v>121.496009338384</v>
          </cell>
        </row>
        <row r="19">
          <cell r="AC19">
            <v>2.2558202400000016</v>
          </cell>
          <cell r="AD19">
            <v>1.6056170000000001</v>
          </cell>
          <cell r="AG19">
            <v>0.46584695000001197</v>
          </cell>
          <cell r="AH19">
            <v>0.16195800000000027</v>
          </cell>
        </row>
        <row r="20">
          <cell r="AC20">
            <v>63.865324973436444</v>
          </cell>
          <cell r="AD20">
            <v>138.17747246910972</v>
          </cell>
          <cell r="AG20">
            <v>40.57688182749083</v>
          </cell>
          <cell r="AH20">
            <v>93.821412619947324</v>
          </cell>
        </row>
        <row r="21">
          <cell r="AC21">
            <v>-28.037651517709506</v>
          </cell>
          <cell r="AD21">
            <v>-27.717963196083929</v>
          </cell>
          <cell r="AG21">
            <v>9.5414157222903668</v>
          </cell>
          <cell r="AH21">
            <v>16.249594263915512</v>
          </cell>
        </row>
        <row r="22">
          <cell r="AC22">
            <v>91.902976491145949</v>
          </cell>
          <cell r="AD22">
            <v>165.89543566519365</v>
          </cell>
          <cell r="AG22">
            <v>31.035466105200463</v>
          </cell>
          <cell r="AH22">
            <v>77.571818356031812</v>
          </cell>
        </row>
        <row r="23">
          <cell r="AC23">
            <v>89.324014731145951</v>
          </cell>
          <cell r="AD23">
            <v>163.65477166519366</v>
          </cell>
          <cell r="AG23">
            <v>31.043485055200478</v>
          </cell>
          <cell r="AH23">
            <v>77.720693356031845</v>
          </cell>
        </row>
        <row r="24">
          <cell r="AC24">
            <v>2.5789617599999999</v>
          </cell>
          <cell r="AD24">
            <v>2.2406639999999993</v>
          </cell>
          <cell r="AG24">
            <v>-8.0189500000100722E-3</v>
          </cell>
          <cell r="AH24">
            <v>-0.14887500000000076</v>
          </cell>
        </row>
        <row r="26">
          <cell r="AC26">
            <v>-29.108441231509378</v>
          </cell>
          <cell r="AD26">
            <v>53.429745350412446</v>
          </cell>
          <cell r="AG26">
            <v>21.214277563099987</v>
          </cell>
          <cell r="AH26">
            <v>64.711147706025969</v>
          </cell>
        </row>
        <row r="27">
          <cell r="AC27">
            <v>-57.313833279853299</v>
          </cell>
          <cell r="AD27">
            <v>-58.808797269958305</v>
          </cell>
          <cell r="AG27">
            <v>2.7185170859775027</v>
          </cell>
          <cell r="AH27">
            <v>5.7272057624691541</v>
          </cell>
        </row>
        <row r="28">
          <cell r="AC28">
            <v>28.205392048343921</v>
          </cell>
          <cell r="AD28">
            <v>112.23854262037075</v>
          </cell>
          <cell r="AG28">
            <v>18.495760477122481</v>
          </cell>
          <cell r="AH28">
            <v>58.983941943556822</v>
          </cell>
        </row>
        <row r="29">
          <cell r="AC29">
            <v>25.746481288343922</v>
          </cell>
          <cell r="AD29">
            <v>110.05489962037075</v>
          </cell>
          <cell r="AG29">
            <v>18.494300427122496</v>
          </cell>
          <cell r="AH29">
            <v>59.135827943556826</v>
          </cell>
        </row>
        <row r="30">
          <cell r="AC30">
            <v>2.4589107600000002</v>
          </cell>
          <cell r="AD30">
            <v>2.1836429999999991</v>
          </cell>
          <cell r="AG30">
            <v>1.460049999990165E-3</v>
          </cell>
          <cell r="AH30">
            <v>-0.15188600000000108</v>
          </cell>
        </row>
        <row r="32">
          <cell r="AC32">
            <v>-128.82518263950081</v>
          </cell>
          <cell r="AD32">
            <v>-81.641369513445611</v>
          </cell>
          <cell r="AG32">
            <v>-69.034446005383842</v>
          </cell>
          <cell r="AH32">
            <v>-21.60800433212637</v>
          </cell>
        </row>
        <row r="33">
          <cell r="AC33">
            <v>-71.111813409595683</v>
          </cell>
          <cell r="AD33">
            <v>-57.244750941651596</v>
          </cell>
          <cell r="AG33">
            <v>-18.223145842594491</v>
          </cell>
          <cell r="AH33">
            <v>-13.0864058223044</v>
          </cell>
        </row>
        <row r="34">
          <cell r="AC34">
            <v>-57.713369229905126</v>
          </cell>
          <cell r="AD34">
            <v>-24.396618571794015</v>
          </cell>
          <cell r="AG34">
            <v>-50.811300162789344</v>
          </cell>
          <cell r="AH34">
            <v>-8.5215985098219704</v>
          </cell>
        </row>
        <row r="35">
          <cell r="AC35">
            <v>-8.4580049742505992</v>
          </cell>
          <cell r="AD35">
            <v>2.6765224704574999</v>
          </cell>
          <cell r="AG35">
            <v>-1.6372269799440833</v>
          </cell>
          <cell r="AH35">
            <v>1.538641069109731</v>
          </cell>
        </row>
        <row r="36">
          <cell r="AC36">
            <v>-166.39162884526078</v>
          </cell>
          <cell r="AD36">
            <v>-25.535101692575665</v>
          </cell>
          <cell r="AG36">
            <v>-49.457395422227933</v>
          </cell>
          <cell r="AH36">
            <v>44.641784443009342</v>
          </cell>
        </row>
        <row r="37">
          <cell r="AC37">
            <v>81.071231880121672</v>
          </cell>
          <cell r="AD37">
            <v>52.751592445099014</v>
          </cell>
          <cell r="AG37">
            <v>17.54136084275423</v>
          </cell>
          <cell r="AH37">
            <v>34.203128690041268</v>
          </cell>
        </row>
        <row r="38">
          <cell r="AC38">
            <v>322.91296857999998</v>
          </cell>
          <cell r="AD38">
            <v>-94.529584576038019</v>
          </cell>
          <cell r="AG38">
            <v>365.97583021964397</v>
          </cell>
          <cell r="AH38">
            <v>-73.128985685009923</v>
          </cell>
        </row>
        <row r="39">
          <cell r="AC39">
            <v>-14.287293854334978</v>
          </cell>
          <cell r="AD39">
            <v>9.4809004251814493</v>
          </cell>
          <cell r="AG39">
            <v>-5.9636689574576351E-2</v>
          </cell>
          <cell r="AH39">
            <v>9.1690103554307978</v>
          </cell>
        </row>
        <row r="40">
          <cell r="AC40">
            <v>89.737401708952504</v>
          </cell>
          <cell r="AD40">
            <v>-182.29717913889417</v>
          </cell>
          <cell r="AG40">
            <v>299.03671064423639</v>
          </cell>
          <cell r="AH40">
            <v>-71.859340287472648</v>
          </cell>
        </row>
        <row r="41">
          <cell r="AC41">
            <v>-377.34399999999999</v>
          </cell>
          <cell r="AG41">
            <v>-377.34399999999999</v>
          </cell>
        </row>
        <row r="42">
          <cell r="AC42">
            <v>77.290000000000006</v>
          </cell>
          <cell r="AD42">
            <v>131.56800000000001</v>
          </cell>
          <cell r="AG42">
            <v>0</v>
          </cell>
          <cell r="AH42">
            <v>55.189000000000007</v>
          </cell>
        </row>
        <row r="43">
          <cell r="AD43">
            <v>52.794625500000002</v>
          </cell>
          <cell r="AH43">
            <v>11.965965099999998</v>
          </cell>
        </row>
        <row r="44">
          <cell r="AC44">
            <v>62.358979453255635</v>
          </cell>
          <cell r="AD44">
            <v>21.042099999999998</v>
          </cell>
          <cell r="AG44">
            <v>-2.1273306783333155</v>
          </cell>
          <cell r="AH44">
            <v>21.042099999999998</v>
          </cell>
        </row>
        <row r="45">
          <cell r="AC45">
            <v>26.026887095914763</v>
          </cell>
          <cell r="AG45">
            <v>4.1053665724594843</v>
          </cell>
        </row>
        <row r="46">
          <cell r="AC46">
            <v>-121.93073174187708</v>
          </cell>
          <cell r="AD46">
            <v>23.10754636110584</v>
          </cell>
          <cell r="AG46">
            <v>-76.32925346163745</v>
          </cell>
          <cell r="AH46">
            <v>16.337724812527348</v>
          </cell>
        </row>
        <row r="50">
          <cell r="AC50">
            <v>700.64061539075271</v>
          </cell>
          <cell r="AD50">
            <v>964.88539770247667</v>
          </cell>
          <cell r="AG50">
            <v>206.02327616619476</v>
          </cell>
          <cell r="AH50">
            <v>315.72671911740281</v>
          </cell>
        </row>
        <row r="51">
          <cell r="AC51">
            <v>285.32841093398071</v>
          </cell>
          <cell r="AD51">
            <v>385.11898828555434</v>
          </cell>
          <cell r="AG51">
            <v>94.622148311389935</v>
          </cell>
          <cell r="AH51">
            <v>116.49693342298696</v>
          </cell>
        </row>
        <row r="52">
          <cell r="AC52">
            <v>415.31220445677201</v>
          </cell>
          <cell r="AD52">
            <v>579.76640941692233</v>
          </cell>
          <cell r="AG52">
            <v>111.40112785480483</v>
          </cell>
          <cell r="AH52">
            <v>199.22978569441585</v>
          </cell>
        </row>
        <row r="53">
          <cell r="AC53">
            <v>410.47742245677199</v>
          </cell>
          <cell r="AD53">
            <v>575.92012841692235</v>
          </cell>
          <cell r="AG53">
            <v>110.94329985480488</v>
          </cell>
          <cell r="AH53">
            <v>199.21670269441586</v>
          </cell>
        </row>
        <row r="54">
          <cell r="AC54">
            <v>4.8347820000000015</v>
          </cell>
          <cell r="AD54">
            <v>3.8462809999999994</v>
          </cell>
          <cell r="AG54">
            <v>0.4578280000000019</v>
          </cell>
          <cell r="AH54">
            <v>1.3082999999999512E-2</v>
          </cell>
        </row>
        <row r="55">
          <cell r="AC55">
            <v>63.865324973436444</v>
          </cell>
          <cell r="AD55">
            <v>189.21329796910973</v>
          </cell>
          <cell r="AG55">
            <v>40.57688182749083</v>
          </cell>
          <cell r="AH55">
            <v>93.821412619947338</v>
          </cell>
        </row>
        <row r="56">
          <cell r="AC56">
            <v>-28.037651517709506</v>
          </cell>
          <cell r="AD56">
            <v>23.317862303916087</v>
          </cell>
          <cell r="AG56">
            <v>9.5414157222903668</v>
          </cell>
          <cell r="AH56">
            <v>16.249594263915526</v>
          </cell>
        </row>
        <row r="57">
          <cell r="AC57">
            <v>91.902976491145949</v>
          </cell>
          <cell r="AD57">
            <v>165.89543566519365</v>
          </cell>
          <cell r="AG57">
            <v>31.035466105200463</v>
          </cell>
          <cell r="AH57">
            <v>77.571818356031812</v>
          </cell>
        </row>
        <row r="58">
          <cell r="AC58">
            <v>89.324014731145951</v>
          </cell>
          <cell r="AD58">
            <v>163.65477166519366</v>
          </cell>
          <cell r="AG58">
            <v>31.043485055200478</v>
          </cell>
          <cell r="AH58">
            <v>77.720693356031845</v>
          </cell>
        </row>
        <row r="59">
          <cell r="AC59">
            <v>2.5789617599999999</v>
          </cell>
          <cell r="AD59">
            <v>2.2406639999999993</v>
          </cell>
          <cell r="AG59">
            <v>-8.0189500000100722E-3</v>
          </cell>
          <cell r="AH59">
            <v>-0.14887500000000076</v>
          </cell>
        </row>
        <row r="61">
          <cell r="AC61">
            <v>-9.9723323616159227</v>
          </cell>
          <cell r="AD61">
            <v>104.46557085041245</v>
          </cell>
          <cell r="AG61">
            <v>21.348485778674345</v>
          </cell>
          <cell r="AH61">
            <v>64.711147706025969</v>
          </cell>
        </row>
        <row r="62">
          <cell r="AC62">
            <v>-57.179625064278937</v>
          </cell>
          <cell r="AD62">
            <v>-7.7729717699583034</v>
          </cell>
          <cell r="AG62">
            <v>2.852725301551871</v>
          </cell>
          <cell r="AH62">
            <v>5.7272057624691541</v>
          </cell>
        </row>
        <row r="63">
          <cell r="AC63">
            <v>47.207292702663018</v>
          </cell>
          <cell r="AD63">
            <v>112.23854262037075</v>
          </cell>
          <cell r="AG63">
            <v>18.495760477122481</v>
          </cell>
          <cell r="AH63">
            <v>58.983941943556822</v>
          </cell>
        </row>
        <row r="64">
          <cell r="AC64">
            <v>44.748381942663016</v>
          </cell>
          <cell r="AD64">
            <v>110.05489962037075</v>
          </cell>
          <cell r="AG64">
            <v>18.494300427122489</v>
          </cell>
          <cell r="AH64">
            <v>59.135827943556826</v>
          </cell>
        </row>
        <row r="65">
          <cell r="AC65">
            <v>2.4589107600000002</v>
          </cell>
          <cell r="AD65">
            <v>2.1836429999999991</v>
          </cell>
          <cell r="AG65">
            <v>1.460049999990165E-3</v>
          </cell>
          <cell r="AH65">
            <v>-0.15188600000000108</v>
          </cell>
        </row>
        <row r="70">
          <cell r="AC70">
            <v>772.84817485446024</v>
          </cell>
          <cell r="AD70">
            <v>964.88539770247667</v>
          </cell>
          <cell r="AG70">
            <v>234.20487093884708</v>
          </cell>
          <cell r="AH70">
            <v>315.72671911740281</v>
          </cell>
        </row>
        <row r="71">
          <cell r="AC71">
            <v>285.32841093398054</v>
          </cell>
          <cell r="AD71">
            <v>385.11898828555434</v>
          </cell>
          <cell r="AG71">
            <v>94.622148311389765</v>
          </cell>
          <cell r="AH71">
            <v>116.49693342298696</v>
          </cell>
        </row>
        <row r="72">
          <cell r="AC72">
            <v>487.5197639204797</v>
          </cell>
          <cell r="AD72">
            <v>579.76640941692233</v>
          </cell>
          <cell r="AG72">
            <v>139.58272262745731</v>
          </cell>
          <cell r="AH72">
            <v>199.22978569441585</v>
          </cell>
        </row>
        <row r="73">
          <cell r="AC73">
            <v>482.68498192047969</v>
          </cell>
          <cell r="AD73">
            <v>575.92012841692235</v>
          </cell>
          <cell r="AG73">
            <v>139.12489462745731</v>
          </cell>
          <cell r="AH73">
            <v>199.21670269441586</v>
          </cell>
        </row>
        <row r="74">
          <cell r="AC74">
            <v>4.8347820000000015</v>
          </cell>
          <cell r="AD74">
            <v>3.8462809999999994</v>
          </cell>
          <cell r="AG74">
            <v>0.4578280000000019</v>
          </cell>
          <cell r="AH74">
            <v>1.3082999999999512E-2</v>
          </cell>
        </row>
        <row r="75">
          <cell r="AC75">
            <v>76.886795503130102</v>
          </cell>
          <cell r="AD75">
            <v>189.21329796910973</v>
          </cell>
          <cell r="AG75">
            <v>48.151972609252844</v>
          </cell>
          <cell r="AH75">
            <v>93.821412619947338</v>
          </cell>
        </row>
        <row r="76">
          <cell r="AC76">
            <v>-28.037651517709506</v>
          </cell>
          <cell r="AD76">
            <v>23.317862303916087</v>
          </cell>
          <cell r="AG76">
            <v>9.5414157222903597</v>
          </cell>
          <cell r="AH76">
            <v>16.249594263915526</v>
          </cell>
        </row>
        <row r="77">
          <cell r="AC77">
            <v>104.92444702083961</v>
          </cell>
          <cell r="AD77">
            <v>165.89543566519365</v>
          </cell>
          <cell r="AG77">
            <v>38.610556886962485</v>
          </cell>
          <cell r="AH77">
            <v>77.571818356031812</v>
          </cell>
        </row>
        <row r="78">
          <cell r="AC78">
            <v>102.34548526083961</v>
          </cell>
          <cell r="AD78">
            <v>163.65477166519366</v>
          </cell>
          <cell r="AG78">
            <v>38.618575836962485</v>
          </cell>
          <cell r="AH78">
            <v>77.720693356031845</v>
          </cell>
        </row>
        <row r="79">
          <cell r="AC79">
            <v>2.5789617599999999</v>
          </cell>
          <cell r="AD79">
            <v>2.2406639999999993</v>
          </cell>
          <cell r="AG79">
            <v>-8.0189500000100722E-3</v>
          </cell>
          <cell r="AH79">
            <v>-0.14887500000000076</v>
          </cell>
        </row>
        <row r="81">
          <cell r="AC81">
            <v>-7.6483720492358351</v>
          </cell>
          <cell r="AD81">
            <v>104.46557085041245</v>
          </cell>
          <cell r="AG81">
            <v>25.631749452425975</v>
          </cell>
          <cell r="AH81">
            <v>64.711147706025969</v>
          </cell>
        </row>
        <row r="82">
          <cell r="AC82">
            <v>-57.179625064278937</v>
          </cell>
          <cell r="AD82">
            <v>-7.7729717699583034</v>
          </cell>
          <cell r="AG82">
            <v>2.8527253015518568</v>
          </cell>
          <cell r="AH82">
            <v>5.7272057624691541</v>
          </cell>
        </row>
        <row r="83">
          <cell r="AC83">
            <v>49.531253015043106</v>
          </cell>
          <cell r="AD83">
            <v>112.23854262037075</v>
          </cell>
          <cell r="AG83">
            <v>22.779024150874118</v>
          </cell>
          <cell r="AH83">
            <v>58.983941943556822</v>
          </cell>
        </row>
        <row r="84">
          <cell r="AC84">
            <v>47.072342255043111</v>
          </cell>
          <cell r="AD84">
            <v>110.05489962037075</v>
          </cell>
          <cell r="AG84">
            <v>22.777564100874134</v>
          </cell>
          <cell r="AH84">
            <v>59.135827943556826</v>
          </cell>
        </row>
        <row r="85">
          <cell r="AC85">
            <v>2.4589107600000002</v>
          </cell>
          <cell r="AD85">
            <v>2.1836429999999991</v>
          </cell>
          <cell r="AG85">
            <v>1.460049999990165E-3</v>
          </cell>
          <cell r="AH85">
            <v>-0.15188600000000108</v>
          </cell>
        </row>
        <row r="102">
          <cell r="AD102">
            <v>51.035825500000001</v>
          </cell>
          <cell r="AH102">
            <v>0</v>
          </cell>
        </row>
        <row r="122">
          <cell r="AC122">
            <v>700.64061539075271</v>
          </cell>
          <cell r="AD122">
            <v>964.88539770247667</v>
          </cell>
          <cell r="AG122">
            <v>206.02327616619476</v>
          </cell>
          <cell r="AH122">
            <v>315.72671911740281</v>
          </cell>
        </row>
        <row r="123">
          <cell r="AC123">
            <v>365.82876402163862</v>
          </cell>
          <cell r="AD123">
            <v>497.00283622986001</v>
          </cell>
          <cell r="AG123">
            <v>94.951608868514313</v>
          </cell>
          <cell r="AH123">
            <v>183.81660037418936</v>
          </cell>
        </row>
        <row r="124">
          <cell r="AC124">
            <v>186.2867008118952</v>
          </cell>
          <cell r="AD124">
            <v>273.80961698546093</v>
          </cell>
          <cell r="AG124">
            <v>63.825934267534407</v>
          </cell>
          <cell r="AH124">
            <v>77.437043721620256</v>
          </cell>
        </row>
        <row r="125">
          <cell r="AC125">
            <v>164.70120781854948</v>
          </cell>
          <cell r="AD125">
            <v>210.82712950997379</v>
          </cell>
          <cell r="AG125">
            <v>51.243914303310433</v>
          </cell>
          <cell r="AH125">
            <v>57.892880324704151</v>
          </cell>
        </row>
        <row r="126">
          <cell r="AC126">
            <v>-16.176057261330584</v>
          </cell>
          <cell r="AD126">
            <v>-16.754185022818064</v>
          </cell>
          <cell r="AG126">
            <v>-3.9981812731643913</v>
          </cell>
          <cell r="AH126">
            <v>-3.4198053031109623</v>
          </cell>
        </row>
        <row r="134">
          <cell r="AC134">
            <v>63.865324973436444</v>
          </cell>
          <cell r="AD134">
            <v>189.21329796910973</v>
          </cell>
          <cell r="AG134">
            <v>40.57688182749083</v>
          </cell>
          <cell r="AH134">
            <v>93.821412619947338</v>
          </cell>
        </row>
        <row r="135">
          <cell r="AC135">
            <v>77.027322518036357</v>
          </cell>
          <cell r="AD135">
            <v>122.24710532397957</v>
          </cell>
          <cell r="AG135">
            <v>25.773338958506436</v>
          </cell>
          <cell r="AH135">
            <v>62.890882147929979</v>
          </cell>
        </row>
        <row r="136">
          <cell r="AC136">
            <v>4.873676614331468</v>
          </cell>
          <cell r="AD136">
            <v>63.409364279398922</v>
          </cell>
          <cell r="AG136">
            <v>11.076972873017599</v>
          </cell>
          <cell r="AH136">
            <v>21.586983293500211</v>
          </cell>
        </row>
        <row r="137">
          <cell r="AC137">
            <v>-10.248552708930587</v>
          </cell>
          <cell r="AD137">
            <v>12.132668448431991</v>
          </cell>
          <cell r="AG137">
            <v>6.7326986659675736</v>
          </cell>
          <cell r="AH137">
            <v>11.008328606478145</v>
          </cell>
        </row>
        <row r="138">
          <cell r="AC138">
            <v>-7.7871214500007948</v>
          </cell>
          <cell r="AD138">
            <v>-8.5758400827007488</v>
          </cell>
          <cell r="AG138">
            <v>-3.0061286700007788</v>
          </cell>
          <cell r="AH138">
            <v>-1.6647814279609969</v>
          </cell>
        </row>
      </sheetData>
      <sheetData sheetId="1">
        <row r="10">
          <cell r="AC10">
            <v>365.82876402163862</v>
          </cell>
          <cell r="AD10">
            <v>497.00283622986001</v>
          </cell>
          <cell r="AG10">
            <v>94.951608868514313</v>
          </cell>
          <cell r="AH10">
            <v>183.81660037418936</v>
          </cell>
        </row>
        <row r="12">
          <cell r="AC12">
            <v>362.75543158163856</v>
          </cell>
          <cell r="AD12">
            <v>494.26069860986001</v>
          </cell>
          <cell r="AG12">
            <v>93.315516228514241</v>
          </cell>
          <cell r="AH12">
            <v>182.63754773418935</v>
          </cell>
        </row>
        <row r="13">
          <cell r="AC13">
            <v>357.92064958163854</v>
          </cell>
          <cell r="AD13">
            <v>490.02512560986003</v>
          </cell>
          <cell r="AG13">
            <v>92.857688228514235</v>
          </cell>
          <cell r="AH13">
            <v>182.23517273418935</v>
          </cell>
        </row>
        <row r="14">
          <cell r="AC14">
            <v>4.8347820000000015</v>
          </cell>
          <cell r="AD14">
            <v>4.2355729999999996</v>
          </cell>
          <cell r="AG14">
            <v>0.4578280000000019</v>
          </cell>
          <cell r="AH14">
            <v>0.40237499999999926</v>
          </cell>
        </row>
        <row r="15">
          <cell r="AC15">
            <v>3.0733324400000011</v>
          </cell>
          <cell r="AD15">
            <v>2.7421376200000012</v>
          </cell>
          <cell r="AG15">
            <v>1.6360926400000009</v>
          </cell>
          <cell r="AH15">
            <v>1.1790526399999999</v>
          </cell>
        </row>
        <row r="16">
          <cell r="AC16">
            <v>288.80144150360229</v>
          </cell>
          <cell r="AD16">
            <v>374.75573090588045</v>
          </cell>
          <cell r="AG16">
            <v>69.178269910007913</v>
          </cell>
          <cell r="AH16">
            <v>120.92571822625939</v>
          </cell>
        </row>
        <row r="18">
          <cell r="AC18">
            <v>267.57726227360223</v>
          </cell>
          <cell r="AD18">
            <v>348.99839442588041</v>
          </cell>
          <cell r="AG18">
            <v>66.029705120007861</v>
          </cell>
          <cell r="AH18">
            <v>112.70154848625936</v>
          </cell>
        </row>
        <row r="19">
          <cell r="AC19">
            <v>265.37758927360221</v>
          </cell>
          <cell r="AD19">
            <v>347.19890542588041</v>
          </cell>
          <cell r="AG19">
            <v>65.524757120007848</v>
          </cell>
          <cell r="AH19">
            <v>112.34571848625936</v>
          </cell>
        </row>
        <row r="20">
          <cell r="AC20">
            <v>2.1996730000000033</v>
          </cell>
          <cell r="AD20">
            <v>1.7994890000000003</v>
          </cell>
          <cell r="AG20">
            <v>0.50494800000000417</v>
          </cell>
          <cell r="AH20">
            <v>0.35583000000000009</v>
          </cell>
        </row>
        <row r="21">
          <cell r="AC21">
            <v>21.224179229999994</v>
          </cell>
          <cell r="AD21">
            <v>25.757336480000003</v>
          </cell>
          <cell r="AG21">
            <v>3.1485647899999911</v>
          </cell>
          <cell r="AH21">
            <v>8.2241697399999971</v>
          </cell>
        </row>
        <row r="22">
          <cell r="AC22">
            <v>77.027322518036357</v>
          </cell>
          <cell r="AD22">
            <v>122.24710532397957</v>
          </cell>
          <cell r="AG22">
            <v>25.773338958506436</v>
          </cell>
          <cell r="AH22">
            <v>62.890882147929979</v>
          </cell>
        </row>
        <row r="24">
          <cell r="AC24">
            <v>95.178169308036345</v>
          </cell>
          <cell r="AD24">
            <v>145.26230418397958</v>
          </cell>
          <cell r="AG24">
            <v>27.285811108506408</v>
          </cell>
          <cell r="AH24">
            <v>69.935999247929985</v>
          </cell>
        </row>
        <row r="25">
          <cell r="AC25">
            <v>92.543060308036345</v>
          </cell>
          <cell r="AD25">
            <v>142.82622018397959</v>
          </cell>
          <cell r="AG25">
            <v>27.332931108506415</v>
          </cell>
          <cell r="AH25">
            <v>69.88945424792999</v>
          </cell>
        </row>
        <row r="26">
          <cell r="AC26">
            <v>2.6351089999999981</v>
          </cell>
          <cell r="AD26">
            <v>2.4360839999999993</v>
          </cell>
          <cell r="AG26">
            <v>-4.7120000000002271E-2</v>
          </cell>
          <cell r="AH26">
            <v>4.654499999999917E-2</v>
          </cell>
        </row>
        <row r="27">
          <cell r="AC27">
            <v>-18.150846789999992</v>
          </cell>
          <cell r="AD27">
            <v>-23.015198860000002</v>
          </cell>
          <cell r="AG27">
            <v>-1.51247214999999</v>
          </cell>
          <cell r="AH27">
            <v>-7.045117099999997</v>
          </cell>
        </row>
        <row r="29">
          <cell r="AC29">
            <v>34.140777915053164</v>
          </cell>
          <cell r="AD29">
            <v>70.765796266211424</v>
          </cell>
          <cell r="AG29">
            <v>13.321916347710953</v>
          </cell>
          <cell r="AH29">
            <v>45.252562350910821</v>
          </cell>
        </row>
        <row r="31">
          <cell r="AC31">
            <v>57.319149957198093</v>
          </cell>
          <cell r="AD31">
            <v>99.212137891014038</v>
          </cell>
          <cell r="AG31">
            <v>16.466434534024742</v>
          </cell>
          <cell r="AH31">
            <v>53.762752743285546</v>
          </cell>
        </row>
        <row r="32">
          <cell r="AC32">
            <v>54.804091957198096</v>
          </cell>
          <cell r="AD32">
            <v>96.839841891014032</v>
          </cell>
          <cell r="AG32">
            <v>16.50407553402475</v>
          </cell>
          <cell r="AH32">
            <v>53.725985743285541</v>
          </cell>
        </row>
        <row r="33">
          <cell r="AC33">
            <v>2.5150579999999985</v>
          </cell>
          <cell r="AD33">
            <v>2.3722959999999991</v>
          </cell>
          <cell r="AG33">
            <v>-3.7641000000002034E-2</v>
          </cell>
          <cell r="AH33">
            <v>3.676699999999844E-2</v>
          </cell>
        </row>
        <row r="34">
          <cell r="AC34">
            <v>-23.178372042144925</v>
          </cell>
          <cell r="AD34">
            <v>-28.446341624802606</v>
          </cell>
          <cell r="AG34">
            <v>-3.1445181863137854</v>
          </cell>
          <cell r="AH34">
            <v>-8.5101903923747209</v>
          </cell>
        </row>
        <row r="39">
          <cell r="AC39">
            <v>430.07627673593475</v>
          </cell>
          <cell r="AD39">
            <v>497.00283622986001</v>
          </cell>
          <cell r="AG39">
            <v>120.35962557353884</v>
          </cell>
          <cell r="AH39">
            <v>183.81660037418936</v>
          </cell>
        </row>
        <row r="41">
          <cell r="AC41">
            <v>427.00294429593475</v>
          </cell>
          <cell r="AD41">
            <v>494.26069860986001</v>
          </cell>
          <cell r="AG41">
            <v>118.72353293353882</v>
          </cell>
          <cell r="AH41">
            <v>182.63754773418935</v>
          </cell>
        </row>
        <row r="42">
          <cell r="AC42">
            <v>422.16816229593474</v>
          </cell>
          <cell r="AD42">
            <v>490.02512560986003</v>
          </cell>
          <cell r="AG42">
            <v>118.26570493353881</v>
          </cell>
          <cell r="AH42">
            <v>182.23517273418935</v>
          </cell>
        </row>
        <row r="43">
          <cell r="AC43">
            <v>4.8347820000000015</v>
          </cell>
          <cell r="AD43">
            <v>4.2355729999999996</v>
          </cell>
          <cell r="AG43">
            <v>0.4578280000000019</v>
          </cell>
          <cell r="AH43">
            <v>0.40237499999999926</v>
          </cell>
        </row>
        <row r="44">
          <cell r="AC44">
            <v>3.0733324400000011</v>
          </cell>
          <cell r="AD44">
            <v>2.7421376200000012</v>
          </cell>
          <cell r="AG44">
            <v>1.6360926400000009</v>
          </cell>
          <cell r="AH44">
            <v>1.1790526399999999</v>
          </cell>
        </row>
        <row r="45">
          <cell r="AC45">
            <v>91.678128907549862</v>
          </cell>
          <cell r="AD45">
            <v>122.24710532397957</v>
          </cell>
          <cell r="AG45">
            <v>33.42488719063568</v>
          </cell>
          <cell r="AH45">
            <v>62.890882147929979</v>
          </cell>
        </row>
        <row r="47">
          <cell r="AC47">
            <v>109.82897569754986</v>
          </cell>
          <cell r="AD47">
            <v>145.26230418397958</v>
          </cell>
          <cell r="AG47">
            <v>34.937359340635666</v>
          </cell>
          <cell r="AH47">
            <v>69.935999247929985</v>
          </cell>
        </row>
        <row r="48">
          <cell r="AC48">
            <v>107.19386669754986</v>
          </cell>
          <cell r="AD48">
            <v>142.82622018397959</v>
          </cell>
          <cell r="AG48">
            <v>34.984479340635673</v>
          </cell>
          <cell r="AH48">
            <v>69.88945424792999</v>
          </cell>
        </row>
        <row r="49">
          <cell r="AC49">
            <v>2.6351089999999981</v>
          </cell>
          <cell r="AD49">
            <v>2.4360839999999993</v>
          </cell>
          <cell r="AG49">
            <v>-4.7120000000002271E-2</v>
          </cell>
          <cell r="AH49">
            <v>4.654499999999917E-2</v>
          </cell>
        </row>
        <row r="50">
          <cell r="AC50">
            <v>-18.150846789999992</v>
          </cell>
          <cell r="AD50">
            <v>-23.015198860000002</v>
          </cell>
          <cell r="AG50">
            <v>-1.51247214999999</v>
          </cell>
          <cell r="AH50">
            <v>-7.045117099999997</v>
          </cell>
        </row>
        <row r="52">
          <cell r="AC52">
            <v>41.433765987939339</v>
          </cell>
          <cell r="AD52">
            <v>70.765796266211424</v>
          </cell>
          <cell r="AG52">
            <v>17.966208982781282</v>
          </cell>
          <cell r="AH52">
            <v>45.252562350910821</v>
          </cell>
        </row>
        <row r="54">
          <cell r="AC54">
            <v>64.612138030084267</v>
          </cell>
          <cell r="AD54">
            <v>99.212137891014038</v>
          </cell>
          <cell r="AG54">
            <v>21.110727169095071</v>
          </cell>
          <cell r="AH54">
            <v>53.762752743285546</v>
          </cell>
        </row>
        <row r="55">
          <cell r="AC55">
            <v>62.097080030084271</v>
          </cell>
          <cell r="AD55">
            <v>96.839841891014032</v>
          </cell>
          <cell r="AG55">
            <v>21.148368169095079</v>
          </cell>
          <cell r="AH55">
            <v>53.725985743285541</v>
          </cell>
        </row>
        <row r="56">
          <cell r="AC56">
            <v>2.5150579999999985</v>
          </cell>
          <cell r="AD56">
            <v>2.3722959999999991</v>
          </cell>
          <cell r="AG56">
            <v>-3.7641000000002034E-2</v>
          </cell>
          <cell r="AH56">
            <v>3.676699999999844E-2</v>
          </cell>
        </row>
        <row r="57">
          <cell r="AC57">
            <v>-23.178372042144925</v>
          </cell>
          <cell r="AD57">
            <v>-28.446341624802606</v>
          </cell>
          <cell r="AG57">
            <v>-3.1445181863137854</v>
          </cell>
          <cell r="AH57">
            <v>-8.5101903923747209</v>
          </cell>
        </row>
        <row r="69">
          <cell r="AC69">
            <v>365.82876402163862</v>
          </cell>
          <cell r="AD69">
            <v>497.00283622986001</v>
          </cell>
          <cell r="AG69">
            <v>94.951608868514313</v>
          </cell>
          <cell r="AH69">
            <v>183.81660037418936</v>
          </cell>
        </row>
        <row r="70">
          <cell r="AC70">
            <v>279.49591788168397</v>
          </cell>
          <cell r="AD70">
            <v>356.68495720823051</v>
          </cell>
          <cell r="AG70">
            <v>89.327627397810687</v>
          </cell>
          <cell r="AH70">
            <v>172.45901134431008</v>
          </cell>
        </row>
        <row r="71">
          <cell r="AC71">
            <v>151.94625583279083</v>
          </cell>
          <cell r="AD71">
            <v>195.08574156206677</v>
          </cell>
          <cell r="AG71">
            <v>55.936086453203771</v>
          </cell>
          <cell r="AH71">
            <v>124.16628314329168</v>
          </cell>
        </row>
        <row r="72">
          <cell r="AC72">
            <v>127.54966204889314</v>
          </cell>
          <cell r="AD72">
            <v>161.59921564616374</v>
          </cell>
          <cell r="AG72">
            <v>33.391540944606916</v>
          </cell>
          <cell r="AH72">
            <v>48.292728201018406</v>
          </cell>
        </row>
        <row r="73">
          <cell r="AC73">
            <v>83.267757044658566</v>
          </cell>
          <cell r="AD73">
            <v>133.914788970892</v>
          </cell>
          <cell r="AG73">
            <v>3.9973183929796079</v>
          </cell>
          <cell r="AH73">
            <v>6.520940934251513</v>
          </cell>
        </row>
        <row r="75">
          <cell r="AC75">
            <v>62.469389651275556</v>
          </cell>
          <cell r="AD75">
            <v>88.532650955748309</v>
          </cell>
          <cell r="AG75">
            <v>2.8350103205117279</v>
          </cell>
          <cell r="AH75">
            <v>3.385886297818999</v>
          </cell>
        </row>
        <row r="76">
          <cell r="AC76">
            <v>20.79836739338301</v>
          </cell>
          <cell r="AD76">
            <v>45.382138015143695</v>
          </cell>
          <cell r="AG76">
            <v>1.16230807246788</v>
          </cell>
          <cell r="AH76">
            <v>3.135054636432514</v>
          </cell>
        </row>
        <row r="77">
          <cell r="AC77">
            <v>3.0733324400000011</v>
          </cell>
          <cell r="AD77">
            <v>6.3910856200000019</v>
          </cell>
          <cell r="AG77">
            <v>1.6360926400000009</v>
          </cell>
          <cell r="AH77">
            <v>4.8280006400000008</v>
          </cell>
        </row>
        <row r="83">
          <cell r="AC83">
            <v>430.07627673593475</v>
          </cell>
          <cell r="AD83">
            <v>497.00283622986001</v>
          </cell>
          <cell r="AG83">
            <v>120.35962557353884</v>
          </cell>
          <cell r="AH83">
            <v>183.81660037418936</v>
          </cell>
        </row>
        <row r="84">
          <cell r="AC84">
            <v>333.00434677098144</v>
          </cell>
          <cell r="AD84">
            <v>356.68495720823051</v>
          </cell>
          <cell r="AG84">
            <v>114.03405776913081</v>
          </cell>
          <cell r="AH84">
            <v>172.45901134431008</v>
          </cell>
        </row>
        <row r="85">
          <cell r="AC85">
            <v>190.36912530429086</v>
          </cell>
          <cell r="AD85">
            <v>195.08574156206677</v>
          </cell>
          <cell r="AG85">
            <v>75.654678262440882</v>
          </cell>
          <cell r="AH85">
            <v>124.16628314329168</v>
          </cell>
        </row>
        <row r="86">
          <cell r="AC86">
            <v>142.63522146669058</v>
          </cell>
          <cell r="AD86">
            <v>161.59921564616374</v>
          </cell>
          <cell r="AG86">
            <v>38.379379506689929</v>
          </cell>
          <cell r="AH86">
            <v>48.292728201018406</v>
          </cell>
        </row>
        <row r="87">
          <cell r="AC87">
            <v>94.006840869657211</v>
          </cell>
          <cell r="AD87">
            <v>133.914788970892</v>
          </cell>
          <cell r="AG87">
            <v>4.6989047266839634</v>
          </cell>
          <cell r="AH87">
            <v>6.520940934251513</v>
          </cell>
        </row>
        <row r="89">
          <cell r="AC89">
            <v>72.548555467401286</v>
          </cell>
          <cell r="AD89">
            <v>88.532650955748309</v>
          </cell>
          <cell r="AG89">
            <v>3.2739538101990746</v>
          </cell>
          <cell r="AH89">
            <v>3.385886297818999</v>
          </cell>
        </row>
        <row r="90">
          <cell r="AC90">
            <v>21.458285402255925</v>
          </cell>
          <cell r="AD90">
            <v>45.382138015143695</v>
          </cell>
          <cell r="AG90">
            <v>1.4249509164848888</v>
          </cell>
          <cell r="AH90">
            <v>3.135054636432514</v>
          </cell>
        </row>
        <row r="91">
          <cell r="AC91">
            <v>3.0733324400000011</v>
          </cell>
          <cell r="AD91">
            <v>6.3910856200000019</v>
          </cell>
          <cell r="AG91">
            <v>1.6360926400000009</v>
          </cell>
          <cell r="AH91">
            <v>4.8280006400000008</v>
          </cell>
        </row>
        <row r="100">
          <cell r="AC100">
            <v>77.027322518036357</v>
          </cell>
          <cell r="AD100">
            <v>122.24710532397957</v>
          </cell>
          <cell r="AG100">
            <v>25.773338958506436</v>
          </cell>
          <cell r="AH100">
            <v>62.890882147929979</v>
          </cell>
        </row>
        <row r="101">
          <cell r="AC101">
            <v>82.109874478498554</v>
          </cell>
          <cell r="AD101">
            <v>96.107201244182491</v>
          </cell>
          <cell r="AG101">
            <v>31.255909835015018</v>
          </cell>
          <cell r="AH101">
            <v>71.465437430359245</v>
          </cell>
        </row>
        <row r="102">
          <cell r="AC102">
            <v>47.551853266748324</v>
          </cell>
          <cell r="AD102">
            <v>51.217287537995261</v>
          </cell>
          <cell r="AG102">
            <v>23.977709775946259</v>
          </cell>
          <cell r="AH102">
            <v>58.334411460519647</v>
          </cell>
        </row>
        <row r="103">
          <cell r="AC103">
            <v>34.55802121175023</v>
          </cell>
          <cell r="AD103">
            <v>44.88991370618723</v>
          </cell>
          <cell r="AG103">
            <v>7.2782000590687588</v>
          </cell>
          <cell r="AH103">
            <v>13.131025969839591</v>
          </cell>
        </row>
        <row r="104">
          <cell r="AC104">
            <v>13.771117453052105</v>
          </cell>
          <cell r="AD104">
            <v>43.42195175429562</v>
          </cell>
          <cell r="AG104">
            <v>-5.3447809748484918</v>
          </cell>
          <cell r="AH104">
            <v>-4.605840478109414</v>
          </cell>
        </row>
        <row r="106">
          <cell r="AC106">
            <v>14.836271581749621</v>
          </cell>
          <cell r="AD106">
            <v>26.46845336566069</v>
          </cell>
          <cell r="AG106">
            <v>-2.6780047228003809</v>
          </cell>
          <cell r="AH106">
            <v>-2.0658530001974604</v>
          </cell>
        </row>
        <row r="107">
          <cell r="AC107">
            <v>-1.0651541286975164</v>
          </cell>
          <cell r="AD107">
            <v>16.95349838863493</v>
          </cell>
          <cell r="AG107">
            <v>-2.6667762520481109</v>
          </cell>
          <cell r="AH107">
            <v>-2.5399874779119536</v>
          </cell>
        </row>
        <row r="108">
          <cell r="AC108">
            <v>-18.90373378999999</v>
          </cell>
          <cell r="AD108">
            <v>-17.28119886</v>
          </cell>
          <cell r="AG108">
            <v>-0.18785427814577815</v>
          </cell>
          <cell r="AH108">
            <v>-3.967865989821302</v>
          </cell>
        </row>
        <row r="114">
          <cell r="AC114">
            <v>91.678128907549862</v>
          </cell>
          <cell r="AD114">
            <v>122.24710532397957</v>
          </cell>
          <cell r="AG114">
            <v>33.42488719063568</v>
          </cell>
          <cell r="AH114">
            <v>62.890882147929979</v>
          </cell>
        </row>
        <row r="115">
          <cell r="AC115">
            <v>93.234087555692639</v>
          </cell>
          <cell r="AD115">
            <v>96.107201244182491</v>
          </cell>
          <cell r="AG115">
            <v>39.400272599197507</v>
          </cell>
          <cell r="AH115">
            <v>71.465437430359245</v>
          </cell>
        </row>
        <row r="116">
          <cell r="AC116">
            <v>56.061354236466819</v>
          </cell>
          <cell r="AD116">
            <v>51.217287537995261</v>
          </cell>
          <cell r="AG116">
            <v>31.567675652700348</v>
          </cell>
          <cell r="AH116">
            <v>58.334411460519647</v>
          </cell>
        </row>
        <row r="117">
          <cell r="AC117">
            <v>37.17273331922582</v>
          </cell>
          <cell r="AD117">
            <v>44.88991370618723</v>
          </cell>
          <cell r="AG117">
            <v>7.8325969464971585</v>
          </cell>
          <cell r="AH117">
            <v>13.131025969839591</v>
          </cell>
        </row>
        <row r="118">
          <cell r="AC118">
            <v>17.297710765371548</v>
          </cell>
          <cell r="AD118">
            <v>43.42195175429562</v>
          </cell>
          <cell r="AG118">
            <v>-5.837595506901728</v>
          </cell>
          <cell r="AH118">
            <v>-4.605840478109414</v>
          </cell>
        </row>
        <row r="120">
          <cell r="AC120">
            <v>18.361995706421336</v>
          </cell>
          <cell r="AD120">
            <v>26.46845336566069</v>
          </cell>
          <cell r="AG120">
            <v>-3.0360434199778616</v>
          </cell>
          <cell r="AH120">
            <v>-2.0658530001974604</v>
          </cell>
        </row>
        <row r="121">
          <cell r="AC121">
            <v>-1.0642849410497881</v>
          </cell>
          <cell r="AD121">
            <v>16.95349838863493</v>
          </cell>
          <cell r="AG121">
            <v>-2.8015520869238664</v>
          </cell>
          <cell r="AH121">
            <v>-2.5399874779119536</v>
          </cell>
        </row>
        <row r="122">
          <cell r="AC122">
            <v>-18.90373378999999</v>
          </cell>
          <cell r="AD122">
            <v>-17.28119886</v>
          </cell>
          <cell r="AG122">
            <v>-0.18785427814576394</v>
          </cell>
          <cell r="AH122">
            <v>-3.967865989821302</v>
          </cell>
        </row>
      </sheetData>
      <sheetData sheetId="2">
        <row r="10">
          <cell r="AC10">
            <v>186.2867008118952</v>
          </cell>
          <cell r="AD10">
            <v>273.80961698546093</v>
          </cell>
          <cell r="AG10">
            <v>63.825934267534194</v>
          </cell>
          <cell r="AH10">
            <v>77.437043721619915</v>
          </cell>
        </row>
        <row r="11">
          <cell r="AC11">
            <v>139.08034499000001</v>
          </cell>
          <cell r="AD11">
            <v>188.36092333000002</v>
          </cell>
          <cell r="AG11">
            <v>47.415185280000003</v>
          </cell>
          <cell r="AH11">
            <v>55.203845730000012</v>
          </cell>
        </row>
        <row r="12">
          <cell r="AC12">
            <v>50.878367304910604</v>
          </cell>
          <cell r="AD12">
            <v>89.393841940531928</v>
          </cell>
          <cell r="AG12">
            <v>17.28316300725421</v>
          </cell>
          <cell r="AH12">
            <v>23.197071555131629</v>
          </cell>
        </row>
        <row r="20">
          <cell r="AC20">
            <v>4.873676614331468</v>
          </cell>
          <cell r="AD20">
            <v>63.409364279398922</v>
          </cell>
          <cell r="AG20">
            <v>11.076972873017599</v>
          </cell>
          <cell r="AH20">
            <v>21.586983293500218</v>
          </cell>
        </row>
        <row r="21">
          <cell r="AC21">
            <v>6.2284462000000147</v>
          </cell>
          <cell r="AD21">
            <v>40.490389319999878</v>
          </cell>
          <cell r="AG21">
            <v>7.7280540699999651</v>
          </cell>
          <cell r="AH21">
            <v>15.465924619999779</v>
          </cell>
        </row>
        <row r="22">
          <cell r="AC22">
            <v>-1.6742023556686212</v>
          </cell>
          <cell r="AD22">
            <v>23.157855339398651</v>
          </cell>
          <cell r="AG22">
            <v>3.3690984630175889</v>
          </cell>
          <cell r="AH22">
            <v>6.2265959234999499</v>
          </cell>
        </row>
        <row r="26">
          <cell r="AC26">
            <v>-32.522418674203713</v>
          </cell>
          <cell r="AD26">
            <v>43.217564870825278</v>
          </cell>
          <cell r="AG26">
            <v>6.688421036991592</v>
          </cell>
          <cell r="AH26">
            <v>14.852187763209677</v>
          </cell>
        </row>
        <row r="27">
          <cell r="AC27">
            <v>-5.2802538199999836</v>
          </cell>
          <cell r="AD27">
            <v>29.274194779999974</v>
          </cell>
          <cell r="AG27">
            <v>5.0020293100000339</v>
          </cell>
          <cell r="AH27">
            <v>12.706073749999874</v>
          </cell>
        </row>
        <row r="28">
          <cell r="AC28">
            <v>-24.003597624203927</v>
          </cell>
          <cell r="AD28">
            <v>14.182250470825108</v>
          </cell>
          <cell r="AG28">
            <v>1.7065713869912749</v>
          </cell>
          <cell r="AH28">
            <v>2.2516512632098085</v>
          </cell>
        </row>
        <row r="35">
          <cell r="AC35">
            <v>194.01878461427953</v>
          </cell>
          <cell r="AD35">
            <v>273.80961698546093</v>
          </cell>
          <cell r="AG35">
            <v>66.496911685251519</v>
          </cell>
          <cell r="AH35">
            <v>77.437043721619915</v>
          </cell>
        </row>
        <row r="36">
          <cell r="AC36">
            <v>139.08034499000001</v>
          </cell>
          <cell r="AD36">
            <v>188.36092333000002</v>
          </cell>
          <cell r="AG36">
            <v>47.415185280000003</v>
          </cell>
          <cell r="AH36">
            <v>55.203845730000012</v>
          </cell>
        </row>
        <row r="37">
          <cell r="AC37">
            <v>58.634491200868375</v>
          </cell>
          <cell r="AD37">
            <v>89.393841940531928</v>
          </cell>
          <cell r="AG37">
            <v>19.977659270640174</v>
          </cell>
          <cell r="AH37">
            <v>23.197071555131629</v>
          </cell>
        </row>
        <row r="41">
          <cell r="AC41">
            <v>4.0309467908503791</v>
          </cell>
          <cell r="AD41">
            <v>63.409364279398922</v>
          </cell>
          <cell r="AG41">
            <v>11.243641000247749</v>
          </cell>
          <cell r="AH41">
            <v>21.586983293500218</v>
          </cell>
        </row>
        <row r="42">
          <cell r="AC42">
            <v>6.2284462000000147</v>
          </cell>
          <cell r="AD42">
            <v>40.490389319999878</v>
          </cell>
          <cell r="AG42">
            <v>7.7280540699999651</v>
          </cell>
          <cell r="AH42">
            <v>15.465924619999779</v>
          </cell>
        </row>
        <row r="43">
          <cell r="AC43">
            <v>-2.5169321791496411</v>
          </cell>
          <cell r="AD43">
            <v>23.157855339398651</v>
          </cell>
          <cell r="AG43">
            <v>3.5357665902477788</v>
          </cell>
          <cell r="AH43">
            <v>6.2265959234999499</v>
          </cell>
        </row>
        <row r="48">
          <cell r="AC48">
            <v>-36.672345196390644</v>
          </cell>
          <cell r="AD48">
            <v>43.217564870825278</v>
          </cell>
          <cell r="AG48">
            <v>6.5796088054612554</v>
          </cell>
          <cell r="AH48">
            <v>14.852187763209677</v>
          </cell>
        </row>
        <row r="49">
          <cell r="AC49">
            <v>-5.2802538199999836</v>
          </cell>
          <cell r="AD49">
            <v>29.274194779999974</v>
          </cell>
          <cell r="AG49">
            <v>5.0020293100000339</v>
          </cell>
          <cell r="AH49">
            <v>12.706073749999874</v>
          </cell>
        </row>
        <row r="50">
          <cell r="AC50">
            <v>-28.153524146390755</v>
          </cell>
          <cell r="AD50">
            <v>14.182250470825108</v>
          </cell>
          <cell r="AG50">
            <v>1.5977591554610449</v>
          </cell>
          <cell r="AH50">
            <v>2.2516512632098085</v>
          </cell>
        </row>
      </sheetData>
      <sheetData sheetId="3">
        <row r="10">
          <cell r="AC10">
            <v>164.70120781854948</v>
          </cell>
          <cell r="AD10">
            <v>210.82712950997379</v>
          </cell>
          <cell r="AG10">
            <v>51.243914303310476</v>
          </cell>
          <cell r="AH10">
            <v>57.89288032470381</v>
          </cell>
        </row>
        <row r="11">
          <cell r="AC11">
            <v>147.41261837201321</v>
          </cell>
          <cell r="AD11">
            <v>192.76135778672099</v>
          </cell>
          <cell r="AG11">
            <v>47.121714562601213</v>
          </cell>
          <cell r="AH11">
            <v>56.375144971828007</v>
          </cell>
        </row>
        <row r="12">
          <cell r="AC12">
            <v>81.470887744266363</v>
          </cell>
          <cell r="AD12">
            <v>106.17734847569088</v>
          </cell>
          <cell r="AG12">
            <v>29.549162417276563</v>
          </cell>
          <cell r="AH12">
            <v>33.99380896332157</v>
          </cell>
        </row>
        <row r="13">
          <cell r="AC13">
            <v>54.402306893014455</v>
          </cell>
          <cell r="AD13">
            <v>60.137814904265881</v>
          </cell>
          <cell r="AG13">
            <v>18.366342043231157</v>
          </cell>
          <cell r="AH13">
            <v>19.013891108542282</v>
          </cell>
        </row>
        <row r="14">
          <cell r="AC14">
            <v>32.034878817904485</v>
          </cell>
          <cell r="AD14">
            <v>37.193599095786652</v>
          </cell>
          <cell r="AG14">
            <v>10.506216175181741</v>
          </cell>
          <cell r="AH14">
            <v>12.057347684392155</v>
          </cell>
        </row>
        <row r="15">
          <cell r="AC15">
            <v>20.819859157639975</v>
          </cell>
          <cell r="AD15">
            <v>21.157926268479262</v>
          </cell>
          <cell r="AG15">
            <v>7.2785994246493733</v>
          </cell>
          <cell r="AH15">
            <v>6.3108249641501608</v>
          </cell>
        </row>
        <row r="16">
          <cell r="AC16">
            <v>1.5475689174699951</v>
          </cell>
          <cell r="AD16">
            <v>1.7862895399999665</v>
          </cell>
          <cell r="AG16">
            <v>0.58152644340004223</v>
          </cell>
          <cell r="AH16">
            <v>0.64571845999996569</v>
          </cell>
        </row>
        <row r="17">
          <cell r="AC17">
            <v>27.068580851251909</v>
          </cell>
          <cell r="AD17">
            <v>46.039533571424997</v>
          </cell>
          <cell r="AG17">
            <v>11.182820374045406</v>
          </cell>
          <cell r="AH17">
            <v>14.979917854779288</v>
          </cell>
        </row>
        <row r="18">
          <cell r="AC18">
            <v>20.913741756742901</v>
          </cell>
          <cell r="AD18">
            <v>36.418408967391954</v>
          </cell>
          <cell r="AG18">
            <v>8.6951950587092384</v>
          </cell>
          <cell r="AH18">
            <v>11.806645693130548</v>
          </cell>
        </row>
        <row r="19">
          <cell r="AC19">
            <v>2.8746354419790201</v>
          </cell>
          <cell r="AD19">
            <v>5.4280447940329815</v>
          </cell>
          <cell r="AG19">
            <v>1.1381208487362215</v>
          </cell>
          <cell r="AH19">
            <v>1.7822117816486838</v>
          </cell>
        </row>
        <row r="20">
          <cell r="AC20">
            <v>3.2802036525299876</v>
          </cell>
          <cell r="AD20">
            <v>4.1930798100000608</v>
          </cell>
          <cell r="AG20">
            <v>1.3495044665999458</v>
          </cell>
          <cell r="AH20">
            <v>1.3910603800000558</v>
          </cell>
        </row>
        <row r="21">
          <cell r="AC21">
            <v>49.884558314394141</v>
          </cell>
          <cell r="AD21">
            <v>61.19002628599749</v>
          </cell>
          <cell r="AG21">
            <v>13.659328446071548</v>
          </cell>
          <cell r="AH21">
            <v>14.731424991567486</v>
          </cell>
        </row>
        <row r="22">
          <cell r="AC22">
            <v>16.057172313352709</v>
          </cell>
          <cell r="AD22">
            <v>25.393983025032625</v>
          </cell>
          <cell r="AG22">
            <v>3.913223699253102</v>
          </cell>
          <cell r="AH22">
            <v>7.649911016938951</v>
          </cell>
        </row>
        <row r="23">
          <cell r="AC23">
            <v>17.288589446536264</v>
          </cell>
          <cell r="AD23">
            <v>18.065771723252794</v>
          </cell>
          <cell r="AG23">
            <v>4.122199740709263</v>
          </cell>
          <cell r="AH23">
            <v>1.5177353528758033</v>
          </cell>
        </row>
        <row r="24">
          <cell r="AC24">
            <v>174.94976052748007</v>
          </cell>
          <cell r="AD24">
            <v>198.6944610615418</v>
          </cell>
          <cell r="AG24">
            <v>44.511215637342872</v>
          </cell>
          <cell r="AH24">
            <v>46.88455171822568</v>
          </cell>
        </row>
        <row r="25">
          <cell r="AC25">
            <v>157.78850315239359</v>
          </cell>
          <cell r="AD25">
            <v>180.04293549675091</v>
          </cell>
          <cell r="AG25">
            <v>40.58914138530028</v>
          </cell>
          <cell r="AH25">
            <v>45.495006490432871</v>
          </cell>
        </row>
        <row r="26">
          <cell r="AC26">
            <v>17.161257375086478</v>
          </cell>
          <cell r="AD26">
            <v>18.651525564790887</v>
          </cell>
          <cell r="AG26">
            <v>3.9220742520425915</v>
          </cell>
          <cell r="AH26">
            <v>1.3895452277928086</v>
          </cell>
        </row>
        <row r="27">
          <cell r="AC27">
            <v>-10.248552708930587</v>
          </cell>
          <cell r="AD27">
            <v>12.132668448431991</v>
          </cell>
          <cell r="AG27">
            <v>6.7326986659676127</v>
          </cell>
          <cell r="AH27">
            <v>11.008328606478141</v>
          </cell>
        </row>
        <row r="28">
          <cell r="AC28">
            <v>-10.375884780380385</v>
          </cell>
          <cell r="AD28">
            <v>12.718422289970082</v>
          </cell>
          <cell r="AG28">
            <v>6.5325731773009146</v>
          </cell>
          <cell r="AH28">
            <v>10.880138481395143</v>
          </cell>
        </row>
        <row r="30">
          <cell r="AC30">
            <v>0.12733207144979808</v>
          </cell>
          <cell r="AD30">
            <v>-0.58575384153809118</v>
          </cell>
          <cell r="AG30">
            <v>0.2001254886666981</v>
          </cell>
          <cell r="AH30">
            <v>0.12819012508299887</v>
          </cell>
        </row>
        <row r="31">
          <cell r="AC31">
            <v>-21.579544912359061</v>
          </cell>
          <cell r="AD31">
            <v>0.4491491060761359</v>
          </cell>
          <cell r="AG31">
            <v>4.4609603083975742</v>
          </cell>
          <cell r="AH31">
            <v>6.6380395998658255</v>
          </cell>
        </row>
        <row r="32">
          <cell r="AC32">
            <v>-19.85165801205617</v>
          </cell>
          <cell r="AD32">
            <v>2.9687517806443644</v>
          </cell>
          <cell r="AG32">
            <v>4.6900021812171282</v>
          </cell>
          <cell r="AH32">
            <v>7.0201389834447143</v>
          </cell>
        </row>
        <row r="34">
          <cell r="AC34">
            <v>-1.7278869003028916</v>
          </cell>
          <cell r="AD34">
            <v>-2.5196026745682287</v>
          </cell>
          <cell r="AG34">
            <v>-0.22904187281955402</v>
          </cell>
          <cell r="AH34">
            <v>-0.38209938357888884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F7419-BAA6-4F30-9E9B-92450C6E2319}">
  <dimension ref="A2:AU166"/>
  <sheetViews>
    <sheetView tabSelected="1" workbookViewId="0">
      <selection sqref="A1:XFD1048576"/>
    </sheetView>
  </sheetViews>
  <sheetFormatPr baseColWidth="10" defaultColWidth="11.44140625" defaultRowHeight="13.2"/>
  <cols>
    <col min="1" max="1" width="6.5546875" style="1" bestFit="1" customWidth="1"/>
    <col min="2" max="3" width="11.44140625" style="1"/>
    <col min="4" max="4" width="48.6640625" style="1" customWidth="1"/>
    <col min="5" max="5" width="1" style="1" customWidth="1"/>
    <col min="6" max="8" width="11.44140625" style="1"/>
    <col min="9" max="9" width="1" style="1" customWidth="1"/>
    <col min="10" max="12" width="11.44140625" style="1"/>
    <col min="13" max="13" width="6.88671875" style="1" customWidth="1"/>
    <col min="14" max="14" width="11.44140625" style="1"/>
    <col min="15" max="15" width="48.6640625" style="1" customWidth="1"/>
    <col min="16" max="16" width="0.88671875" style="1" customWidth="1"/>
    <col min="17" max="19" width="11.44140625" style="1"/>
    <col min="20" max="20" width="0.88671875" style="1" customWidth="1"/>
    <col min="21" max="23" width="11.44140625" style="1"/>
    <col min="24" max="24" width="6.88671875" style="1" customWidth="1"/>
    <col min="25" max="25" width="11.44140625" style="1"/>
    <col min="26" max="26" width="48.6640625" style="1" customWidth="1"/>
    <col min="27" max="27" width="0.88671875" style="1" customWidth="1"/>
    <col min="28" max="30" width="11.44140625" style="1"/>
    <col min="31" max="31" width="0.88671875" style="1" customWidth="1"/>
    <col min="32" max="34" width="11.44140625" style="1"/>
    <col min="35" max="35" width="6.88671875" style="1" customWidth="1"/>
    <col min="36" max="36" width="11.44140625" style="1"/>
    <col min="37" max="37" width="48.6640625" style="1" customWidth="1"/>
    <col min="38" max="38" width="0.88671875" style="1" customWidth="1"/>
    <col min="39" max="41" width="11.44140625" style="1"/>
    <col min="42" max="42" width="0.88671875" style="1" customWidth="1"/>
    <col min="43" max="45" width="11.44140625" style="1"/>
    <col min="46" max="46" width="6.88671875" style="1" customWidth="1"/>
    <col min="47" max="16384" width="11.44140625" style="1"/>
  </cols>
  <sheetData>
    <row r="2" spans="1:46" ht="13.8" thickBot="1"/>
    <row r="3" spans="1:46" ht="16.2" thickBot="1">
      <c r="A3" s="1" t="s">
        <v>0</v>
      </c>
      <c r="B3" s="2" t="s">
        <v>1</v>
      </c>
      <c r="D3" s="3" t="str">
        <f>+IF($B$3="esp","GRUPO","GROUP")</f>
        <v>GROUP</v>
      </c>
      <c r="E3" s="4"/>
      <c r="F3" s="4"/>
      <c r="G3" s="5"/>
      <c r="H3" s="4"/>
      <c r="I3" s="4"/>
      <c r="J3" s="4"/>
      <c r="K3" s="5"/>
      <c r="L3" s="4"/>
      <c r="M3" s="4"/>
      <c r="O3" s="3" t="str">
        <f>+IF($B$3="esp","EDUCACIÓN","EDUCATION")</f>
        <v>EDUCATION</v>
      </c>
      <c r="P3" s="4"/>
      <c r="Q3" s="4"/>
      <c r="R3" s="5"/>
      <c r="S3" s="4"/>
      <c r="T3" s="4"/>
      <c r="U3" s="4"/>
      <c r="V3" s="5"/>
      <c r="W3" s="4"/>
      <c r="X3" s="4"/>
      <c r="Z3" s="3" t="str">
        <f>+IF($B$3="esp","RADIO","RADIO")</f>
        <v>RADIO</v>
      </c>
      <c r="AA3" s="4"/>
      <c r="AB3" s="4"/>
      <c r="AC3" s="5"/>
      <c r="AD3" s="4"/>
      <c r="AE3" s="4"/>
      <c r="AF3" s="4"/>
      <c r="AG3" s="5"/>
      <c r="AH3" s="4"/>
      <c r="AI3" s="4"/>
      <c r="AK3" s="3" t="str">
        <f>+IF($B$3="esp","PRENSA - incluye PBS y Tecnología","PRESS - includes PBS &amp; IT")</f>
        <v>PRESS - includes PBS &amp; IT</v>
      </c>
      <c r="AL3" s="4"/>
      <c r="AM3" s="4"/>
      <c r="AN3" s="5"/>
      <c r="AO3" s="4"/>
      <c r="AP3" s="4"/>
      <c r="AQ3" s="4"/>
      <c r="AR3" s="5"/>
      <c r="AS3" s="4"/>
      <c r="AT3" s="4"/>
    </row>
    <row r="4" spans="1:46">
      <c r="A4" s="1" t="s">
        <v>2</v>
      </c>
      <c r="B4" s="6" t="s">
        <v>3</v>
      </c>
    </row>
    <row r="5" spans="1:46">
      <c r="A5" s="1" t="s">
        <v>1</v>
      </c>
      <c r="B5" s="1" t="s">
        <v>4</v>
      </c>
    </row>
    <row r="6" spans="1:46">
      <c r="F6" s="7" t="str">
        <f>+IF($B$3="esp","ENERO - DICIEMBRE","JANUARY - DECEMBER")</f>
        <v>JANUARY - DECEMBER</v>
      </c>
      <c r="G6" s="8"/>
      <c r="H6" s="8"/>
      <c r="J6" s="7" t="str">
        <f>+IF($B$3="esp","OCTUBRE - DICIEMBRE","OCTOBER - DECEMBER")</f>
        <v>OCTOBER - DECEMBER</v>
      </c>
      <c r="K6" s="8"/>
      <c r="L6" s="8"/>
      <c r="Q6" s="7" t="str">
        <f>+IF($B$3="esp","ENERO - DICIEMBRE","JANUARY - DECEMBER")</f>
        <v>JANUARY - DECEMBER</v>
      </c>
      <c r="R6" s="8"/>
      <c r="S6" s="8"/>
      <c r="U6" s="7" t="str">
        <f>+IF($B$3="esp","OCTUBRE - DICIEMBRE","OCTOBER - DECEMBER")</f>
        <v>OCTOBER - DECEMBER</v>
      </c>
      <c r="V6" s="8"/>
      <c r="W6" s="8"/>
      <c r="AB6" s="7" t="str">
        <f>+IF($B$3="esp","ENERO - DICIEMBRE","JANUARY - DECEMBER")</f>
        <v>JANUARY - DECEMBER</v>
      </c>
      <c r="AC6" s="8"/>
      <c r="AD6" s="8"/>
      <c r="AF6" s="7" t="str">
        <f>+IF($B$3="esp","OCTUBRE - DICIEMBRE","OCTOBER - DECEMBER")</f>
        <v>OCTOBER - DECEMBER</v>
      </c>
      <c r="AG6" s="8"/>
      <c r="AH6" s="8"/>
      <c r="AM6" s="7" t="str">
        <f>+IF($B$3="esp","ENERO - DICIEMBRE","JANUARY - DECEMBER")</f>
        <v>JANUARY - DECEMBER</v>
      </c>
      <c r="AN6" s="8"/>
      <c r="AO6" s="8"/>
      <c r="AQ6" s="7" t="str">
        <f>+IF($B$3="esp","OCTUBRE - DICIEMBRE","OCTOBER - DECEMBER")</f>
        <v>OCTOBER - DECEMBER</v>
      </c>
      <c r="AR6" s="8"/>
      <c r="AS6" s="8"/>
    </row>
    <row r="8" spans="1:46">
      <c r="D8" s="9" t="str">
        <f>+IF($B$3="esp","Millones de €","€ Millions")</f>
        <v>€ Millions</v>
      </c>
      <c r="F8" s="10">
        <v>2020</v>
      </c>
      <c r="G8" s="10">
        <v>2019</v>
      </c>
      <c r="H8" s="10" t="str">
        <f>+IF($B$3="esp","Var.%","% Chg.")</f>
        <v>% Chg.</v>
      </c>
      <c r="J8" s="10">
        <v>2020</v>
      </c>
      <c r="K8" s="10">
        <v>2019</v>
      </c>
      <c r="L8" s="10" t="str">
        <f>+IF($B$3="esp","Var.%","% Chg.")</f>
        <v>% Chg.</v>
      </c>
      <c r="O8" s="9" t="str">
        <f>+IF($B$3="esp","Millones de €","€ Millions")</f>
        <v>€ Millions</v>
      </c>
      <c r="Q8" s="10">
        <v>2020</v>
      </c>
      <c r="R8" s="10">
        <v>2019</v>
      </c>
      <c r="S8" s="10" t="str">
        <f>+IF($B$3="esp","Var.%","% Chg.")</f>
        <v>% Chg.</v>
      </c>
      <c r="U8" s="10">
        <v>2020</v>
      </c>
      <c r="V8" s="10">
        <v>2019</v>
      </c>
      <c r="W8" s="10" t="str">
        <f>+IF($B$3="esp","Var.%","% Chg.")</f>
        <v>% Chg.</v>
      </c>
      <c r="Z8" s="9" t="str">
        <f>+IF($B$3="esp","Millones de €","€ Millions")</f>
        <v>€ Millions</v>
      </c>
      <c r="AB8" s="10">
        <v>2020</v>
      </c>
      <c r="AC8" s="10">
        <v>2019</v>
      </c>
      <c r="AD8" s="10" t="str">
        <f>+IF($B$3="esp","Var.%","% Chg.")</f>
        <v>% Chg.</v>
      </c>
      <c r="AF8" s="10">
        <v>2020</v>
      </c>
      <c r="AG8" s="10">
        <v>2019</v>
      </c>
      <c r="AH8" s="10" t="str">
        <f>+IF($B$3="esp","Var.%","% Chg.")</f>
        <v>% Chg.</v>
      </c>
      <c r="AK8" s="9" t="str">
        <f>+IF($B$3="esp","Millones de €","€ Millions")</f>
        <v>€ Millions</v>
      </c>
      <c r="AM8" s="10">
        <v>2020</v>
      </c>
      <c r="AN8" s="10">
        <v>2019</v>
      </c>
      <c r="AO8" s="10" t="str">
        <f>+IF($B$3="esp","Var.%","% Chg.")</f>
        <v>% Chg.</v>
      </c>
      <c r="AQ8" s="10">
        <v>2020</v>
      </c>
      <c r="AR8" s="10">
        <v>2019</v>
      </c>
      <c r="AS8" s="10" t="str">
        <f>+IF($B$3="esp","Var.%","% Chg.")</f>
        <v>% Chg.</v>
      </c>
    </row>
    <row r="9" spans="1:46" ht="15.75" customHeight="1">
      <c r="D9" s="11" t="str">
        <f>+IF($B$3="esp","Resultados Reportados","Reported Results")</f>
        <v>Reported Results</v>
      </c>
      <c r="F9" s="12"/>
      <c r="G9" s="13"/>
      <c r="H9" s="13"/>
      <c r="J9" s="12"/>
      <c r="K9" s="13"/>
      <c r="L9" s="13"/>
      <c r="O9" s="11" t="str">
        <f>+IF($B$3="esp","Resultados Reportados","Reported Results")</f>
        <v>Reported Results</v>
      </c>
      <c r="Q9" s="13"/>
      <c r="R9" s="13"/>
      <c r="S9" s="13"/>
      <c r="U9" s="13"/>
      <c r="V9" s="13"/>
      <c r="W9" s="13"/>
      <c r="Z9" s="11" t="str">
        <f>+IF($B$3="esp","Resultados Reportados","Reported Results")</f>
        <v>Reported Results</v>
      </c>
      <c r="AB9" s="13"/>
      <c r="AC9" s="13"/>
      <c r="AD9" s="13"/>
      <c r="AF9" s="13"/>
      <c r="AG9" s="13"/>
      <c r="AH9" s="13"/>
      <c r="AK9" s="11" t="str">
        <f>+IF($B$3="esp","Resultados Reportados","Reported Results")</f>
        <v>Reported Results</v>
      </c>
      <c r="AM9" s="13"/>
      <c r="AN9" s="13"/>
      <c r="AO9" s="13"/>
      <c r="AQ9" s="13"/>
      <c r="AR9" s="13"/>
      <c r="AS9" s="13"/>
    </row>
    <row r="10" spans="1:46" s="14" customFormat="1" ht="15" customHeight="1">
      <c r="D10" s="14" t="str">
        <f>+IF($B$3="esp","Ingresos de Explotación","Operating Revenues")</f>
        <v>Operating Revenues</v>
      </c>
      <c r="F10" s="15">
        <f>+[1]GRUPO!AC10</f>
        <v>700.64061539075271</v>
      </c>
      <c r="G10" s="16">
        <f>+[1]GRUPO!AD10</f>
        <v>964.88539770247667</v>
      </c>
      <c r="H10" s="17">
        <f t="shared" ref="H10:H24" si="0">IF(G10=0,"---",IF(OR(ABS((F10-G10)/ABS(G10))&gt;2,(F10*G10)&lt;0),"---",IF(G10="0","---",((F10-G10)/ABS(G10))*100)))</f>
        <v>-27.386131341704072</v>
      </c>
      <c r="J10" s="15">
        <f>+[1]GRUPO!AG10</f>
        <v>206.02327616619476</v>
      </c>
      <c r="K10" s="16">
        <f>+[1]GRUPO!AH10</f>
        <v>315.72671911740281</v>
      </c>
      <c r="L10" s="17">
        <f t="shared" ref="L10:L24" si="1">IF(K10=0,"---",IF(OR(ABS((J10-K10)/ABS(K10))&gt;2,(J10*K10)&lt;0),"---",IF(K10="0","---",((J10-K10)/ABS(K10))*100)))</f>
        <v>-34.746328488725368</v>
      </c>
      <c r="O10" s="14" t="str">
        <f>+IF($B$3="esp","Ingresos de Explotación","Operating Revenues")</f>
        <v>Operating Revenues</v>
      </c>
      <c r="Q10" s="15">
        <f>+[1]SANTILLANA!AC10</f>
        <v>365.82876402163862</v>
      </c>
      <c r="R10" s="16">
        <f>+[1]SANTILLANA!AD10</f>
        <v>497.00283622986001</v>
      </c>
      <c r="S10" s="17">
        <f t="shared" ref="S10:S24" si="2">IF(R10=0,"---",IF(OR(ABS((Q10-R10)/ABS(R10))&gt;2,(Q10*R10)&lt;0),"---",IF(R10="0","---",((Q10-R10)/ABS(R10))*100)))</f>
        <v>-26.393022865478049</v>
      </c>
      <c r="U10" s="15">
        <f>+[1]SANTILLANA!AG10</f>
        <v>94.951608868514313</v>
      </c>
      <c r="V10" s="16">
        <f>+[1]SANTILLANA!AH10</f>
        <v>183.81660037418936</v>
      </c>
      <c r="W10" s="17">
        <f t="shared" ref="W10:W24" si="3">IF(V10=0,"---",IF(OR(ABS((U10-V10)/ABS(V10))&gt;2,(U10*V10)&lt;0),"---",IF(V10="0","---",((U10-V10)/ABS(V10))*100)))</f>
        <v>-48.344377670338552</v>
      </c>
      <c r="Z10" s="14" t="str">
        <f>+IF($B$3="esp","Ingresos de Explotación","Operating Revenues")</f>
        <v>Operating Revenues</v>
      </c>
      <c r="AB10" s="15">
        <f>+[1]RADIO!AC10</f>
        <v>186.2867008118952</v>
      </c>
      <c r="AC10" s="16">
        <f>+[1]RADIO!AD10</f>
        <v>273.80961698546093</v>
      </c>
      <c r="AD10" s="17">
        <f>IF(AC10=0,"---",IF(OR(ABS((AB10-AC10)/ABS(AC10))&gt;2,(AB10*AC10)&lt;0),"---",IF(AC10="0","---",((AB10-AC10)/ABS(AC10))*100)))</f>
        <v>-31.964880246778591</v>
      </c>
      <c r="AF10" s="15">
        <f>+[1]RADIO!AG10</f>
        <v>63.825934267534194</v>
      </c>
      <c r="AG10" s="16">
        <f>+[1]RADIO!AH10</f>
        <v>77.437043721619915</v>
      </c>
      <c r="AH10" s="17">
        <f t="shared" ref="AH10:AH21" si="4">IF(AG10=0,"---",IF(OR(ABS((AF10-AG10)/ABS(AG10))&gt;2,(AF10*AG10)&lt;0),"---",IF(AG10="0","---",((AF10-AG10)/ABS(AG10))*100)))</f>
        <v>-17.577000360469068</v>
      </c>
      <c r="AK10" s="18" t="str">
        <f>+IF($B$3="esp","Ingresos de Explotación Noticias Gestión","Total Press Operating Revenues")</f>
        <v>Total Press Operating Revenues</v>
      </c>
      <c r="AM10" s="19">
        <f>+[1]NOTICIAS!AC10</f>
        <v>164.70120781854948</v>
      </c>
      <c r="AN10" s="20">
        <f>+[1]NOTICIAS!AD10</f>
        <v>210.82712950997379</v>
      </c>
      <c r="AO10" s="21">
        <f t="shared" ref="AO10:AO28" si="5">IF(AN10=0,"---",IF(OR(ABS((AM10-AN10)/ABS(AN10))&gt;2,(AM10*AN10)&lt;0),"---",IF(AN10="0","---",((AM10-AN10)/ABS(AN10))*100)))</f>
        <v>-21.878551303447022</v>
      </c>
      <c r="AQ10" s="19">
        <f>+[1]NOTICIAS!AG10</f>
        <v>51.243914303310476</v>
      </c>
      <c r="AR10" s="20">
        <f>+[1]NOTICIAS!AH10</f>
        <v>57.89288032470381</v>
      </c>
      <c r="AS10" s="21">
        <f t="shared" ref="AS10:AS28" si="6">IF(AR10=0,"---",IF(OR(ABS((AQ10-AR10)/ABS(AR10))&gt;2,(AQ10*AR10)&lt;0),"---",IF(AR10="0","---",((AQ10-AR10)/ABS(AR10))*100)))</f>
        <v>-11.484945962441802</v>
      </c>
    </row>
    <row r="11" spans="1:46" ht="15" customHeight="1">
      <c r="D11" s="22" t="str">
        <f>+IF($B$3="esp","España","Spain")</f>
        <v>Spain</v>
      </c>
      <c r="F11" s="23">
        <f>+[1]GRUPO!AC11</f>
        <v>285.32841093398071</v>
      </c>
      <c r="G11" s="24">
        <f>+[1]GRUPO!AD11</f>
        <v>385.11898828555434</v>
      </c>
      <c r="H11" s="25">
        <f t="shared" si="0"/>
        <v>-25.911622222475788</v>
      </c>
      <c r="J11" s="23">
        <f>+[1]GRUPO!AG11</f>
        <v>94.622148311389935</v>
      </c>
      <c r="K11" s="24">
        <f>+[1]GRUPO!AH11</f>
        <v>116.49693342298696</v>
      </c>
      <c r="L11" s="25">
        <f t="shared" si="1"/>
        <v>-18.777133842804421</v>
      </c>
      <c r="O11" s="22" t="str">
        <f>+IF($B$3="esp","Negocio Internacional","International business")</f>
        <v>International business</v>
      </c>
      <c r="Q11" s="23">
        <f>+[1]SANTILLANA!AC12</f>
        <v>362.75543158163856</v>
      </c>
      <c r="R11" s="24">
        <f>+[1]SANTILLANA!AD12</f>
        <v>494.26069860986001</v>
      </c>
      <c r="S11" s="25">
        <f t="shared" si="2"/>
        <v>-26.606458372694501</v>
      </c>
      <c r="U11" s="23">
        <f>+[1]SANTILLANA!AG12</f>
        <v>93.315516228514241</v>
      </c>
      <c r="V11" s="24">
        <f>+[1]SANTILLANA!AH12</f>
        <v>182.63754773418935</v>
      </c>
      <c r="W11" s="25">
        <f t="shared" si="3"/>
        <v>-48.906718587611778</v>
      </c>
      <c r="Z11" s="22" t="str">
        <f>+IF($B$3="esp","España","Spain")</f>
        <v>Spain</v>
      </c>
      <c r="AB11" s="23">
        <f>+[1]RADIO!AC11</f>
        <v>139.08034499000001</v>
      </c>
      <c r="AC11" s="24">
        <f>+[1]RADIO!AD11</f>
        <v>188.36092333000002</v>
      </c>
      <c r="AD11" s="25">
        <f>IF(AC11=0,"---",IF(OR(ABS((AB11-AC11)/ABS(AC11))&gt;2,(AB11*AC11)&lt;0),"---",IF(AC11="0","---",((AB11-AC11)/ABS(AC11))*100)))</f>
        <v>-26.162846023887138</v>
      </c>
      <c r="AF11" s="23">
        <f>+[1]RADIO!AG11</f>
        <v>47.415185280000003</v>
      </c>
      <c r="AG11" s="24">
        <f>+[1]RADIO!AH11</f>
        <v>55.203845730000012</v>
      </c>
      <c r="AH11" s="25">
        <f t="shared" si="4"/>
        <v>-14.108909165665853</v>
      </c>
      <c r="AK11" s="26" t="str">
        <f>+IF($B$3="esp","Ingresos de Explotación PRENSA","PRESS Operating Revenues")</f>
        <v>PRESS Operating Revenues</v>
      </c>
      <c r="AL11" s="14"/>
      <c r="AM11" s="15">
        <f>+[1]NOTICIAS!AC11</f>
        <v>147.41261837201321</v>
      </c>
      <c r="AN11" s="16">
        <f>+[1]NOTICIAS!AD11</f>
        <v>192.76135778672099</v>
      </c>
      <c r="AO11" s="17">
        <f t="shared" si="5"/>
        <v>-23.525845602770378</v>
      </c>
      <c r="AP11" s="14"/>
      <c r="AQ11" s="15">
        <f>+[1]NOTICIAS!AG11</f>
        <v>47.121714562601213</v>
      </c>
      <c r="AR11" s="16">
        <f>+[1]NOTICIAS!AH11</f>
        <v>56.375144971828007</v>
      </c>
      <c r="AS11" s="17">
        <f t="shared" si="6"/>
        <v>-16.41402503505925</v>
      </c>
    </row>
    <row r="12" spans="1:46" ht="15" customHeight="1">
      <c r="D12" s="22" t="str">
        <f>+IF($B$3="esp","Internacional","International")</f>
        <v>International</v>
      </c>
      <c r="F12" s="23">
        <f>+[1]GRUPO!AC12</f>
        <v>415.31220445677201</v>
      </c>
      <c r="G12" s="24">
        <f>+[1]GRUPO!AD12</f>
        <v>579.76640941692233</v>
      </c>
      <c r="H12" s="25">
        <f t="shared" si="0"/>
        <v>-28.365597297288019</v>
      </c>
      <c r="J12" s="23">
        <f>+[1]GRUPO!AG12</f>
        <v>111.40112785480483</v>
      </c>
      <c r="K12" s="24">
        <f>+[1]GRUPO!AH12</f>
        <v>199.22978569441585</v>
      </c>
      <c r="L12" s="25">
        <f t="shared" si="1"/>
        <v>-44.084099941925878</v>
      </c>
      <c r="O12" s="27" t="str">
        <f>+IF($B$3="esp","Latam","Latam")</f>
        <v>Latam</v>
      </c>
      <c r="Q12" s="23">
        <f>+[1]SANTILLANA!AC13</f>
        <v>357.92064958163854</v>
      </c>
      <c r="R12" s="24">
        <f>+[1]SANTILLANA!AD13</f>
        <v>490.02512560986003</v>
      </c>
      <c r="S12" s="25">
        <f t="shared" si="2"/>
        <v>-26.95871479320801</v>
      </c>
      <c r="U12" s="23">
        <f>+[1]SANTILLANA!AG13</f>
        <v>92.857688228514235</v>
      </c>
      <c r="V12" s="24">
        <f>+[1]SANTILLANA!AH13</f>
        <v>182.23517273418935</v>
      </c>
      <c r="W12" s="25">
        <f t="shared" si="3"/>
        <v>-49.045133913880775</v>
      </c>
      <c r="Z12" s="22" t="str">
        <f>+IF($B$3="esp","Latam","Latam")</f>
        <v>Latam</v>
      </c>
      <c r="AB12" s="23">
        <f>+[1]RADIO!AC12</f>
        <v>50.878367304910604</v>
      </c>
      <c r="AC12" s="24">
        <f>+[1]RADIO!AD12</f>
        <v>89.393841940531928</v>
      </c>
      <c r="AD12" s="25">
        <f>IF(AC12=0,"---",IF(OR(ABS((AB12-AC12)/ABS(AC12))&gt;2,(AB12*AC12)&lt;0),"---",IF(AC12="0","---",((AB12-AC12)/ABS(AC12))*100)))</f>
        <v>-43.085154189080761</v>
      </c>
      <c r="AF12" s="23">
        <f>+[1]RADIO!AG12</f>
        <v>17.28316300725421</v>
      </c>
      <c r="AG12" s="24">
        <f>+[1]RADIO!AH12</f>
        <v>23.197071555131629</v>
      </c>
      <c r="AH12" s="25">
        <f t="shared" si="4"/>
        <v>-25.49420315328187</v>
      </c>
      <c r="AK12" s="28" t="str">
        <f>+IF($B$3="esp","Publicidad","Advertising")</f>
        <v>Advertising</v>
      </c>
      <c r="AL12" s="29"/>
      <c r="AM12" s="30">
        <f>+[1]NOTICIAS!AC12</f>
        <v>81.470887744266363</v>
      </c>
      <c r="AN12" s="31">
        <f>+[1]NOTICIAS!AD12</f>
        <v>106.17734847569088</v>
      </c>
      <c r="AO12" s="32">
        <f t="shared" si="5"/>
        <v>-23.269050401160673</v>
      </c>
      <c r="AP12" s="29"/>
      <c r="AQ12" s="30">
        <f>+[1]NOTICIAS!AG12</f>
        <v>29.549162417276563</v>
      </c>
      <c r="AR12" s="31">
        <f>+[1]NOTICIAS!AH12</f>
        <v>33.99380896332157</v>
      </c>
      <c r="AS12" s="32">
        <f t="shared" si="6"/>
        <v>-13.074870635534442</v>
      </c>
    </row>
    <row r="13" spans="1:46" ht="15" customHeight="1" thickBot="1">
      <c r="D13" s="27" t="str">
        <f>+IF($B$3="esp","Latam","Latam")</f>
        <v>Latam</v>
      </c>
      <c r="F13" s="23">
        <f>+[1]GRUPO!AC13</f>
        <v>410.47742245677199</v>
      </c>
      <c r="G13" s="24">
        <f>+[1]GRUPO!AD13</f>
        <v>575.92012841692235</v>
      </c>
      <c r="H13" s="25">
        <f t="shared" si="0"/>
        <v>-28.726675418502207</v>
      </c>
      <c r="J13" s="23">
        <f>+[1]GRUPO!AG13</f>
        <v>110.94329985480488</v>
      </c>
      <c r="K13" s="24">
        <f>+[1]GRUPO!AH13</f>
        <v>199.21670269441586</v>
      </c>
      <c r="L13" s="25">
        <f t="shared" si="1"/>
        <v>-44.310241885197776</v>
      </c>
      <c r="O13" s="27" t="str">
        <f>+IF($B$3="esp","Portugal","Portugal")</f>
        <v>Portugal</v>
      </c>
      <c r="Q13" s="23">
        <f>+[1]SANTILLANA!AC14</f>
        <v>4.8347820000000015</v>
      </c>
      <c r="R13" s="24">
        <f>+[1]SANTILLANA!AD14</f>
        <v>4.2355729999999996</v>
      </c>
      <c r="S13" s="25">
        <f t="shared" si="2"/>
        <v>14.147058733257623</v>
      </c>
      <c r="U13" s="23">
        <f>+[1]SANTILLANA!AG14</f>
        <v>0.4578280000000019</v>
      </c>
      <c r="V13" s="24">
        <f>+[1]SANTILLANA!AH14</f>
        <v>0.40237499999999926</v>
      </c>
      <c r="W13" s="25">
        <f t="shared" si="3"/>
        <v>13.781422802113138</v>
      </c>
      <c r="Z13" s="22" t="str">
        <f>+IF($B$3="esp","Ajustes y Otros","Adjustments &amp; others")</f>
        <v>Adjustments &amp; others</v>
      </c>
      <c r="AB13" s="23">
        <f>+AB10-AB11-AB12</f>
        <v>-3.6720114830154174</v>
      </c>
      <c r="AC13" s="24">
        <f>+AC10-AC11-AC12</f>
        <v>-3.9451482850710136</v>
      </c>
      <c r="AD13" s="25">
        <f t="shared" ref="AD13:AD21" si="7">IF(AC13=0,"---",IF(OR(ABS((AB13-AC13)/ABS(AC13))&gt;2,(AB13*AC13)&lt;0),"---",IF(AC13="0","---",((AB13-AC13)/ABS(AC13))*100)))</f>
        <v>6.9233595880079752</v>
      </c>
      <c r="AF13" s="23">
        <f>+AF10-AF11-AF12</f>
        <v>-0.87241401972001853</v>
      </c>
      <c r="AG13" s="24">
        <f>+AG10-AG11-AG12</f>
        <v>-0.96387356351172571</v>
      </c>
      <c r="AH13" s="25">
        <f t="shared" si="4"/>
        <v>9.4887490697937942</v>
      </c>
      <c r="AK13" s="33" t="str">
        <f>+IF($B$3="esp","Digital","Digital")</f>
        <v>Digital</v>
      </c>
      <c r="AL13" s="29"/>
      <c r="AM13" s="30">
        <f>+[1]NOTICIAS!AC13</f>
        <v>54.402306893014455</v>
      </c>
      <c r="AN13" s="31">
        <f>+[1]NOTICIAS!AD13</f>
        <v>60.137814904265881</v>
      </c>
      <c r="AO13" s="32">
        <f t="shared" si="5"/>
        <v>-9.5372737110283285</v>
      </c>
      <c r="AP13" s="29"/>
      <c r="AQ13" s="30">
        <f>+[1]NOTICIAS!AG13</f>
        <v>18.366342043231157</v>
      </c>
      <c r="AR13" s="31">
        <f>+[1]NOTICIAS!AH13</f>
        <v>19.013891108542282</v>
      </c>
      <c r="AS13" s="32">
        <f t="shared" si="6"/>
        <v>-3.405663057679992</v>
      </c>
    </row>
    <row r="14" spans="1:46" ht="15" customHeight="1" thickTop="1">
      <c r="D14" s="27" t="str">
        <f>+IF($B$3="esp","Portugal","Portugal")</f>
        <v>Portugal</v>
      </c>
      <c r="F14" s="23">
        <f>+[1]GRUPO!AC14</f>
        <v>4.8347820000000015</v>
      </c>
      <c r="G14" s="24">
        <f>+[1]GRUPO!AD14</f>
        <v>3.8462809999999994</v>
      </c>
      <c r="H14" s="25">
        <f t="shared" si="0"/>
        <v>25.700176352169855</v>
      </c>
      <c r="J14" s="23">
        <f>+[1]GRUPO!AG14</f>
        <v>0.4578280000000019</v>
      </c>
      <c r="K14" s="24">
        <f>+[1]GRUPO!AH14</f>
        <v>1.3082999999999512E-2</v>
      </c>
      <c r="L14" s="25" t="str">
        <f t="shared" si="1"/>
        <v>---</v>
      </c>
      <c r="O14" s="22" t="str">
        <f>+IF($B$3="esp","Tecnología Educativa global y Centro Corpor.","Global Educational IT &amp; HQ")</f>
        <v>Global Educational IT &amp; HQ</v>
      </c>
      <c r="Q14" s="23">
        <f>+[1]SANTILLANA!AC15</f>
        <v>3.0733324400000011</v>
      </c>
      <c r="R14" s="24">
        <f>+[1]SANTILLANA!AD15</f>
        <v>2.7421376200000012</v>
      </c>
      <c r="S14" s="25">
        <f t="shared" si="2"/>
        <v>12.077979514390666</v>
      </c>
      <c r="U14" s="23">
        <f>+[1]SANTILLANA!AG15</f>
        <v>1.6360926400000009</v>
      </c>
      <c r="V14" s="24">
        <f>+[1]SANTILLANA!AH15</f>
        <v>1.1790526399999999</v>
      </c>
      <c r="W14" s="25">
        <f t="shared" si="3"/>
        <v>38.763324426295426</v>
      </c>
      <c r="Z14" s="14" t="str">
        <f>+IF($B$3="esp","Gastos de Explotación Contables","Reported Expenses")</f>
        <v>Reported Expenses</v>
      </c>
      <c r="AA14" s="14"/>
      <c r="AB14" s="15">
        <f t="shared" ref="AB14:AC16" si="8">+AB10-AB18</f>
        <v>181.41302419756374</v>
      </c>
      <c r="AC14" s="16">
        <f t="shared" si="8"/>
        <v>210.40025270606202</v>
      </c>
      <c r="AD14" s="34">
        <f t="shared" si="7"/>
        <v>-13.777183314030831</v>
      </c>
      <c r="AE14" s="14"/>
      <c r="AF14" s="15">
        <f t="shared" ref="AF14:AG16" si="9">+AF10-AF18</f>
        <v>52.748961394516598</v>
      </c>
      <c r="AG14" s="16">
        <f t="shared" si="9"/>
        <v>55.850060428119697</v>
      </c>
      <c r="AH14" s="34">
        <f t="shared" si="4"/>
        <v>-5.5525437391321786</v>
      </c>
      <c r="AK14" s="35" t="s">
        <v>5</v>
      </c>
      <c r="AL14" s="29"/>
      <c r="AM14" s="30">
        <f>+[1]NOTICIAS!AC14</f>
        <v>32.034878817904485</v>
      </c>
      <c r="AN14" s="31">
        <f>+[1]NOTICIAS!AD14</f>
        <v>37.193599095786652</v>
      </c>
      <c r="AO14" s="32">
        <f t="shared" si="5"/>
        <v>-13.869914187644602</v>
      </c>
      <c r="AP14" s="29"/>
      <c r="AQ14" s="30">
        <f>+[1]NOTICIAS!AG14</f>
        <v>10.506216175181741</v>
      </c>
      <c r="AR14" s="31">
        <f>+[1]NOTICIAS!AH14</f>
        <v>12.057347684392155</v>
      </c>
      <c r="AS14" s="32">
        <f t="shared" si="6"/>
        <v>-12.864616247388334</v>
      </c>
    </row>
    <row r="15" spans="1:46" s="14" customFormat="1" ht="15" customHeight="1">
      <c r="D15" s="14" t="str">
        <f>+IF($B$3="esp","Gastos de Explotación Contables","Reported Expenses")</f>
        <v>Reported Expenses</v>
      </c>
      <c r="F15" s="15">
        <f>+[1]GRUPO!AC15</f>
        <v>636.77529041731623</v>
      </c>
      <c r="G15" s="16">
        <f>+[1]GRUPO!AD15</f>
        <v>826.70792523336695</v>
      </c>
      <c r="H15" s="17">
        <f t="shared" si="0"/>
        <v>-22.974575302690567</v>
      </c>
      <c r="J15" s="15">
        <f>+[1]GRUPO!AG15</f>
        <v>165.4463943387039</v>
      </c>
      <c r="K15" s="16">
        <f>+[1]GRUPO!AH15</f>
        <v>221.90530649745551</v>
      </c>
      <c r="L15" s="17">
        <f t="shared" si="1"/>
        <v>-25.442794969573658</v>
      </c>
      <c r="O15" s="14" t="str">
        <f>+IF($B$3="esp","Gastos de Explotación","Expenses")</f>
        <v>Expenses</v>
      </c>
      <c r="Q15" s="15">
        <f>+[1]SANTILLANA!AC16</f>
        <v>288.80144150360229</v>
      </c>
      <c r="R15" s="16">
        <f>+[1]SANTILLANA!AD16</f>
        <v>374.75573090588045</v>
      </c>
      <c r="S15" s="17">
        <f t="shared" si="2"/>
        <v>-22.936084044533398</v>
      </c>
      <c r="U15" s="15">
        <f>+[1]SANTILLANA!AG16</f>
        <v>69.178269910007913</v>
      </c>
      <c r="V15" s="16">
        <f>+[1]SANTILLANA!AH16</f>
        <v>120.92571822625939</v>
      </c>
      <c r="W15" s="17">
        <f t="shared" si="3"/>
        <v>-42.792756640426852</v>
      </c>
      <c r="Z15" s="22" t="str">
        <f>+IF($B$3="esp","España","Spain")</f>
        <v>Spain</v>
      </c>
      <c r="AA15" s="1"/>
      <c r="AB15" s="23">
        <f t="shared" si="8"/>
        <v>132.85189879000001</v>
      </c>
      <c r="AC15" s="24">
        <f t="shared" si="8"/>
        <v>147.87053401000014</v>
      </c>
      <c r="AD15" s="25">
        <f t="shared" si="7"/>
        <v>-10.156611200839013</v>
      </c>
      <c r="AE15" s="1"/>
      <c r="AF15" s="23">
        <f t="shared" si="9"/>
        <v>39.68713121000004</v>
      </c>
      <c r="AG15" s="24">
        <f t="shared" si="9"/>
        <v>39.737921110000229</v>
      </c>
      <c r="AH15" s="25">
        <f t="shared" si="4"/>
        <v>-0.12781217180334176</v>
      </c>
      <c r="AK15" s="35" t="s">
        <v>6</v>
      </c>
      <c r="AL15" s="29"/>
      <c r="AM15" s="30">
        <f>+[1]NOTICIAS!AC15</f>
        <v>20.819859157639975</v>
      </c>
      <c r="AN15" s="31">
        <f>+[1]NOTICIAS!AD15</f>
        <v>21.157926268479262</v>
      </c>
      <c r="AO15" s="32">
        <f t="shared" si="5"/>
        <v>-1.5978272471009303</v>
      </c>
      <c r="AP15" s="29"/>
      <c r="AQ15" s="30">
        <f>+[1]NOTICIAS!AG15</f>
        <v>7.2785994246493733</v>
      </c>
      <c r="AR15" s="31">
        <f>+[1]NOTICIAS!AH15</f>
        <v>6.3108249641501608</v>
      </c>
      <c r="AS15" s="32">
        <f t="shared" si="6"/>
        <v>15.335149778306942</v>
      </c>
    </row>
    <row r="16" spans="1:46" ht="15" customHeight="1">
      <c r="D16" s="22" t="str">
        <f>+IF($B$3="esp","España","Spain")</f>
        <v>Spain</v>
      </c>
      <c r="F16" s="23">
        <f>+[1]GRUPO!AC16</f>
        <v>313.3660624516902</v>
      </c>
      <c r="G16" s="24">
        <f>+[1]GRUPO!AD16</f>
        <v>412.83695148163827</v>
      </c>
      <c r="H16" s="25">
        <f t="shared" si="0"/>
        <v>-24.094473295802405</v>
      </c>
      <c r="J16" s="23">
        <f>+[1]GRUPO!AG16</f>
        <v>85.080732589099568</v>
      </c>
      <c r="K16" s="24">
        <f>+[1]GRUPO!AH16</f>
        <v>100.24733915907143</v>
      </c>
      <c r="L16" s="25">
        <f t="shared" si="1"/>
        <v>-15.129186168129261</v>
      </c>
      <c r="O16" s="22" t="str">
        <f>+IF($B$3="esp","Negocio Internacional","International business")</f>
        <v>International business</v>
      </c>
      <c r="Q16" s="23">
        <f>+[1]SANTILLANA!AC18</f>
        <v>267.57726227360223</v>
      </c>
      <c r="R16" s="24">
        <f>+[1]SANTILLANA!AD18</f>
        <v>348.99839442588041</v>
      </c>
      <c r="S16" s="25">
        <f t="shared" si="2"/>
        <v>-23.329944622301188</v>
      </c>
      <c r="U16" s="23">
        <f>+[1]SANTILLANA!AG18</f>
        <v>66.029705120007861</v>
      </c>
      <c r="V16" s="24">
        <f>+[1]SANTILLANA!AH18</f>
        <v>112.70154848625936</v>
      </c>
      <c r="W16" s="25">
        <f t="shared" si="3"/>
        <v>-41.411891844539966</v>
      </c>
      <c r="Z16" s="22" t="str">
        <f>+IF($B$3="esp","Latam","Latam")</f>
        <v>Latam</v>
      </c>
      <c r="AB16" s="23">
        <f t="shared" si="8"/>
        <v>52.552569660579223</v>
      </c>
      <c r="AC16" s="24">
        <f t="shared" si="8"/>
        <v>66.235986601133277</v>
      </c>
      <c r="AD16" s="25">
        <f t="shared" si="7"/>
        <v>-20.658584015596041</v>
      </c>
      <c r="AF16" s="23">
        <f t="shared" si="9"/>
        <v>13.91406454423662</v>
      </c>
      <c r="AG16" s="24">
        <f t="shared" si="9"/>
        <v>16.970475631631679</v>
      </c>
      <c r="AH16" s="25">
        <f t="shared" si="4"/>
        <v>-18.010167503485526</v>
      </c>
      <c r="AI16" s="14"/>
      <c r="AK16" s="35" t="str">
        <f>+IF($B$3="esp","Otros","Others")</f>
        <v>Others</v>
      </c>
      <c r="AL16" s="29"/>
      <c r="AM16" s="30">
        <f>+[1]NOTICIAS!AC16</f>
        <v>1.5475689174699951</v>
      </c>
      <c r="AN16" s="31">
        <f>+[1]NOTICIAS!AD16</f>
        <v>1.7862895399999665</v>
      </c>
      <c r="AO16" s="32">
        <f t="shared" si="5"/>
        <v>-13.364049734623418</v>
      </c>
      <c r="AP16" s="29"/>
      <c r="AQ16" s="30">
        <f>+[1]NOTICIAS!AG16</f>
        <v>0.58152644340004223</v>
      </c>
      <c r="AR16" s="31">
        <f>+[1]NOTICIAS!AH16</f>
        <v>0.64571845999996569</v>
      </c>
      <c r="AS16" s="32">
        <f t="shared" si="6"/>
        <v>-9.9411772430862317</v>
      </c>
    </row>
    <row r="17" spans="4:45" ht="15" customHeight="1" thickBot="1">
      <c r="D17" s="22" t="str">
        <f>+IF($B$3="esp","Internacional","International")</f>
        <v>International</v>
      </c>
      <c r="F17" s="23">
        <f>+[1]GRUPO!AC17</f>
        <v>323.40922796562609</v>
      </c>
      <c r="G17" s="24">
        <f>+[1]GRUPO!AD17</f>
        <v>413.87097375172868</v>
      </c>
      <c r="H17" s="25">
        <f t="shared" si="0"/>
        <v>-21.85747528174528</v>
      </c>
      <c r="J17" s="23">
        <f>+[1]GRUPO!AG17</f>
        <v>80.365661749604385</v>
      </c>
      <c r="K17" s="24">
        <f>+[1]GRUPO!AH17</f>
        <v>121.65796733838403</v>
      </c>
      <c r="L17" s="25">
        <f t="shared" si="1"/>
        <v>-33.941308154465275</v>
      </c>
      <c r="O17" s="27" t="str">
        <f>+IF($B$3="esp","Latam","Latam")</f>
        <v>Latam</v>
      </c>
      <c r="Q17" s="23">
        <f>+[1]SANTILLANA!AC19</f>
        <v>265.37758927360221</v>
      </c>
      <c r="R17" s="24">
        <f>+[1]SANTILLANA!AD19</f>
        <v>347.19890542588041</v>
      </c>
      <c r="S17" s="25">
        <f t="shared" si="2"/>
        <v>-23.566121572853092</v>
      </c>
      <c r="U17" s="23">
        <f>+[1]SANTILLANA!AG19</f>
        <v>65.524757120007848</v>
      </c>
      <c r="V17" s="24">
        <f>+[1]SANTILLANA!AH19</f>
        <v>112.34571848625936</v>
      </c>
      <c r="W17" s="25">
        <f t="shared" si="3"/>
        <v>-41.675786133298914</v>
      </c>
      <c r="Z17" s="22" t="str">
        <f>+IF($B$3="esp","Ajustes y Otros","Adjustments &amp; others")</f>
        <v>Adjustments &amp; others</v>
      </c>
      <c r="AB17" s="23">
        <f>+AB14-AB15-AB16</f>
        <v>-3.9914442530154872</v>
      </c>
      <c r="AC17" s="24">
        <f>+AC14-AC15-AC16</f>
        <v>-3.7062679050713996</v>
      </c>
      <c r="AD17" s="25">
        <f t="shared" si="7"/>
        <v>-7.6944342731908861</v>
      </c>
      <c r="AF17" s="23">
        <f>+AF14-AF15-AF16</f>
        <v>-0.85223435972006101</v>
      </c>
      <c r="AG17" s="24">
        <f>+AG14-AG15-AG16</f>
        <v>-0.85833631351221129</v>
      </c>
      <c r="AH17" s="25">
        <f t="shared" si="4"/>
        <v>0.71090476962133942</v>
      </c>
      <c r="AK17" s="33" t="str">
        <f>+IF($B$3="esp","Papel","Print")</f>
        <v>Print</v>
      </c>
      <c r="AL17" s="29"/>
      <c r="AM17" s="30">
        <f>+[1]NOTICIAS!AC17</f>
        <v>27.068580851251909</v>
      </c>
      <c r="AN17" s="31">
        <f>+[1]NOTICIAS!AD17</f>
        <v>46.039533571424997</v>
      </c>
      <c r="AO17" s="32">
        <f t="shared" si="5"/>
        <v>-41.205788261824708</v>
      </c>
      <c r="AP17" s="29"/>
      <c r="AQ17" s="30">
        <f>+[1]NOTICIAS!AG17</f>
        <v>11.182820374045406</v>
      </c>
      <c r="AR17" s="31">
        <f>+[1]NOTICIAS!AH17</f>
        <v>14.979917854779288</v>
      </c>
      <c r="AS17" s="32">
        <f t="shared" si="6"/>
        <v>-25.347919244580048</v>
      </c>
    </row>
    <row r="18" spans="4:45" ht="15" customHeight="1" thickTop="1">
      <c r="D18" s="27" t="str">
        <f>+IF($B$3="esp","Latam","Latam")</f>
        <v>Latam</v>
      </c>
      <c r="F18" s="23">
        <f>+[1]GRUPO!AC18</f>
        <v>321.15340772562604</v>
      </c>
      <c r="G18" s="24">
        <f>+[1]GRUPO!AD18</f>
        <v>412.26535675172869</v>
      </c>
      <c r="H18" s="25">
        <f t="shared" si="0"/>
        <v>-22.100316588320904</v>
      </c>
      <c r="J18" s="23">
        <f>+[1]GRUPO!AG18</f>
        <v>79.8998147996044</v>
      </c>
      <c r="K18" s="24">
        <f>+[1]GRUPO!AH18</f>
        <v>121.496009338384</v>
      </c>
      <c r="L18" s="25">
        <f t="shared" si="1"/>
        <v>-34.236675562674797</v>
      </c>
      <c r="O18" s="27" t="str">
        <f>+IF($B$3="esp","Portugal","Portugal")</f>
        <v>Portugal</v>
      </c>
      <c r="Q18" s="23">
        <f>+[1]SANTILLANA!AC20</f>
        <v>2.1996730000000033</v>
      </c>
      <c r="R18" s="24">
        <f>+[1]SANTILLANA!AD20</f>
        <v>1.7994890000000003</v>
      </c>
      <c r="S18" s="25">
        <f t="shared" si="2"/>
        <v>22.238757780681233</v>
      </c>
      <c r="U18" s="23">
        <f>+[1]SANTILLANA!AG20</f>
        <v>0.50494800000000417</v>
      </c>
      <c r="V18" s="24">
        <f>+[1]SANTILLANA!AH20</f>
        <v>0.35583000000000009</v>
      </c>
      <c r="W18" s="25">
        <f t="shared" si="3"/>
        <v>41.907090464548816</v>
      </c>
      <c r="Z18" s="14" t="str">
        <f>+IF($B$3="esp","EBITDA","EBITDA")</f>
        <v>EBITDA</v>
      </c>
      <c r="AA18" s="14"/>
      <c r="AB18" s="15">
        <f>+[1]RADIO!AC20</f>
        <v>4.873676614331468</v>
      </c>
      <c r="AC18" s="16">
        <f>+[1]RADIO!AD20</f>
        <v>63.409364279398922</v>
      </c>
      <c r="AD18" s="34">
        <f t="shared" si="7"/>
        <v>-92.31394815305714</v>
      </c>
      <c r="AE18" s="14"/>
      <c r="AF18" s="15">
        <f>+[1]RADIO!AG20</f>
        <v>11.076972873017599</v>
      </c>
      <c r="AG18" s="16">
        <f>+[1]RADIO!AH20</f>
        <v>21.586983293500218</v>
      </c>
      <c r="AH18" s="34">
        <f t="shared" si="4"/>
        <v>-48.686795545198549</v>
      </c>
      <c r="AK18" s="35" t="s">
        <v>5</v>
      </c>
      <c r="AL18" s="29"/>
      <c r="AM18" s="30">
        <f>+[1]NOTICIAS!AC18</f>
        <v>20.913741756742901</v>
      </c>
      <c r="AN18" s="31">
        <f>+[1]NOTICIAS!AD18</f>
        <v>36.418408967391954</v>
      </c>
      <c r="AO18" s="32">
        <f t="shared" si="5"/>
        <v>-42.573708325730287</v>
      </c>
      <c r="AP18" s="29"/>
      <c r="AQ18" s="30">
        <f>+[1]NOTICIAS!AG18</f>
        <v>8.6951950587092384</v>
      </c>
      <c r="AR18" s="31">
        <f>+[1]NOTICIAS!AH18</f>
        <v>11.806645693130548</v>
      </c>
      <c r="AS18" s="32">
        <f t="shared" si="6"/>
        <v>-26.353383639111343</v>
      </c>
    </row>
    <row r="19" spans="4:45" ht="15" customHeight="1">
      <c r="D19" s="27" t="str">
        <f>+IF($B$3="esp","Portugal","Portugal")</f>
        <v>Portugal</v>
      </c>
      <c r="F19" s="23">
        <f>+[1]GRUPO!AC19</f>
        <v>2.2558202400000016</v>
      </c>
      <c r="G19" s="24">
        <f>+[1]GRUPO!AD19</f>
        <v>1.6056170000000001</v>
      </c>
      <c r="H19" s="25">
        <f t="shared" si="0"/>
        <v>40.495537852426914</v>
      </c>
      <c r="J19" s="23">
        <f>+[1]GRUPO!AG19</f>
        <v>0.46584695000001197</v>
      </c>
      <c r="K19" s="24">
        <f>+[1]GRUPO!AH19</f>
        <v>0.16195800000000027</v>
      </c>
      <c r="L19" s="25">
        <f t="shared" si="1"/>
        <v>187.63441756505463</v>
      </c>
      <c r="O19" s="22" t="str">
        <f>+IF($B$3="esp","Tecnología Educativa global y Centro Corpor.","Global Educational IT &amp; HQ")</f>
        <v>Global Educational IT &amp; HQ</v>
      </c>
      <c r="Q19" s="23">
        <f>+[1]SANTILLANA!AC21</f>
        <v>21.224179229999994</v>
      </c>
      <c r="R19" s="24">
        <f>+[1]SANTILLANA!AD21</f>
        <v>25.757336480000003</v>
      </c>
      <c r="S19" s="25">
        <f t="shared" si="2"/>
        <v>-17.599479874481215</v>
      </c>
      <c r="U19" s="23">
        <f>+[1]SANTILLANA!AG21</f>
        <v>3.1485647899999911</v>
      </c>
      <c r="V19" s="24">
        <f>+[1]SANTILLANA!AH21</f>
        <v>8.2241697399999971</v>
      </c>
      <c r="W19" s="25">
        <f t="shared" si="3"/>
        <v>-61.715712472636874</v>
      </c>
      <c r="Z19" s="22" t="str">
        <f>+IF($B$3="esp","España","Spain")</f>
        <v>Spain</v>
      </c>
      <c r="AB19" s="23">
        <f>+[1]RADIO!AC21</f>
        <v>6.2284462000000147</v>
      </c>
      <c r="AC19" s="24">
        <f>+[1]RADIO!AD21</f>
        <v>40.490389319999878</v>
      </c>
      <c r="AD19" s="25">
        <f t="shared" si="7"/>
        <v>-84.617470208113005</v>
      </c>
      <c r="AF19" s="23">
        <f>+[1]RADIO!AG21</f>
        <v>7.7280540699999651</v>
      </c>
      <c r="AG19" s="24">
        <f>+[1]RADIO!AH21</f>
        <v>15.465924619999779</v>
      </c>
      <c r="AH19" s="25">
        <f t="shared" si="4"/>
        <v>-50.031735832939319</v>
      </c>
      <c r="AK19" s="35" t="s">
        <v>6</v>
      </c>
      <c r="AL19" s="29"/>
      <c r="AM19" s="30">
        <f>+[1]NOTICIAS!AC19</f>
        <v>2.8746354419790201</v>
      </c>
      <c r="AN19" s="31">
        <f>+[1]NOTICIAS!AD19</f>
        <v>5.4280447940329815</v>
      </c>
      <c r="AO19" s="32">
        <f t="shared" si="5"/>
        <v>-47.04105159303235</v>
      </c>
      <c r="AP19" s="29"/>
      <c r="AQ19" s="30">
        <f>+[1]NOTICIAS!AG19</f>
        <v>1.1381208487362215</v>
      </c>
      <c r="AR19" s="31">
        <f>+[1]NOTICIAS!AH19</f>
        <v>1.7822117816486838</v>
      </c>
      <c r="AS19" s="32">
        <f t="shared" si="6"/>
        <v>-36.139977276809852</v>
      </c>
    </row>
    <row r="20" spans="4:45" s="29" customFormat="1" ht="15" customHeight="1">
      <c r="D20" s="14" t="str">
        <f>+IF($B$3="esp","EBITDA Contable","Reported EBITDA")</f>
        <v>Reported EBITDA</v>
      </c>
      <c r="E20" s="14"/>
      <c r="F20" s="15">
        <f>+[1]GRUPO!AC20</f>
        <v>63.865324973436444</v>
      </c>
      <c r="G20" s="16">
        <f>+[1]GRUPO!AD20</f>
        <v>138.17747246910972</v>
      </c>
      <c r="H20" s="17">
        <f t="shared" si="0"/>
        <v>-53.780219139763275</v>
      </c>
      <c r="I20" s="14"/>
      <c r="J20" s="15">
        <f>+[1]GRUPO!AG20</f>
        <v>40.57688182749083</v>
      </c>
      <c r="K20" s="16">
        <f>+[1]GRUPO!AH20</f>
        <v>93.821412619947324</v>
      </c>
      <c r="L20" s="17">
        <f t="shared" si="1"/>
        <v>-56.750937025580662</v>
      </c>
      <c r="O20" s="14" t="str">
        <f>+IF($B$3="esp","EBITDA","EBITDA")</f>
        <v>EBITDA</v>
      </c>
      <c r="P20" s="14"/>
      <c r="Q20" s="15">
        <f>+[1]SANTILLANA!AC22</f>
        <v>77.027322518036357</v>
      </c>
      <c r="R20" s="16">
        <f>+[1]SANTILLANA!AD22</f>
        <v>122.24710532397957</v>
      </c>
      <c r="S20" s="17">
        <f t="shared" si="2"/>
        <v>-36.990473259961156</v>
      </c>
      <c r="T20" s="14"/>
      <c r="U20" s="15">
        <f>+[1]SANTILLANA!AG22</f>
        <v>25.773338958506436</v>
      </c>
      <c r="V20" s="16">
        <f>+[1]SANTILLANA!AH22</f>
        <v>62.890882147929979</v>
      </c>
      <c r="W20" s="17">
        <f t="shared" si="3"/>
        <v>-59.018957791237227</v>
      </c>
      <c r="Z20" s="22" t="str">
        <f>+IF($B$3="esp","Latam","Latam")</f>
        <v>Latam</v>
      </c>
      <c r="AA20" s="1"/>
      <c r="AB20" s="23">
        <f>+[1]RADIO!AC22</f>
        <v>-1.6742023556686212</v>
      </c>
      <c r="AC20" s="24">
        <f>+[1]RADIO!AD22</f>
        <v>23.157855339398651</v>
      </c>
      <c r="AD20" s="25" t="str">
        <f t="shared" si="7"/>
        <v>---</v>
      </c>
      <c r="AE20" s="1"/>
      <c r="AF20" s="23">
        <f>+[1]RADIO!AG22</f>
        <v>3.3690984630175889</v>
      </c>
      <c r="AG20" s="24">
        <f>+[1]RADIO!AH22</f>
        <v>6.2265959234999499</v>
      </c>
      <c r="AH20" s="25">
        <f t="shared" si="4"/>
        <v>-45.891808230205037</v>
      </c>
      <c r="AI20" s="1"/>
      <c r="AK20" s="35" t="str">
        <f>+IF($B$3="esp","Otros","Others")</f>
        <v>Others</v>
      </c>
      <c r="AM20" s="30">
        <f>+[1]NOTICIAS!AC20</f>
        <v>3.2802036525299876</v>
      </c>
      <c r="AN20" s="31">
        <f>+[1]NOTICIAS!AD20</f>
        <v>4.1930798100000608</v>
      </c>
      <c r="AO20" s="32">
        <f t="shared" si="5"/>
        <v>-21.771017935145384</v>
      </c>
      <c r="AQ20" s="30">
        <f>+[1]NOTICIAS!AG20</f>
        <v>1.3495044665999458</v>
      </c>
      <c r="AR20" s="31">
        <f>+[1]NOTICIAS!AH20</f>
        <v>1.3910603800000558</v>
      </c>
      <c r="AS20" s="32">
        <f t="shared" si="6"/>
        <v>-2.987355113953309</v>
      </c>
    </row>
    <row r="21" spans="4:45" s="14" customFormat="1" ht="15" customHeight="1">
      <c r="D21" s="22" t="str">
        <f>+IF($B$3="esp","España","Spain")</f>
        <v>Spain</v>
      </c>
      <c r="E21" s="1"/>
      <c r="F21" s="23">
        <f>+[1]GRUPO!AC21</f>
        <v>-28.037651517709506</v>
      </c>
      <c r="G21" s="24">
        <f>+[1]GRUPO!AD21</f>
        <v>-27.717963196083929</v>
      </c>
      <c r="H21" s="25">
        <f t="shared" si="0"/>
        <v>-1.153361519979013</v>
      </c>
      <c r="I21" s="1"/>
      <c r="J21" s="23">
        <f>+[1]GRUPO!AG21</f>
        <v>9.5414157222903668</v>
      </c>
      <c r="K21" s="24">
        <f>+[1]GRUPO!AH21</f>
        <v>16.249594263915512</v>
      </c>
      <c r="L21" s="25">
        <f t="shared" si="1"/>
        <v>-41.282129465358956</v>
      </c>
      <c r="O21" s="22" t="str">
        <f>+IF($B$3="esp","Negocio Internacional","International business")</f>
        <v>International business</v>
      </c>
      <c r="P21" s="1"/>
      <c r="Q21" s="23">
        <f>+[1]SANTILLANA!AC24</f>
        <v>95.178169308036345</v>
      </c>
      <c r="R21" s="24">
        <f>+[1]SANTILLANA!AD24</f>
        <v>145.26230418397958</v>
      </c>
      <c r="S21" s="25">
        <f t="shared" si="2"/>
        <v>-34.478411420839087</v>
      </c>
      <c r="T21" s="1"/>
      <c r="U21" s="23">
        <f>+[1]SANTILLANA!AG24</f>
        <v>27.285811108506408</v>
      </c>
      <c r="V21" s="24">
        <f>+[1]SANTILLANA!AH24</f>
        <v>69.935999247929985</v>
      </c>
      <c r="W21" s="25">
        <f t="shared" si="3"/>
        <v>-60.984598201313275</v>
      </c>
      <c r="Z21" s="22" t="str">
        <f>+IF($B$3="esp","Ajustes y Otros","Adjustments &amp; others")</f>
        <v>Adjustments &amp; others</v>
      </c>
      <c r="AA21" s="1"/>
      <c r="AB21" s="23">
        <f>+AB18-AB19-AB20</f>
        <v>0.31943277000007453</v>
      </c>
      <c r="AC21" s="24">
        <f>+AC18-AC19-AC20</f>
        <v>-0.23888037999960687</v>
      </c>
      <c r="AD21" s="25" t="str">
        <f t="shared" si="7"/>
        <v>---</v>
      </c>
      <c r="AE21" s="1"/>
      <c r="AF21" s="23">
        <f>+AF18-AF19-AF20</f>
        <v>-2.0179659999954858E-2</v>
      </c>
      <c r="AG21" s="24">
        <f>+AG18-AG19-AG20</f>
        <v>-0.10553724999951086</v>
      </c>
      <c r="AH21" s="25">
        <f t="shared" si="4"/>
        <v>80.879111403747601</v>
      </c>
      <c r="AI21" s="29"/>
      <c r="AK21" s="28" t="str">
        <f>+IF($B$3="esp","Circulación","Circulation")</f>
        <v>Circulation</v>
      </c>
      <c r="AL21" s="29"/>
      <c r="AM21" s="30">
        <f>+[1]NOTICIAS!AC21</f>
        <v>49.884558314394141</v>
      </c>
      <c r="AN21" s="31">
        <f>+[1]NOTICIAS!AD21</f>
        <v>61.19002628599749</v>
      </c>
      <c r="AO21" s="32">
        <f t="shared" si="5"/>
        <v>-18.47599789998857</v>
      </c>
      <c r="AP21" s="29"/>
      <c r="AQ21" s="30">
        <f>+[1]NOTICIAS!AG21</f>
        <v>13.659328446071548</v>
      </c>
      <c r="AR21" s="31">
        <f>+[1]NOTICIAS!AH21</f>
        <v>14.731424991567486</v>
      </c>
      <c r="AS21" s="32">
        <f t="shared" si="6"/>
        <v>-7.2776160222763533</v>
      </c>
    </row>
    <row r="22" spans="4:45" ht="15" customHeight="1" thickBot="1">
      <c r="D22" s="22" t="str">
        <f>+IF($B$3="esp","Internacional","International")</f>
        <v>International</v>
      </c>
      <c r="F22" s="23">
        <f>+[1]GRUPO!AC22</f>
        <v>91.902976491145949</v>
      </c>
      <c r="G22" s="24">
        <f>+[1]GRUPO!AD22</f>
        <v>165.89543566519365</v>
      </c>
      <c r="H22" s="25">
        <f t="shared" si="0"/>
        <v>-44.601865553056911</v>
      </c>
      <c r="J22" s="23">
        <f>+[1]GRUPO!AG22</f>
        <v>31.035466105200463</v>
      </c>
      <c r="K22" s="24">
        <f>+[1]GRUPO!AH22</f>
        <v>77.571818356031812</v>
      </c>
      <c r="L22" s="25">
        <f t="shared" si="1"/>
        <v>-59.991312872470246</v>
      </c>
      <c r="O22" s="27" t="str">
        <f>+IF($B$3="esp","Latam","Latam")</f>
        <v>Latam</v>
      </c>
      <c r="Q22" s="23">
        <f>+[1]SANTILLANA!AC25</f>
        <v>92.543060308036345</v>
      </c>
      <c r="R22" s="24">
        <f>+[1]SANTILLANA!AD25</f>
        <v>142.82622018397959</v>
      </c>
      <c r="S22" s="25">
        <f t="shared" si="2"/>
        <v>-35.205832522327967</v>
      </c>
      <c r="U22" s="23">
        <f>+[1]SANTILLANA!AG25</f>
        <v>27.332931108506415</v>
      </c>
      <c r="V22" s="24">
        <f>+[1]SANTILLANA!AH25</f>
        <v>69.88945424792999</v>
      </c>
      <c r="W22" s="25">
        <f t="shared" si="3"/>
        <v>-60.891193953891879</v>
      </c>
      <c r="Z22" s="28" t="str">
        <f>+IF($B$3="esp","Margen EBITDA","EBITDA Margin")</f>
        <v>EBITDA Margin</v>
      </c>
      <c r="AA22" s="29"/>
      <c r="AB22" s="36">
        <f>+AB18/AB10</f>
        <v>2.6162235914268032E-2</v>
      </c>
      <c r="AC22" s="37">
        <f>+AC18/AC10</f>
        <v>0.23158194725777623</v>
      </c>
      <c r="AD22" s="38"/>
      <c r="AE22" s="29"/>
      <c r="AF22" s="36">
        <f>+AF18/AF10</f>
        <v>0.17354971768352212</v>
      </c>
      <c r="AG22" s="37">
        <f>+AG18/AG10</f>
        <v>0.27876817419714167</v>
      </c>
      <c r="AH22" s="38"/>
      <c r="AI22" s="14"/>
      <c r="AK22" s="28" t="str">
        <f>+IF($B$3="esp","Promociones y Otros","Add-ons and Others")</f>
        <v>Add-ons and Others</v>
      </c>
      <c r="AL22" s="29"/>
      <c r="AM22" s="30">
        <f>+[1]NOTICIAS!AC22</f>
        <v>16.057172313352709</v>
      </c>
      <c r="AN22" s="31">
        <f>+[1]NOTICIAS!AD22</f>
        <v>25.393983025032625</v>
      </c>
      <c r="AO22" s="32">
        <f t="shared" si="5"/>
        <v>-36.767807170997827</v>
      </c>
      <c r="AP22" s="29"/>
      <c r="AQ22" s="30">
        <f>+[1]NOTICIAS!AG22</f>
        <v>3.913223699253102</v>
      </c>
      <c r="AR22" s="31">
        <f>+[1]NOTICIAS!AH22</f>
        <v>7.649911016938951</v>
      </c>
      <c r="AS22" s="32">
        <f t="shared" si="6"/>
        <v>-48.846154019462752</v>
      </c>
    </row>
    <row r="23" spans="4:45" ht="15" customHeight="1" thickTop="1" thickBot="1">
      <c r="D23" s="27" t="str">
        <f>+IF($B$3="esp","Latam","Latam")</f>
        <v>Latam</v>
      </c>
      <c r="F23" s="23">
        <f>+[1]GRUPO!AC23</f>
        <v>89.324014731145951</v>
      </c>
      <c r="G23" s="24">
        <f>+[1]GRUPO!AD23</f>
        <v>163.65477166519366</v>
      </c>
      <c r="H23" s="25">
        <f t="shared" si="0"/>
        <v>-45.419242089753553</v>
      </c>
      <c r="J23" s="23">
        <f>+[1]GRUPO!AG23</f>
        <v>31.043485055200478</v>
      </c>
      <c r="K23" s="24">
        <f>+[1]GRUPO!AH23</f>
        <v>77.720693356031845</v>
      </c>
      <c r="L23" s="25">
        <f t="shared" si="1"/>
        <v>-60.057632382417211</v>
      </c>
      <c r="O23" s="27" t="str">
        <f>+IF($B$3="esp","Portugal","Portugal")</f>
        <v>Portugal</v>
      </c>
      <c r="Q23" s="23">
        <f>+[1]SANTILLANA!AC26</f>
        <v>2.6351089999999981</v>
      </c>
      <c r="R23" s="24">
        <f>+[1]SANTILLANA!AD26</f>
        <v>2.4360839999999993</v>
      </c>
      <c r="S23" s="25">
        <f t="shared" si="2"/>
        <v>8.169874273629274</v>
      </c>
      <c r="U23" s="23">
        <f>+[1]SANTILLANA!AG26</f>
        <v>-4.7120000000002271E-2</v>
      </c>
      <c r="V23" s="24">
        <f>+[1]SANTILLANA!AH26</f>
        <v>4.654499999999917E-2</v>
      </c>
      <c r="W23" s="25" t="str">
        <f t="shared" si="3"/>
        <v>---</v>
      </c>
      <c r="Z23" s="14" t="str">
        <f>+IF($B$3="esp","EBIT","EBIT")</f>
        <v>EBIT</v>
      </c>
      <c r="AA23" s="14"/>
      <c r="AB23" s="15">
        <f>+[1]RADIO!AC26</f>
        <v>-32.522418674203713</v>
      </c>
      <c r="AC23" s="16">
        <f>+[1]RADIO!AD26</f>
        <v>43.217564870825278</v>
      </c>
      <c r="AD23" s="34" t="str">
        <f>IF(AC23=0,"---",IF(OR(ABS((AB23-AC23)/ABS(AC23))&gt;2,(AB23*AC23)&lt;0),"---",IF(AC23="0","---",((AB23-AC23)/ABS(AC23))*100)))</f>
        <v>---</v>
      </c>
      <c r="AE23" s="14"/>
      <c r="AF23" s="15">
        <f>+[1]RADIO!AG26</f>
        <v>6.688421036991592</v>
      </c>
      <c r="AG23" s="16">
        <f>+[1]RADIO!AH26</f>
        <v>14.852187763209677</v>
      </c>
      <c r="AH23" s="34">
        <f>IF(AG23=0,"---",IF(OR(ABS((AF23-AG23)/ABS(AG23))&gt;2,(AF23*AG23)&lt;0),"---",IF(AG23="0","---",((AF23-AG23)/ABS(AG23))*100)))</f>
        <v>-54.966762179242949</v>
      </c>
      <c r="AI23" s="14"/>
      <c r="AK23" s="26" t="str">
        <f>+IF($B$3="esp","PBS y Prisa Tecnología (incluye elim.)","PBS &amp; IT (includes interco. adj.)")</f>
        <v>PBS &amp; IT (includes interco. adj.)</v>
      </c>
      <c r="AL23" s="14"/>
      <c r="AM23" s="15">
        <f>+[1]NOTICIAS!AC23</f>
        <v>17.288589446536264</v>
      </c>
      <c r="AN23" s="16">
        <f>+[1]NOTICIAS!AD23</f>
        <v>18.065771723252794</v>
      </c>
      <c r="AO23" s="17">
        <f t="shared" si="5"/>
        <v>-4.3019600193231966</v>
      </c>
      <c r="AP23" s="14"/>
      <c r="AQ23" s="15">
        <f>+[1]NOTICIAS!AG23</f>
        <v>4.122199740709263</v>
      </c>
      <c r="AR23" s="16">
        <f>+[1]NOTICIAS!AH23</f>
        <v>1.5177353528758033</v>
      </c>
      <c r="AS23" s="17">
        <f t="shared" si="6"/>
        <v>171.60201104220991</v>
      </c>
    </row>
    <row r="24" spans="4:45" ht="15" customHeight="1" thickTop="1">
      <c r="D24" s="27" t="str">
        <f>+IF($B$3="esp","Portugal","Portugal")</f>
        <v>Portugal</v>
      </c>
      <c r="F24" s="23">
        <f>+[1]GRUPO!AC24</f>
        <v>2.5789617599999999</v>
      </c>
      <c r="G24" s="24">
        <f>+[1]GRUPO!AD24</f>
        <v>2.2406639999999993</v>
      </c>
      <c r="H24" s="25">
        <f t="shared" si="0"/>
        <v>15.098103062306558</v>
      </c>
      <c r="J24" s="23">
        <f>+[1]GRUPO!AG24</f>
        <v>-8.0189500000100722E-3</v>
      </c>
      <c r="K24" s="24">
        <f>+[1]GRUPO!AH24</f>
        <v>-0.14887500000000076</v>
      </c>
      <c r="L24" s="25">
        <f t="shared" si="1"/>
        <v>94.613635600329118</v>
      </c>
      <c r="O24" s="22" t="str">
        <f>+IF($B$3="esp","Tecnología Educativa global y Centro Corpor.","Global Educational IT &amp; HQ")</f>
        <v>Global Educational IT &amp; HQ</v>
      </c>
      <c r="Q24" s="23">
        <f>+[1]SANTILLANA!AC27</f>
        <v>-18.150846789999992</v>
      </c>
      <c r="R24" s="24">
        <f>+[1]SANTILLANA!AD27</f>
        <v>-23.015198860000002</v>
      </c>
      <c r="S24" s="25">
        <f t="shared" si="2"/>
        <v>21.135390137576284</v>
      </c>
      <c r="U24" s="23">
        <f>+[1]SANTILLANA!AG27</f>
        <v>-1.51247214999999</v>
      </c>
      <c r="V24" s="24">
        <f>+[1]SANTILLANA!AH27</f>
        <v>-7.045117099999997</v>
      </c>
      <c r="W24" s="25">
        <f t="shared" si="3"/>
        <v>78.53162511663588</v>
      </c>
      <c r="Z24" s="22" t="str">
        <f>+IF($B$3="esp","España","Spain")</f>
        <v>Spain</v>
      </c>
      <c r="AB24" s="23">
        <f>+[1]RADIO!AC27</f>
        <v>-5.2802538199999836</v>
      </c>
      <c r="AC24" s="24">
        <f>+[1]RADIO!AD27</f>
        <v>29.274194779999974</v>
      </c>
      <c r="AD24" s="25" t="str">
        <f>IF(AC24=0,"---",IF(OR(ABS((AB24-AC24)/ABS(AC24))&gt;2,(AB24*AC24)&lt;0),"---",IF(AC24="0","---",((AB24-AC24)/ABS(AC24))*100)))</f>
        <v>---</v>
      </c>
      <c r="AF24" s="23">
        <f>+[1]RADIO!AG27</f>
        <v>5.0020293100000339</v>
      </c>
      <c r="AG24" s="24">
        <f>+[1]RADIO!AH27</f>
        <v>12.706073749999874</v>
      </c>
      <c r="AH24" s="25">
        <f>IF(AG24=0,"---",IF(OR(ABS((AF24-AG24)/ABS(AG24))&gt;2,(AF24*AG24)&lt;0),"---",IF(AG24="0","---",((AF24-AG24)/ABS(AG24))*100)))</f>
        <v>-60.632769741320892</v>
      </c>
      <c r="AK24" s="39" t="str">
        <f>+IF($B$3="esp","Gastos de Explotación Contables Noticias Gestión","Total Press Reported Expenses")</f>
        <v>Total Press Reported Expenses</v>
      </c>
      <c r="AL24" s="40"/>
      <c r="AM24" s="41">
        <f>+[1]NOTICIAS!AC24</f>
        <v>174.94976052748007</v>
      </c>
      <c r="AN24" s="42">
        <f>+[1]NOTICIAS!AD24</f>
        <v>198.6944610615418</v>
      </c>
      <c r="AO24" s="43">
        <f t="shared" si="5"/>
        <v>-11.950358559168526</v>
      </c>
      <c r="AP24" s="40"/>
      <c r="AQ24" s="41">
        <f>+[1]NOTICIAS!AG24</f>
        <v>44.511215637342872</v>
      </c>
      <c r="AR24" s="42">
        <f>+[1]NOTICIAS!AH24</f>
        <v>46.88455171822568</v>
      </c>
      <c r="AS24" s="43">
        <f t="shared" si="6"/>
        <v>-5.0620854714500947</v>
      </c>
    </row>
    <row r="25" spans="4:45" ht="15" customHeight="1">
      <c r="D25" s="28" t="str">
        <f>+IF($B$3="esp","Margen EBITDA ","EBITDA Margin")</f>
        <v>EBITDA Margin</v>
      </c>
      <c r="E25" s="29"/>
      <c r="F25" s="36">
        <f>+F20/F10</f>
        <v>9.1152758733260494E-2</v>
      </c>
      <c r="G25" s="37">
        <f>+G20/G10</f>
        <v>0.14320609763411185</v>
      </c>
      <c r="H25" s="38"/>
      <c r="I25" s="29"/>
      <c r="J25" s="36">
        <f>+J20/J10</f>
        <v>0.19695290057788561</v>
      </c>
      <c r="K25" s="37">
        <f>+K20/K10</f>
        <v>0.29716019246714398</v>
      </c>
      <c r="L25" s="38"/>
      <c r="O25" s="28" t="str">
        <f>+IF($B$3="esp","Margen EBITDA","EBITDA Margin")</f>
        <v>EBITDA Margin</v>
      </c>
      <c r="P25" s="29"/>
      <c r="Q25" s="36">
        <f>+Q20/Q10</f>
        <v>0.21055567547848758</v>
      </c>
      <c r="R25" s="37">
        <f>+R20/R10</f>
        <v>0.24596862716381204</v>
      </c>
      <c r="S25" s="38"/>
      <c r="T25" s="29"/>
      <c r="U25" s="36">
        <f>+U20/U10</f>
        <v>0.27143656927600313</v>
      </c>
      <c r="V25" s="37">
        <f>+V20/V10</f>
        <v>0.34213929547116578</v>
      </c>
      <c r="W25" s="38"/>
      <c r="Z25" s="22" t="str">
        <f>+IF($B$3="esp","Latam","Latam")</f>
        <v>Latam</v>
      </c>
      <c r="AB25" s="23">
        <f>+[1]RADIO!AC28</f>
        <v>-24.003597624203927</v>
      </c>
      <c r="AC25" s="24">
        <f>+[1]RADIO!AD28</f>
        <v>14.182250470825108</v>
      </c>
      <c r="AD25" s="25" t="str">
        <f>IF(AC25=0,"---",IF(OR(ABS((AB25-AC25)/ABS(AC25))&gt;2,(AB25*AC25)&lt;0),"---",IF(AC25="0","---",((AB25-AC25)/ABS(AC25))*100)))</f>
        <v>---</v>
      </c>
      <c r="AF25" s="23">
        <f>+[1]RADIO!AG28</f>
        <v>1.7065713869912749</v>
      </c>
      <c r="AG25" s="24">
        <f>+[1]RADIO!AH28</f>
        <v>2.2516512632098085</v>
      </c>
      <c r="AH25" s="25">
        <f>IF(AG25=0,"---",IF(OR(ABS((AF25-AG25)/ABS(AG25))&gt;2,(AF25*AG25)&lt;0),"---",IF(AG25="0","---",((AF25-AG25)/ABS(AG25))*100)))</f>
        <v>-24.208006147519619</v>
      </c>
      <c r="AK25" s="26" t="str">
        <f>+IF($B$3="esp","Gastos de Explotación Contables PRENSA","PRESS Reported Expenses")</f>
        <v>PRESS Reported Expenses</v>
      </c>
      <c r="AL25" s="14"/>
      <c r="AM25" s="15">
        <f>+[1]NOTICIAS!AC25</f>
        <v>157.78850315239359</v>
      </c>
      <c r="AN25" s="16">
        <f>+[1]NOTICIAS!AD25</f>
        <v>180.04293549675091</v>
      </c>
      <c r="AO25" s="17">
        <f t="shared" si="5"/>
        <v>-12.360625138084872</v>
      </c>
      <c r="AP25" s="14"/>
      <c r="AQ25" s="15">
        <f>+[1]NOTICIAS!AG25</f>
        <v>40.58914138530028</v>
      </c>
      <c r="AR25" s="16">
        <f>+[1]NOTICIAS!AH25</f>
        <v>45.495006490432871</v>
      </c>
      <c r="AS25" s="17">
        <f t="shared" si="6"/>
        <v>-10.783304550498842</v>
      </c>
    </row>
    <row r="26" spans="4:45" s="29" customFormat="1" ht="15" customHeight="1" thickBot="1">
      <c r="D26" s="14" t="str">
        <f>+IF($B$3="esp","EBIT Contable","Reported EBIT")</f>
        <v>Reported EBIT</v>
      </c>
      <c r="E26" s="14"/>
      <c r="F26" s="15">
        <f>+[1]GRUPO!AC26</f>
        <v>-29.108441231509378</v>
      </c>
      <c r="G26" s="16">
        <f>+[1]GRUPO!AD26</f>
        <v>53.429745350412446</v>
      </c>
      <c r="H26" s="17" t="str">
        <f>IF(G26=0,"---",IF(OR(ABS((F26-G26)/ABS(G26))&gt;2,(F26*G26)&lt;0),"---",IF(G26="0","---",((F26-G26)/ABS(G26))*100)))</f>
        <v>---</v>
      </c>
      <c r="I26" s="14"/>
      <c r="J26" s="15">
        <f>+[1]GRUPO!AG26</f>
        <v>21.214277563099987</v>
      </c>
      <c r="K26" s="16">
        <f>+[1]GRUPO!AH26</f>
        <v>64.711147706025969</v>
      </c>
      <c r="L26" s="17">
        <f>IF(K26=0,"---",IF(OR(ABS((J26-K26)/ABS(K26))&gt;2,(J26*K26)&lt;0),"---",IF(K26="0","---",((J26-K26)/ABS(K26))*100)))</f>
        <v>-67.216965986334245</v>
      </c>
      <c r="O26" s="14" t="str">
        <f>+IF($B$3="esp","EBIT","EBIT")</f>
        <v>EBIT</v>
      </c>
      <c r="P26" s="14"/>
      <c r="Q26" s="15">
        <f>+[1]SANTILLANA!AC29</f>
        <v>34.140777915053164</v>
      </c>
      <c r="R26" s="16">
        <f>+[1]SANTILLANA!AD29</f>
        <v>70.765796266211424</v>
      </c>
      <c r="S26" s="17">
        <f>IF(R26=0,"---",IF(OR(ABS((Q26-R26)/ABS(R26))&gt;2,(Q26*R26)&lt;0),"---",IF(R26="0","---",((Q26-R26)/ABS(R26))*100)))</f>
        <v>-51.755255057655056</v>
      </c>
      <c r="T26" s="14"/>
      <c r="U26" s="15">
        <f>+[1]SANTILLANA!AG29</f>
        <v>13.321916347710953</v>
      </c>
      <c r="V26" s="16">
        <f>+[1]SANTILLANA!AH29</f>
        <v>45.252562350910821</v>
      </c>
      <c r="W26" s="17">
        <f>IF(V26=0,"---",IF(OR(ABS((U26-V26)/ABS(V26))&gt;2,(U26*V26)&lt;0),"---",IF(V26="0","---",((U26-V26)/ABS(V26))*100)))</f>
        <v>-70.560967919548503</v>
      </c>
      <c r="Z26" s="22" t="str">
        <f>+IF($B$3="esp","Ajustes y Otros","Adjustments &amp; others")</f>
        <v>Adjustments &amp; others</v>
      </c>
      <c r="AB26" s="23">
        <f>+AB23-AB24-AB25</f>
        <v>-3.2385672299998021</v>
      </c>
      <c r="AC26" s="24">
        <f>+AC23-AC24-AC25</f>
        <v>-0.23888037999980405</v>
      </c>
      <c r="AD26" s="25" t="str">
        <f>IF(AC26=0,"---",IF(OR(ABS((AB26-AC26)/ABS(AC26))&gt;2,(AB26*AC26)&lt;0),"---",IF(AC26="0","---",((AB26-AC26)/ABS(AC26))*100)))</f>
        <v>---</v>
      </c>
      <c r="AF26" s="23">
        <f>+AF23-AF24-AF25</f>
        <v>-2.0179659999716826E-2</v>
      </c>
      <c r="AG26" s="24">
        <f>+AG23-AG24-AG25</f>
        <v>-0.10553725000000469</v>
      </c>
      <c r="AH26" s="25">
        <f>IF(AG26=0,"---",IF(OR(ABS((AF26-AG26)/ABS(AG26))&gt;2,(AF26*AG26)&lt;0),"---",IF(AG26="0","---",((AF26-AG26)/ABS(AG26))*100)))</f>
        <v>80.879111404062613</v>
      </c>
      <c r="AI26" s="1"/>
      <c r="AK26" s="44" t="str">
        <f>+IF($B$3="esp","Gastos de Explotación Contables PBS y Tecnología (incluye elim.)","PBS &amp; IT Reported Expenses (includes interco.adj.)")</f>
        <v>PBS &amp; IT Reported Expenses (includes interco.adj.)</v>
      </c>
      <c r="AL26" s="14"/>
      <c r="AM26" s="15">
        <f>+[1]NOTICIAS!AC26</f>
        <v>17.161257375086478</v>
      </c>
      <c r="AN26" s="16">
        <f>+[1]NOTICIAS!AD26</f>
        <v>18.651525564790887</v>
      </c>
      <c r="AO26" s="17">
        <f t="shared" si="5"/>
        <v>-7.9900605691881763</v>
      </c>
      <c r="AP26" s="14"/>
      <c r="AQ26" s="15">
        <f>+[1]NOTICIAS!AG26</f>
        <v>3.9220742520425915</v>
      </c>
      <c r="AR26" s="16">
        <f>+[1]NOTICIAS!AH26</f>
        <v>1.3895452277928086</v>
      </c>
      <c r="AS26" s="17">
        <f t="shared" si="6"/>
        <v>182.25596213752041</v>
      </c>
    </row>
    <row r="27" spans="4:45" ht="13.8" thickTop="1">
      <c r="D27" s="22" t="str">
        <f>+IF($B$3="esp","España","Spain")</f>
        <v>Spain</v>
      </c>
      <c r="F27" s="23">
        <f>+[1]GRUPO!AC27</f>
        <v>-57.313833279853299</v>
      </c>
      <c r="G27" s="24">
        <f>+[1]GRUPO!AD27</f>
        <v>-58.808797269958305</v>
      </c>
      <c r="H27" s="25">
        <f>IF(G27=0,"---",IF(OR(ABS((F27-G27)/ABS(G27))&gt;2,(F27*G27)&lt;0),"---",IF(G27="0","---",((F27-G27)/ABS(G27))*100)))</f>
        <v>2.5420754368474201</v>
      </c>
      <c r="J27" s="23">
        <f>+[1]GRUPO!AG27</f>
        <v>2.7185170859775027</v>
      </c>
      <c r="K27" s="24">
        <f>+[1]GRUPO!AH27</f>
        <v>5.7272057624691541</v>
      </c>
      <c r="L27" s="25">
        <f>IF(K27=0,"---",IF(OR(ABS((J27-K27)/ABS(K27))&gt;2,(J27*K27)&lt;0),"---",IF(K27="0","---",((J27-K27)/ABS(K27))*100)))</f>
        <v>-52.533273663883939</v>
      </c>
      <c r="O27" s="22" t="str">
        <f>+IF($B$3="esp","Negocio Internacional","International business")</f>
        <v>International business</v>
      </c>
      <c r="Q27" s="23">
        <f>+[1]SANTILLANA!AC31</f>
        <v>57.319149957198093</v>
      </c>
      <c r="R27" s="24">
        <f>+[1]SANTILLANA!AD31</f>
        <v>99.212137891014038</v>
      </c>
      <c r="S27" s="25">
        <f>IF(R27=0,"---",IF(OR(ABS((Q27-R27)/ABS(R27))&gt;2,(Q27*R27)&lt;0),"---",IF(R27="0","---",((Q27-R27)/ABS(R27))*100)))</f>
        <v>-42.225667972033818</v>
      </c>
      <c r="U27" s="23">
        <f>+[1]SANTILLANA!AG31</f>
        <v>16.466434534024742</v>
      </c>
      <c r="V27" s="24">
        <f>+[1]SANTILLANA!AH31</f>
        <v>53.762752743285546</v>
      </c>
      <c r="W27" s="25">
        <f>IF(V27=0,"---",IF(OR(ABS((U27-V27)/ABS(V27))&gt;2,(U27*V27)&lt;0),"---",IF(V27="0","---",((U27-V27)/ABS(V27))*100)))</f>
        <v>-69.372039760219977</v>
      </c>
      <c r="Z27" s="28" t="str">
        <f>+IF($B$3="esp","Margen EBIT","EBIT Margin")</f>
        <v>EBIT Margin</v>
      </c>
      <c r="AB27" s="36">
        <f>+AB23/AB10</f>
        <v>-0.17458261127853428</v>
      </c>
      <c r="AC27" s="37">
        <f>+AC23/AC10</f>
        <v>0.15783800929505004</v>
      </c>
      <c r="AD27" s="38"/>
      <c r="AF27" s="36">
        <f>+AF23/AF10</f>
        <v>0.10479158846239929</v>
      </c>
      <c r="AG27" s="37">
        <f>+AG23/AG10</f>
        <v>0.19179693657472416</v>
      </c>
      <c r="AH27" s="38"/>
      <c r="AK27" s="18" t="str">
        <f>+IF($B$3="esp","EBITDA Contable Noticias Gestión","Total Press Reported EBITDA")</f>
        <v>Total Press Reported EBITDA</v>
      </c>
      <c r="AL27" s="40"/>
      <c r="AM27" s="41">
        <f>+[1]NOTICIAS!AC27</f>
        <v>-10.248552708930587</v>
      </c>
      <c r="AN27" s="42">
        <f>+[1]NOTICIAS!AD27</f>
        <v>12.132668448431991</v>
      </c>
      <c r="AO27" s="43" t="str">
        <f t="shared" si="5"/>
        <v>---</v>
      </c>
      <c r="AP27" s="40"/>
      <c r="AQ27" s="41">
        <f>+[1]NOTICIAS!AG27</f>
        <v>6.7326986659676127</v>
      </c>
      <c r="AR27" s="42">
        <f>+[1]NOTICIAS!AH27</f>
        <v>11.008328606478141</v>
      </c>
      <c r="AS27" s="43">
        <f t="shared" si="6"/>
        <v>-38.839955576856795</v>
      </c>
    </row>
    <row r="28" spans="4:45">
      <c r="D28" s="22" t="str">
        <f>+IF($B$3="esp","Internacional","International")</f>
        <v>International</v>
      </c>
      <c r="F28" s="23">
        <f>+[1]GRUPO!AC28</f>
        <v>28.205392048343921</v>
      </c>
      <c r="G28" s="24">
        <f>+[1]GRUPO!AD28</f>
        <v>112.23854262037075</v>
      </c>
      <c r="H28" s="25">
        <f>IF(G28=0,"---",IF(OR(ABS((F28-G28)/ABS(G28))&gt;2,(F28*G28)&lt;0),"---",IF(G28="0","---",((F28-G28)/ABS(G28))*100)))</f>
        <v>-74.870136951310712</v>
      </c>
      <c r="J28" s="23">
        <f>+[1]GRUPO!AG28</f>
        <v>18.495760477122481</v>
      </c>
      <c r="K28" s="24">
        <f>+[1]GRUPO!AH28</f>
        <v>58.983941943556822</v>
      </c>
      <c r="L28" s="25">
        <f>IF(K28=0,"---",IF(OR(ABS((J28-K28)/ABS(K28))&gt;2,(J28*K28)&lt;0),"---",IF(K28="0","---",((J28-K28)/ABS(K28))*100)))</f>
        <v>-68.642718903355899</v>
      </c>
      <c r="O28" s="27" t="str">
        <f>+IF($B$3="esp","Latam","Latam")</f>
        <v>Latam</v>
      </c>
      <c r="Q28" s="23">
        <f>+[1]SANTILLANA!AC32</f>
        <v>54.804091957198096</v>
      </c>
      <c r="R28" s="24">
        <f>+[1]SANTILLANA!AD32</f>
        <v>96.839841891014032</v>
      </c>
      <c r="S28" s="25">
        <f>IF(R28=0,"---",IF(OR(ABS((Q28-R28)/ABS(R28))&gt;2,(Q28*R28)&lt;0),"---",IF(R28="0","---",((Q28-R28)/ABS(R28))*100)))</f>
        <v>-43.407495420246569</v>
      </c>
      <c r="U28" s="23">
        <f>+[1]SANTILLANA!AG32</f>
        <v>16.50407553402475</v>
      </c>
      <c r="V28" s="24">
        <f>+[1]SANTILLANA!AH32</f>
        <v>53.725985743285541</v>
      </c>
      <c r="W28" s="25">
        <f>IF(V28=0,"---",IF(OR(ABS((U28-V28)/ABS(V28))&gt;2,(U28*V28)&lt;0),"---",IF(V28="0","---",((U28-V28)/ABS(V28))*100)))</f>
        <v>-69.281018662207856</v>
      </c>
      <c r="AI28" s="29"/>
      <c r="AK28" s="26" t="str">
        <f>+IF($B$3="esp","EBITDA Contable PRENSA","PRESS Reported EBITDA")</f>
        <v>PRESS Reported EBITDA</v>
      </c>
      <c r="AL28" s="14"/>
      <c r="AM28" s="15">
        <f>+[1]NOTICIAS!AC28</f>
        <v>-10.375884780380385</v>
      </c>
      <c r="AN28" s="16">
        <f>+[1]NOTICIAS!AD28</f>
        <v>12.718422289970082</v>
      </c>
      <c r="AO28" s="17" t="str">
        <f t="shared" si="5"/>
        <v>---</v>
      </c>
      <c r="AP28" s="14"/>
      <c r="AQ28" s="15">
        <f>+[1]NOTICIAS!AG28</f>
        <v>6.5325731773009146</v>
      </c>
      <c r="AR28" s="16">
        <f>+[1]NOTICIAS!AH28</f>
        <v>10.880138481395143</v>
      </c>
      <c r="AS28" s="17">
        <f t="shared" si="6"/>
        <v>-39.95873132983089</v>
      </c>
    </row>
    <row r="29" spans="4:45" ht="15.75" customHeight="1">
      <c r="D29" s="27" t="str">
        <f>+IF($B$3="esp","Latam","Latam")</f>
        <v>Latam</v>
      </c>
      <c r="F29" s="23">
        <f>+[1]GRUPO!AC29</f>
        <v>25.746481288343922</v>
      </c>
      <c r="G29" s="24">
        <f>+[1]GRUPO!AD29</f>
        <v>110.05489962037075</v>
      </c>
      <c r="H29" s="25">
        <f>IF(G29=0,"---",IF(OR(ABS((F29-G29)/ABS(G29))&gt;2,(F29*G29)&lt;0),"---",IF(G29="0","---",((F29-G29)/ABS(G29))*100)))</f>
        <v>-76.605783679640609</v>
      </c>
      <c r="J29" s="23">
        <f>+[1]GRUPO!AG29</f>
        <v>18.494300427122496</v>
      </c>
      <c r="K29" s="24">
        <f>+[1]GRUPO!AH29</f>
        <v>59.135827943556826</v>
      </c>
      <c r="L29" s="25">
        <f>IF(K29=0,"---",IF(OR(ABS((J29-K29)/ABS(K29))&gt;2,(J29*K29)&lt;0),"---",IF(K29="0","---",((J29-K29)/ABS(K29))*100)))</f>
        <v>-68.725726737478524</v>
      </c>
      <c r="O29" s="27" t="str">
        <f>+IF($B$3="esp","Portugal","Portugal")</f>
        <v>Portugal</v>
      </c>
      <c r="Q29" s="23">
        <f>+[1]SANTILLANA!AC33</f>
        <v>2.5150579999999985</v>
      </c>
      <c r="R29" s="24">
        <f>+[1]SANTILLANA!AD33</f>
        <v>2.3722959999999991</v>
      </c>
      <c r="S29" s="25">
        <f>IF(R29=0,"---",IF(OR(ABS((Q29-R29)/ABS(R29))&gt;2,(Q29*R29)&lt;0),"---",IF(R29="0","---",((Q29-R29)/ABS(R29))*100)))</f>
        <v>6.0178830972188733</v>
      </c>
      <c r="U29" s="23">
        <f>+[1]SANTILLANA!AG33</f>
        <v>-3.7641000000002034E-2</v>
      </c>
      <c r="V29" s="24">
        <f>+[1]SANTILLANA!AH33</f>
        <v>3.676699999999844E-2</v>
      </c>
      <c r="W29" s="25" t="str">
        <f>IF(V29=0,"---",IF(OR(ABS((U29-V29)/ABS(V29))&gt;2,(U29*V29)&lt;0),"---",IF(V29="0","---",((U29-V29)/ABS(V29))*100)))</f>
        <v>---</v>
      </c>
      <c r="AI29" s="14"/>
      <c r="AK29" s="28" t="str">
        <f>+IF($B$3="esp","Margen EBITDA ","EBITDA Margin")</f>
        <v>EBITDA Margin</v>
      </c>
      <c r="AL29" s="29"/>
      <c r="AM29" s="36">
        <f>+AM28/AM11</f>
        <v>-7.0386679885134459E-2</v>
      </c>
      <c r="AN29" s="37">
        <f>+AN28/AN11</f>
        <v>6.5980144755165407E-2</v>
      </c>
      <c r="AO29" s="38"/>
      <c r="AP29" s="29"/>
      <c r="AQ29" s="36">
        <f>+AQ28/AQ11</f>
        <v>0.13863190755978094</v>
      </c>
      <c r="AR29" s="37">
        <f>+AR28/AR11</f>
        <v>0.19299530824855893</v>
      </c>
      <c r="AS29" s="38"/>
    </row>
    <row r="30" spans="4:45" s="14" customFormat="1" ht="15" customHeight="1" thickBot="1">
      <c r="D30" s="27" t="str">
        <f>+IF($B$3="esp","Portugal","Portugal")</f>
        <v>Portugal</v>
      </c>
      <c r="E30" s="1"/>
      <c r="F30" s="23">
        <f>+[1]GRUPO!AC30</f>
        <v>2.4589107600000002</v>
      </c>
      <c r="G30" s="24">
        <f>+[1]GRUPO!AD30</f>
        <v>2.1836429999999991</v>
      </c>
      <c r="H30" s="25">
        <f>IF(G30=0,"---",IF(OR(ABS((F30-G30)/ABS(G30))&gt;2,(F30*G30)&lt;0),"---",IF(G30="0","---",((F30-G30)/ABS(G30))*100)))</f>
        <v>12.60589574394721</v>
      </c>
      <c r="I30" s="1"/>
      <c r="J30" s="23">
        <f>+[1]GRUPO!AG30</f>
        <v>1.460049999990165E-3</v>
      </c>
      <c r="K30" s="24">
        <f>+[1]GRUPO!AH30</f>
        <v>-0.15188600000000108</v>
      </c>
      <c r="L30" s="25" t="str">
        <f>IF(K30=0,"---",IF(OR(ABS((J30-K30)/ABS(K30))&gt;2,(J30*K30)&lt;0),"---",IF(K30="0","---",((J30-K30)/ABS(K30))*100)))</f>
        <v>---</v>
      </c>
      <c r="O30" s="22" t="str">
        <f>+IF($B$3="esp","Tecnología Educativa global y Centro Corpor.","Global Educational IT &amp; HQ")</f>
        <v>Global Educational IT &amp; HQ</v>
      </c>
      <c r="P30" s="1"/>
      <c r="Q30" s="23">
        <f>+[1]SANTILLANA!AC34</f>
        <v>-23.178372042144925</v>
      </c>
      <c r="R30" s="24">
        <f>+[1]SANTILLANA!AD34</f>
        <v>-28.446341624802606</v>
      </c>
      <c r="S30" s="25">
        <f>IF(R30=0,"---",IF(OR(ABS((Q30-R30)/ABS(R30))&gt;2,(Q30*R30)&lt;0),"---",IF(R30="0","---",((Q30-R30)/ABS(R30))*100)))</f>
        <v>18.518970390429725</v>
      </c>
      <c r="T30" s="1"/>
      <c r="U30" s="23">
        <f>+[1]SANTILLANA!AG34</f>
        <v>-3.1445181863137854</v>
      </c>
      <c r="V30" s="24">
        <f>+[1]SANTILLANA!AH34</f>
        <v>-8.5101903923747209</v>
      </c>
      <c r="W30" s="25">
        <f>IF(V30=0,"---",IF(OR(ABS((U30-V30)/ABS(V30))&gt;2,(U30*V30)&lt;0),"---",IF(V30="0","---",((U30-V30)/ABS(V30))*100)))</f>
        <v>63.049966671352863</v>
      </c>
      <c r="AI30" s="1"/>
      <c r="AK30" s="44" t="str">
        <f>+IF($B$3="esp","PBS y Prisa Tecnología","PBS &amp; IT")</f>
        <v>PBS &amp; IT</v>
      </c>
      <c r="AM30" s="15">
        <f>+[1]NOTICIAS!AC30</f>
        <v>0.12733207144979808</v>
      </c>
      <c r="AN30" s="16">
        <f>+[1]NOTICIAS!AD30</f>
        <v>-0.58575384153809118</v>
      </c>
      <c r="AO30" s="17" t="str">
        <f>IF(AN30=0,"---",IF(OR(ABS((AM30-AN30)/ABS(AN30))&gt;2,(AM30*AN30)&lt;0),"---",IF(AN30="0","---",((AM30-AN30)/ABS(AN30))*100)))</f>
        <v>---</v>
      </c>
      <c r="AQ30" s="15">
        <f>+[1]NOTICIAS!AG30</f>
        <v>0.2001254886666981</v>
      </c>
      <c r="AR30" s="16">
        <f>+[1]NOTICIAS!AH30</f>
        <v>0.12819012508299887</v>
      </c>
      <c r="AS30" s="17">
        <f>IF(AR30=0,"---",IF(OR(ABS((AQ30-AR30)/ABS(AR30))&gt;2,(AQ30*AR30)&lt;0),"---",IF(AR30="0","---",((AQ30-AR30)/ABS(AR30))*100)))</f>
        <v>56.11615055147459</v>
      </c>
    </row>
    <row r="31" spans="4:45" ht="15" customHeight="1" thickTop="1">
      <c r="D31" s="28" t="str">
        <f>+IF($B$3="esp","Margen EBIT ","EBIT Margin")</f>
        <v>EBIT Margin</v>
      </c>
      <c r="E31" s="29"/>
      <c r="F31" s="36">
        <f>+F26/F10</f>
        <v>-4.1545466523198023E-2</v>
      </c>
      <c r="G31" s="37">
        <f>+G26/G10</f>
        <v>5.5374187937381927E-2</v>
      </c>
      <c r="H31" s="38"/>
      <c r="I31" s="29"/>
      <c r="J31" s="36">
        <f>+J26/J10</f>
        <v>0.10297029519124268</v>
      </c>
      <c r="K31" s="37">
        <f>+K26/K10</f>
        <v>0.20495936450016813</v>
      </c>
      <c r="L31" s="38"/>
      <c r="O31" s="45" t="str">
        <f>+IF($B$3="esp","Margen EBIT","EBIT Margin")</f>
        <v>EBIT Margin</v>
      </c>
      <c r="P31" s="29"/>
      <c r="Q31" s="46">
        <f>+Q26/Q10</f>
        <v>9.3324476565855144E-2</v>
      </c>
      <c r="R31" s="47">
        <f>+R26/R10</f>
        <v>0.14238509543129205</v>
      </c>
      <c r="S31" s="48"/>
      <c r="T31" s="29"/>
      <c r="U31" s="46">
        <f>+U26/U10</f>
        <v>0.14030216556055075</v>
      </c>
      <c r="V31" s="47">
        <f>+V26/V10</f>
        <v>0.24618321881044303</v>
      </c>
      <c r="W31" s="48"/>
      <c r="AK31" s="18" t="str">
        <f>+IF($B$3="esp","EBIT Contable Noticias Gestión","Total Press Reported EBIT")</f>
        <v>Total Press Reported EBIT</v>
      </c>
      <c r="AL31" s="40"/>
      <c r="AM31" s="41">
        <f>+[1]NOTICIAS!AC31</f>
        <v>-21.579544912359061</v>
      </c>
      <c r="AN31" s="42">
        <f>+[1]NOTICIAS!AD31</f>
        <v>0.4491491060761359</v>
      </c>
      <c r="AO31" s="43" t="str">
        <f>IF(AN31=0,"---",IF(OR(ABS((AM31-AN31)/ABS(AN31))&gt;2,(AM31*AN31)&lt;0),"---",IF(AN31="0","---",((AM31-AN31)/ABS(AN31))*100)))</f>
        <v>---</v>
      </c>
      <c r="AP31" s="40"/>
      <c r="AQ31" s="41">
        <f>+[1]NOTICIAS!AG31</f>
        <v>4.4609603083975742</v>
      </c>
      <c r="AR31" s="42">
        <f>+[1]NOTICIAS!AH31</f>
        <v>6.6380395998658255</v>
      </c>
      <c r="AS31" s="43">
        <f>IF(AR31=0,"---",IF(OR(ABS((AQ31-AR31)/ABS(AR31))&gt;2,(AQ31*AR31)&lt;0),"---",IF(AR31="0","---",((AQ31-AR31)/ABS(AR31))*100)))</f>
        <v>-32.797021751907849</v>
      </c>
    </row>
    <row r="32" spans="4:45" ht="15" customHeight="1">
      <c r="D32" s="14" t="str">
        <f>+IF($B$3="esp","Resultado Financiero","Financial Result")</f>
        <v>Financial Result</v>
      </c>
      <c r="E32" s="14"/>
      <c r="F32" s="15">
        <f>+[1]GRUPO!AC32</f>
        <v>-128.82518263950081</v>
      </c>
      <c r="G32" s="16">
        <f>+[1]GRUPO!AD32</f>
        <v>-81.641369513445611</v>
      </c>
      <c r="H32" s="17">
        <f t="shared" ref="H32:H46" si="10">IF(G32=0,"---",IF(OR(ABS((F32-G32)/ABS(G32))&gt;2,(F32*G32)&lt;0),"---",IF(G32="0","---",((F32-G32)/ABS(G32))*100)))</f>
        <v>-57.79400003607784</v>
      </c>
      <c r="I32" s="14"/>
      <c r="J32" s="15">
        <f>+[1]GRUPO!AG32</f>
        <v>-69.034446005383842</v>
      </c>
      <c r="K32" s="16">
        <f>+[1]GRUPO!AH32</f>
        <v>-21.60800433212637</v>
      </c>
      <c r="L32" s="17" t="str">
        <f t="shared" ref="L32:L40" si="11">IF(K32=0,"---",IF(OR(ABS((J32-K32)/ABS(K32))&gt;2,(J32*K32)&lt;0),"---",IF(K32="0","---",((J32-K32)/ABS(K32))*100)))</f>
        <v>---</v>
      </c>
      <c r="AK32" s="26" t="str">
        <f>+IF($B$3="esp","EBIT Contable PRENSA","PRESS Reported EBIT")</f>
        <v>PRESS Reported EBIT</v>
      </c>
      <c r="AL32" s="14"/>
      <c r="AM32" s="15">
        <f>+[1]NOTICIAS!AC32</f>
        <v>-19.85165801205617</v>
      </c>
      <c r="AN32" s="16">
        <f>+[1]NOTICIAS!AD32</f>
        <v>2.9687517806443644</v>
      </c>
      <c r="AO32" s="17" t="str">
        <f>IF(AN32=0,"---",IF(OR(ABS((AM32-AN32)/ABS(AN32))&gt;2,(AM32*AN32)&lt;0),"---",IF(AN32="0","---",((AM32-AN32)/ABS(AN32))*100)))</f>
        <v>---</v>
      </c>
      <c r="AP32" s="14"/>
      <c r="AQ32" s="15">
        <f>+[1]NOTICIAS!AG32</f>
        <v>4.6900021812171282</v>
      </c>
      <c r="AR32" s="16">
        <f>+[1]NOTICIAS!AH32</f>
        <v>7.0201389834447143</v>
      </c>
      <c r="AS32" s="17">
        <f>IF(AR32=0,"---",IF(OR(ABS((AQ32-AR32)/ABS(AR32))&gt;2,(AQ32*AR32)&lt;0),"---",IF(AR32="0","---",((AQ32-AR32)/ABS(AR32))*100)))</f>
        <v>-33.192174794867249</v>
      </c>
    </row>
    <row r="33" spans="4:45" ht="15" customHeight="1">
      <c r="D33" s="22" t="str">
        <f>+IF($B$3="esp","Gastos por intereses de financiación","Interests on debt")</f>
        <v>Interests on debt</v>
      </c>
      <c r="F33" s="23">
        <f>+[1]GRUPO!AC33</f>
        <v>-71.111813409595683</v>
      </c>
      <c r="G33" s="24">
        <f>+[1]GRUPO!AD33</f>
        <v>-57.244750941651596</v>
      </c>
      <c r="H33" s="25">
        <f t="shared" si="10"/>
        <v>-24.224164206913052</v>
      </c>
      <c r="J33" s="23">
        <f>+[1]GRUPO!AG33</f>
        <v>-18.223145842594491</v>
      </c>
      <c r="K33" s="24">
        <f>+[1]GRUPO!AH33</f>
        <v>-13.0864058223044</v>
      </c>
      <c r="L33" s="25">
        <f t="shared" si="11"/>
        <v>-39.252489109997327</v>
      </c>
      <c r="Z33" s="9"/>
      <c r="AB33" s="49"/>
      <c r="AC33" s="49"/>
      <c r="AD33" s="49"/>
      <c r="AF33" s="49"/>
      <c r="AG33" s="49"/>
      <c r="AH33" s="49"/>
      <c r="AI33" s="14"/>
      <c r="AK33" s="28" t="str">
        <f>+IF($B$3="esp","Margen EBIT ","EBIT Margin")</f>
        <v>EBIT Margin</v>
      </c>
      <c r="AL33" s="29"/>
      <c r="AM33" s="36">
        <f>+AM32/AM11</f>
        <v>-0.13466729124882754</v>
      </c>
      <c r="AN33" s="37">
        <f>+AN32/AN11</f>
        <v>1.5401176951290788E-2</v>
      </c>
      <c r="AO33" s="38"/>
      <c r="AP33" s="29"/>
      <c r="AQ33" s="36">
        <f>+AQ32/AQ11</f>
        <v>9.9529531655442177E-2</v>
      </c>
      <c r="AR33" s="37">
        <f>+AR32/AR11</f>
        <v>0.12452542670981766</v>
      </c>
      <c r="AS33" s="38"/>
    </row>
    <row r="34" spans="4:45" ht="15" customHeight="1">
      <c r="D34" s="22" t="str">
        <f>+IF($B$3="esp","Otros resultados financieros","Other financial results")</f>
        <v>Other financial results</v>
      </c>
      <c r="F34" s="23">
        <f>+[1]GRUPO!AC34</f>
        <v>-57.713369229905126</v>
      </c>
      <c r="G34" s="24">
        <f>+[1]GRUPO!AD34</f>
        <v>-24.396618571794015</v>
      </c>
      <c r="H34" s="25">
        <f t="shared" si="10"/>
        <v>-136.5629853992555</v>
      </c>
      <c r="J34" s="23">
        <f>+[1]GRUPO!AG34</f>
        <v>-50.811300162789344</v>
      </c>
      <c r="K34" s="24">
        <f>+[1]GRUPO!AH34</f>
        <v>-8.5215985098219704</v>
      </c>
      <c r="L34" s="25" t="str">
        <f t="shared" si="11"/>
        <v>---</v>
      </c>
      <c r="Z34" s="50"/>
      <c r="AK34" s="26" t="str">
        <f>+IF($B$3="esp","PBS y Prisa Tecnología","PBS &amp; IT")</f>
        <v>PBS &amp; IT</v>
      </c>
      <c r="AL34" s="14"/>
      <c r="AM34" s="15">
        <f>+[1]NOTICIAS!AC34</f>
        <v>-1.7278869003028916</v>
      </c>
      <c r="AN34" s="16">
        <f>+[1]NOTICIAS!AD34</f>
        <v>-2.5196026745682287</v>
      </c>
      <c r="AO34" s="17">
        <f>IF(AN34=0,"---",IF(OR(ABS((AM34-AN34)/ABS(AN34))&gt;2,(AM34*AN34)&lt;0),"---",IF(AN34="0","---",((AM34-AN34)/ABS(AN34))*100)))</f>
        <v>31.422246938240345</v>
      </c>
      <c r="AP34" s="14"/>
      <c r="AQ34" s="15">
        <f>+[1]NOTICIAS!AG34</f>
        <v>-0.22904187281955402</v>
      </c>
      <c r="AR34" s="16">
        <f>+[1]NOTICIAS!AH34</f>
        <v>-0.38209938357888884</v>
      </c>
      <c r="AS34" s="17">
        <f>IF(AR34=0,"---",IF(OR(ABS((AQ34-AR34)/ABS(AR34))&gt;2,(AQ34*AR34)&lt;0),"---",IF(AR34="0","---",((AQ34-AR34)/ABS(AR34))*100)))</f>
        <v>40.056989709258275</v>
      </c>
    </row>
    <row r="35" spans="4:45" s="14" customFormat="1" ht="15" customHeight="1">
      <c r="D35" s="14" t="str">
        <f>+IF($B$3="esp","Resultado puesta en equivalencia","Result from associates")</f>
        <v>Result from associates</v>
      </c>
      <c r="F35" s="15">
        <f>+[1]GRUPO!AC35</f>
        <v>-8.4580049742505992</v>
      </c>
      <c r="G35" s="16">
        <f>+[1]GRUPO!AD35</f>
        <v>2.6765224704574999</v>
      </c>
      <c r="H35" s="17" t="str">
        <f t="shared" si="10"/>
        <v>---</v>
      </c>
      <c r="J35" s="15">
        <f>+[1]GRUPO!AG35</f>
        <v>-1.6372269799440833</v>
      </c>
      <c r="K35" s="16">
        <f>+[1]GRUPO!AH35</f>
        <v>1.538641069109731</v>
      </c>
      <c r="L35" s="17" t="str">
        <f t="shared" si="11"/>
        <v>---</v>
      </c>
      <c r="AB35" s="16"/>
      <c r="AC35" s="16"/>
      <c r="AD35" s="17"/>
      <c r="AF35" s="16"/>
      <c r="AG35" s="16"/>
      <c r="AH35" s="17"/>
      <c r="AI35" s="1"/>
    </row>
    <row r="36" spans="4:45" ht="15" customHeight="1">
      <c r="D36" s="14" t="str">
        <f>+IF($B$3="esp","Resultado antes de impuestos","Profit before tax")</f>
        <v>Profit before tax</v>
      </c>
      <c r="E36" s="14"/>
      <c r="F36" s="15">
        <f>+[1]GRUPO!AC36</f>
        <v>-166.39162884526078</v>
      </c>
      <c r="G36" s="16">
        <f>+[1]GRUPO!AD36</f>
        <v>-25.535101692575665</v>
      </c>
      <c r="H36" s="17" t="str">
        <f t="shared" si="10"/>
        <v>---</v>
      </c>
      <c r="I36" s="14"/>
      <c r="J36" s="15">
        <f>+[1]GRUPO!AG36</f>
        <v>-49.457395422227933</v>
      </c>
      <c r="K36" s="16">
        <f>+[1]GRUPO!AH36</f>
        <v>44.641784443009342</v>
      </c>
      <c r="L36" s="17" t="str">
        <f t="shared" si="11"/>
        <v>---</v>
      </c>
      <c r="Z36" s="22"/>
      <c r="AB36" s="24"/>
      <c r="AC36" s="24"/>
      <c r="AD36" s="25"/>
      <c r="AF36" s="24"/>
      <c r="AG36" s="24"/>
      <c r="AH36" s="25"/>
    </row>
    <row r="37" spans="4:45" ht="15" customHeight="1">
      <c r="D37" s="22" t="str">
        <f>+IF($B$3="esp","Impuesto sobre sociedades","Income tax expense")</f>
        <v>Income tax expense</v>
      </c>
      <c r="F37" s="23">
        <f>+[1]GRUPO!AC37</f>
        <v>81.071231880121672</v>
      </c>
      <c r="G37" s="24">
        <f>+[1]GRUPO!AD37</f>
        <v>52.751592445099014</v>
      </c>
      <c r="H37" s="25">
        <f t="shared" si="10"/>
        <v>53.684899587621359</v>
      </c>
      <c r="J37" s="23">
        <f>+[1]GRUPO!AG37</f>
        <v>17.54136084275423</v>
      </c>
      <c r="K37" s="24">
        <f>+[1]GRUPO!AH37</f>
        <v>34.203128690041268</v>
      </c>
      <c r="L37" s="25">
        <f t="shared" si="11"/>
        <v>-48.714162959420584</v>
      </c>
      <c r="Z37" s="22"/>
      <c r="AB37" s="24"/>
      <c r="AC37" s="24"/>
      <c r="AD37" s="25"/>
      <c r="AF37" s="24"/>
      <c r="AG37" s="24"/>
      <c r="AH37" s="25"/>
    </row>
    <row r="38" spans="4:45" ht="15" customHeight="1">
      <c r="D38" s="14" t="str">
        <f>+IF($B$3="esp","Resultado operaciones en discontinuación","Results from discontinued activities")</f>
        <v>Results from discontinued activities</v>
      </c>
      <c r="E38" s="14"/>
      <c r="F38" s="15">
        <f>+[1]GRUPO!AC38</f>
        <v>322.91296857999998</v>
      </c>
      <c r="G38" s="16">
        <f>+[1]GRUPO!AD38</f>
        <v>-94.529584576038019</v>
      </c>
      <c r="H38" s="17" t="str">
        <f t="shared" si="10"/>
        <v>---</v>
      </c>
      <c r="I38" s="14"/>
      <c r="J38" s="15">
        <f>+[1]GRUPO!AG38</f>
        <v>365.97583021964397</v>
      </c>
      <c r="K38" s="16">
        <f>+[1]GRUPO!AH38</f>
        <v>-73.128985685009923</v>
      </c>
      <c r="L38" s="17" t="str">
        <f t="shared" si="11"/>
        <v>---</v>
      </c>
      <c r="Z38" s="22"/>
      <c r="AB38" s="24"/>
      <c r="AC38" s="24"/>
      <c r="AD38" s="25"/>
      <c r="AF38" s="24"/>
      <c r="AG38" s="24"/>
      <c r="AH38" s="25"/>
      <c r="AI38" s="14"/>
    </row>
    <row r="39" spans="4:45" ht="15" customHeight="1">
      <c r="D39" s="14" t="str">
        <f>+IF($B$3="esp","Resultado atribuido a socios externos","Minority interest")</f>
        <v>Minority interest</v>
      </c>
      <c r="E39" s="14"/>
      <c r="F39" s="15">
        <f>+[1]GRUPO!AC39</f>
        <v>-14.287293854334978</v>
      </c>
      <c r="G39" s="16">
        <f>+[1]GRUPO!AD39</f>
        <v>9.4809004251814493</v>
      </c>
      <c r="H39" s="17" t="str">
        <f t="shared" si="10"/>
        <v>---</v>
      </c>
      <c r="I39" s="14"/>
      <c r="J39" s="15">
        <f>+[1]GRUPO!AG39</f>
        <v>-5.9636689574576351E-2</v>
      </c>
      <c r="K39" s="16">
        <f>+[1]GRUPO!AH39</f>
        <v>9.1690103554307978</v>
      </c>
      <c r="L39" s="17" t="str">
        <f t="shared" si="11"/>
        <v>---</v>
      </c>
      <c r="Z39" s="22"/>
      <c r="AB39" s="24"/>
      <c r="AC39" s="24"/>
      <c r="AD39" s="25"/>
      <c r="AF39" s="24"/>
      <c r="AG39" s="24"/>
      <c r="AH39" s="25"/>
      <c r="AI39" s="14"/>
    </row>
    <row r="40" spans="4:45" s="29" customFormat="1" ht="15" customHeight="1">
      <c r="D40" s="14" t="str">
        <f>+IF($B$3="esp","Resultado Neto","Net Profit")</f>
        <v>Net Profit</v>
      </c>
      <c r="E40" s="14"/>
      <c r="F40" s="15">
        <f>+[1]GRUPO!AC40</f>
        <v>89.737401708952504</v>
      </c>
      <c r="G40" s="16">
        <f>+[1]GRUPO!AD40</f>
        <v>-182.29717913889417</v>
      </c>
      <c r="H40" s="17" t="str">
        <f t="shared" si="10"/>
        <v>---</v>
      </c>
      <c r="I40" s="14"/>
      <c r="J40" s="15">
        <f>+[1]GRUPO!AG40</f>
        <v>299.03671064423639</v>
      </c>
      <c r="K40" s="16">
        <f>+[1]GRUPO!AH40</f>
        <v>-71.859340287472648</v>
      </c>
      <c r="L40" s="17" t="str">
        <f t="shared" si="11"/>
        <v>---</v>
      </c>
      <c r="Z40" s="14"/>
      <c r="AA40" s="14"/>
      <c r="AB40" s="16"/>
      <c r="AC40" s="16"/>
      <c r="AD40" s="17"/>
      <c r="AE40" s="14"/>
      <c r="AF40" s="16"/>
      <c r="AG40" s="16"/>
      <c r="AH40" s="17"/>
      <c r="AI40" s="1"/>
    </row>
    <row r="41" spans="4:45" s="14" customFormat="1" ht="15" customHeight="1">
      <c r="D41" s="22" t="str">
        <f>+IF($A$1="esp","Venta Santillana España","Santillana Spain disposal")</f>
        <v>Santillana Spain disposal</v>
      </c>
      <c r="E41" s="1"/>
      <c r="F41" s="23">
        <f>+[1]GRUPO!AC41</f>
        <v>-377.34399999999999</v>
      </c>
      <c r="G41" s="24"/>
      <c r="H41" s="25"/>
      <c r="I41" s="1"/>
      <c r="J41" s="23">
        <f>+[1]GRUPO!AG41</f>
        <v>-377.34399999999999</v>
      </c>
      <c r="K41" s="24"/>
      <c r="L41" s="25"/>
      <c r="AB41" s="16"/>
      <c r="AC41" s="16"/>
      <c r="AD41" s="17"/>
      <c r="AF41" s="16"/>
      <c r="AG41" s="16"/>
      <c r="AH41" s="17"/>
      <c r="AI41" s="1"/>
    </row>
    <row r="42" spans="4:45" s="14" customFormat="1" ht="15" customHeight="1">
      <c r="D42" s="22" t="str">
        <f>+IF($A$1="esp","Deterioro por venta MC","MC impairment")</f>
        <v>MC impairment</v>
      </c>
      <c r="E42" s="1"/>
      <c r="F42" s="23">
        <f>+[1]GRUPO!AC42</f>
        <v>77.290000000000006</v>
      </c>
      <c r="G42" s="24">
        <f>+[1]GRUPO!AD42</f>
        <v>131.56800000000001</v>
      </c>
      <c r="H42" s="25"/>
      <c r="I42" s="1"/>
      <c r="J42" s="23">
        <f>+[1]GRUPO!AG42</f>
        <v>0</v>
      </c>
      <c r="K42" s="24">
        <f>+[1]GRUPO!AH42</f>
        <v>55.189000000000007</v>
      </c>
      <c r="L42" s="25"/>
      <c r="AB42" s="16"/>
      <c r="AC42" s="16"/>
      <c r="AD42" s="17"/>
      <c r="AF42" s="16"/>
      <c r="AG42" s="16"/>
      <c r="AH42" s="17"/>
      <c r="AI42" s="1"/>
    </row>
    <row r="43" spans="4:45" ht="15" customHeight="1">
      <c r="D43" s="22" t="str">
        <f>+IF($A$1="esp","Sentencia Mediapro","Mediapro ruling")</f>
        <v>Mediapro ruling</v>
      </c>
      <c r="F43" s="23"/>
      <c r="G43" s="24">
        <f>+[1]GRUPO!AD43</f>
        <v>52.794625500000002</v>
      </c>
      <c r="H43" s="25"/>
      <c r="J43" s="23"/>
      <c r="K43" s="24">
        <f>+[1]GRUPO!AH43</f>
        <v>11.965965099999998</v>
      </c>
      <c r="L43" s="25"/>
      <c r="Z43" s="22"/>
      <c r="AB43" s="24"/>
      <c r="AC43" s="24"/>
      <c r="AD43" s="25"/>
      <c r="AF43" s="24"/>
      <c r="AG43" s="24"/>
      <c r="AH43" s="25"/>
    </row>
    <row r="44" spans="4:45" ht="15" customHeight="1">
      <c r="D44" s="22" t="str">
        <f>+IF($B$3="esp","Deterioros fiscales","Tax impairments")</f>
        <v>Tax impairments</v>
      </c>
      <c r="F44" s="23">
        <f>+[1]GRUPO!AC44</f>
        <v>62.358979453255635</v>
      </c>
      <c r="G44" s="24">
        <f>+[1]GRUPO!AD44</f>
        <v>21.042099999999998</v>
      </c>
      <c r="H44" s="25"/>
      <c r="J44" s="23">
        <f>+[1]GRUPO!AG44</f>
        <v>-2.1273306783333155</v>
      </c>
      <c r="K44" s="24">
        <f>+[1]GRUPO!AH44</f>
        <v>21.042099999999998</v>
      </c>
      <c r="L44" s="25"/>
      <c r="Z44" s="22"/>
      <c r="AB44" s="24"/>
      <c r="AC44" s="24"/>
      <c r="AD44" s="25"/>
      <c r="AF44" s="24"/>
      <c r="AG44" s="24"/>
      <c r="AH44" s="25"/>
    </row>
    <row r="45" spans="4:45" ht="15" customHeight="1">
      <c r="D45" s="22" t="str">
        <f>+IF($B$3="esp","Deterioros Activos Radio","Radio Assests impairments")</f>
        <v>Radio Assests impairments</v>
      </c>
      <c r="F45" s="23">
        <f>+[1]GRUPO!AC45</f>
        <v>26.026887095914763</v>
      </c>
      <c r="G45" s="24"/>
      <c r="H45" s="25"/>
      <c r="J45" s="23">
        <f>+[1]GRUPO!AG45</f>
        <v>4.1053665724594843</v>
      </c>
      <c r="K45" s="24"/>
      <c r="L45" s="25"/>
      <c r="Z45" s="22"/>
      <c r="AB45" s="24"/>
      <c r="AC45" s="24"/>
      <c r="AD45" s="25"/>
      <c r="AF45" s="24"/>
      <c r="AG45" s="24"/>
      <c r="AH45" s="25"/>
      <c r="AI45" s="29"/>
    </row>
    <row r="46" spans="4:45" ht="15" customHeight="1">
      <c r="D46" s="14" t="str">
        <f>+IF($B$3="esp","Resultado Neto Comparable","Comparable Net Profit")</f>
        <v>Comparable Net Profit</v>
      </c>
      <c r="F46" s="15">
        <f>+[1]GRUPO!AC46</f>
        <v>-121.93073174187708</v>
      </c>
      <c r="G46" s="16">
        <f>+[1]GRUPO!AD46</f>
        <v>23.10754636110584</v>
      </c>
      <c r="H46" s="17" t="str">
        <f t="shared" si="10"/>
        <v>---</v>
      </c>
      <c r="J46" s="15">
        <f>+[1]GRUPO!AG46</f>
        <v>-76.32925346163745</v>
      </c>
      <c r="K46" s="16">
        <f>+[1]GRUPO!AH46</f>
        <v>16.337724812527348</v>
      </c>
      <c r="L46" s="17" t="str">
        <f>IF(K46=0,"---",IF(OR(ABS((J46-K46)/ABS(K46))&gt;2,(J46*K46)&lt;0),"---",IF(K46="0","---",((J46-K46)/ABS(K46))*100)))</f>
        <v>---</v>
      </c>
      <c r="Z46" s="22"/>
      <c r="AB46" s="24"/>
      <c r="AC46" s="24"/>
      <c r="AD46" s="25"/>
      <c r="AF46" s="24"/>
      <c r="AG46" s="24"/>
      <c r="AH46" s="25"/>
      <c r="AI46" s="14"/>
    </row>
    <row r="47" spans="4:45" s="29" customFormat="1" ht="15" customHeight="1">
      <c r="D47" s="1"/>
      <c r="E47" s="1"/>
      <c r="F47" s="51"/>
      <c r="G47" s="51"/>
      <c r="H47" s="1"/>
      <c r="I47" s="1"/>
      <c r="J47" s="51"/>
      <c r="K47" s="51"/>
      <c r="L47" s="1"/>
      <c r="Z47" s="28"/>
      <c r="AB47" s="37"/>
      <c r="AC47" s="37"/>
      <c r="AD47" s="38"/>
      <c r="AF47" s="37"/>
      <c r="AG47" s="37"/>
      <c r="AH47" s="38"/>
      <c r="AI47" s="14"/>
    </row>
    <row r="48" spans="4:45">
      <c r="D48" s="9" t="str">
        <f>+IF($B$3="esp","Millones de €","€ Millions")</f>
        <v>€ Millions</v>
      </c>
      <c r="F48" s="10">
        <v>2020</v>
      </c>
      <c r="G48" s="10">
        <v>2019</v>
      </c>
      <c r="H48" s="10" t="str">
        <f>+IF($B$3="esp","Var.%","% Chg.")</f>
        <v>% Chg.</v>
      </c>
      <c r="J48" s="10">
        <v>2020</v>
      </c>
      <c r="K48" s="10">
        <v>2019</v>
      </c>
      <c r="L48" s="10" t="str">
        <f>+IF($B$3="esp","Var.%","% Chg.")</f>
        <v>% Chg.</v>
      </c>
      <c r="Z48" s="14"/>
      <c r="AA48" s="14"/>
      <c r="AB48" s="16"/>
      <c r="AC48" s="16"/>
      <c r="AD48" s="17"/>
      <c r="AE48" s="14"/>
      <c r="AF48" s="16"/>
      <c r="AG48" s="16"/>
      <c r="AH48" s="17"/>
    </row>
    <row r="49" spans="4:45">
      <c r="D49" s="11" t="str">
        <f>+IF($B$3="esp","Resultados Comparables","Comparable Results")</f>
        <v>Comparable Results</v>
      </c>
      <c r="F49" s="13"/>
      <c r="G49" s="13"/>
      <c r="H49" s="13"/>
      <c r="J49" s="13"/>
      <c r="K49" s="13"/>
      <c r="L49" s="13"/>
      <c r="Z49" s="14"/>
      <c r="AA49" s="14"/>
      <c r="AB49" s="16"/>
      <c r="AC49" s="16"/>
      <c r="AD49" s="17"/>
      <c r="AE49" s="14"/>
      <c r="AF49" s="16"/>
      <c r="AG49" s="16"/>
      <c r="AH49" s="17"/>
    </row>
    <row r="50" spans="4:45" ht="15.75" customHeight="1">
      <c r="D50" s="14" t="str">
        <f>+IF($B$3="esp","Ingresos de Explotación","Operating Revenues")</f>
        <v>Operating Revenues</v>
      </c>
      <c r="E50" s="14"/>
      <c r="F50" s="15">
        <f>+[1]GRUPO!AC50</f>
        <v>700.64061539075271</v>
      </c>
      <c r="G50" s="16">
        <f>+[1]GRUPO!AD50</f>
        <v>964.88539770247667</v>
      </c>
      <c r="H50" s="17">
        <f t="shared" ref="H50:H59" si="12">IF(G50=0,"---",IF(OR(ABS((F50-G50)/ABS(G50))&gt;2,(F50*G50)&lt;0),"---",IF(G50="0","---",((F50-G50)/ABS(G50))*100)))</f>
        <v>-27.386131341704072</v>
      </c>
      <c r="I50" s="14"/>
      <c r="J50" s="15">
        <f>+[1]GRUPO!AG50</f>
        <v>206.02327616619476</v>
      </c>
      <c r="K50" s="16">
        <f>+[1]GRUPO!AH50</f>
        <v>315.72671911740281</v>
      </c>
      <c r="L50" s="17">
        <f t="shared" ref="L50:L59" si="13">IF(K50=0,"---",IF(OR(ABS((J50-K50)/ABS(K50))&gt;2,(J50*K50)&lt;0),"---",IF(K50="0","---",((J50-K50)/ABS(K50))*100)))</f>
        <v>-34.746328488725368</v>
      </c>
      <c r="Z50" s="22"/>
      <c r="AB50" s="24"/>
      <c r="AC50" s="24"/>
      <c r="AD50" s="25"/>
      <c r="AF50" s="24"/>
      <c r="AG50" s="24"/>
      <c r="AH50" s="25"/>
    </row>
    <row r="51" spans="4:45" s="14" customFormat="1" ht="15" customHeight="1">
      <c r="D51" s="22" t="str">
        <f>+IF($B$3="esp","España","Spain")</f>
        <v>Spain</v>
      </c>
      <c r="E51" s="1"/>
      <c r="F51" s="23">
        <f>+[1]GRUPO!AC51</f>
        <v>285.32841093398071</v>
      </c>
      <c r="G51" s="24">
        <f>+[1]GRUPO!AD51</f>
        <v>385.11898828555434</v>
      </c>
      <c r="H51" s="25">
        <f t="shared" si="12"/>
        <v>-25.911622222475788</v>
      </c>
      <c r="I51" s="1"/>
      <c r="J51" s="23">
        <f>+[1]GRUPO!AG51</f>
        <v>94.622148311389935</v>
      </c>
      <c r="K51" s="24">
        <f>+[1]GRUPO!AH51</f>
        <v>116.49693342298696</v>
      </c>
      <c r="L51" s="25">
        <f t="shared" si="13"/>
        <v>-18.777133842804421</v>
      </c>
      <c r="Z51" s="22"/>
      <c r="AA51" s="1"/>
      <c r="AB51" s="24"/>
      <c r="AC51" s="24"/>
      <c r="AD51" s="25"/>
      <c r="AE51" s="1"/>
      <c r="AF51" s="24"/>
      <c r="AG51" s="24"/>
      <c r="AH51" s="25"/>
      <c r="AI51" s="1"/>
    </row>
    <row r="52" spans="4:45" ht="15" customHeight="1">
      <c r="D52" s="22" t="str">
        <f>+IF($B$3="esp","Internacional","International")</f>
        <v>International</v>
      </c>
      <c r="F52" s="23">
        <f>+[1]GRUPO!AC52</f>
        <v>415.31220445677201</v>
      </c>
      <c r="G52" s="24">
        <f>+[1]GRUPO!AD52</f>
        <v>579.76640941692233</v>
      </c>
      <c r="H52" s="25">
        <f t="shared" si="12"/>
        <v>-28.365597297288019</v>
      </c>
      <c r="J52" s="23">
        <f>+[1]GRUPO!AG52</f>
        <v>111.40112785480483</v>
      </c>
      <c r="K52" s="24">
        <f>+[1]GRUPO!AH52</f>
        <v>199.22978569441585</v>
      </c>
      <c r="L52" s="25">
        <f t="shared" si="13"/>
        <v>-44.084099941925878</v>
      </c>
      <c r="Z52" s="22"/>
      <c r="AB52" s="24"/>
      <c r="AC52" s="24"/>
      <c r="AD52" s="25"/>
      <c r="AF52" s="24"/>
      <c r="AG52" s="24"/>
      <c r="AH52" s="25"/>
      <c r="AI52" s="29"/>
    </row>
    <row r="53" spans="4:45" ht="15" customHeight="1">
      <c r="D53" s="27" t="str">
        <f>+IF($B$3="esp","Latam","Latam")</f>
        <v>Latam</v>
      </c>
      <c r="F53" s="23">
        <f>+[1]GRUPO!AC53</f>
        <v>410.47742245677199</v>
      </c>
      <c r="G53" s="24">
        <f>+[1]GRUPO!AD53</f>
        <v>575.92012841692235</v>
      </c>
      <c r="H53" s="25">
        <f t="shared" si="12"/>
        <v>-28.726675418502207</v>
      </c>
      <c r="J53" s="23">
        <f>+[1]GRUPO!AG53</f>
        <v>110.94329985480488</v>
      </c>
      <c r="K53" s="24">
        <f>+[1]GRUPO!AH53</f>
        <v>199.21670269441586</v>
      </c>
      <c r="L53" s="25">
        <f t="shared" si="13"/>
        <v>-44.310241885197776</v>
      </c>
      <c r="Z53" s="22"/>
      <c r="AB53" s="24"/>
      <c r="AC53" s="24"/>
      <c r="AD53" s="25"/>
      <c r="AF53" s="24"/>
      <c r="AG53" s="24"/>
      <c r="AH53" s="25"/>
      <c r="AI53" s="14"/>
    </row>
    <row r="54" spans="4:45" ht="15" customHeight="1">
      <c r="D54" s="27" t="str">
        <f>+IF($B$3="esp","Portugal","Portugal")</f>
        <v>Portugal</v>
      </c>
      <c r="F54" s="23">
        <f>+[1]GRUPO!AC54</f>
        <v>4.8347820000000015</v>
      </c>
      <c r="G54" s="24">
        <f>+[1]GRUPO!AD54</f>
        <v>3.8462809999999994</v>
      </c>
      <c r="H54" s="25">
        <f t="shared" si="12"/>
        <v>25.700176352169855</v>
      </c>
      <c r="J54" s="23">
        <f>+[1]GRUPO!AG54</f>
        <v>0.4578280000000019</v>
      </c>
      <c r="K54" s="24">
        <f>+[1]GRUPO!AH54</f>
        <v>1.3082999999999512E-2</v>
      </c>
      <c r="L54" s="25" t="str">
        <f t="shared" si="13"/>
        <v>---</v>
      </c>
      <c r="Z54" s="28"/>
      <c r="AA54" s="29"/>
      <c r="AB54" s="37"/>
      <c r="AC54" s="37"/>
      <c r="AD54" s="38"/>
      <c r="AE54" s="29"/>
      <c r="AF54" s="37"/>
      <c r="AG54" s="37"/>
      <c r="AH54" s="38"/>
    </row>
    <row r="55" spans="4:45" ht="15" customHeight="1">
      <c r="D55" s="14" t="str">
        <f>+IF($B$3="esp","EBITDA","EBITDA")</f>
        <v>EBITDA</v>
      </c>
      <c r="E55" s="14"/>
      <c r="F55" s="15">
        <f>+[1]GRUPO!AC55</f>
        <v>63.865324973436444</v>
      </c>
      <c r="G55" s="16">
        <f>+[1]GRUPO!AD55</f>
        <v>189.21329796910973</v>
      </c>
      <c r="H55" s="17">
        <f t="shared" si="12"/>
        <v>-66.24691516985088</v>
      </c>
      <c r="I55" s="14"/>
      <c r="J55" s="15">
        <f>+[1]GRUPO!AG55</f>
        <v>40.57688182749083</v>
      </c>
      <c r="K55" s="16">
        <f>+[1]GRUPO!AH55</f>
        <v>93.821412619947338</v>
      </c>
      <c r="L55" s="17">
        <f t="shared" si="13"/>
        <v>-56.750937025580669</v>
      </c>
      <c r="Z55" s="14"/>
      <c r="AA55" s="14"/>
      <c r="AB55" s="16"/>
      <c r="AC55" s="16"/>
      <c r="AD55" s="17"/>
      <c r="AE55" s="14"/>
      <c r="AF55" s="16"/>
      <c r="AG55" s="16"/>
      <c r="AH55" s="17"/>
      <c r="AK55" s="9"/>
      <c r="AM55" s="49"/>
      <c r="AN55" s="49"/>
      <c r="AO55" s="49"/>
      <c r="AQ55" s="49"/>
      <c r="AR55" s="49"/>
      <c r="AS55" s="49"/>
    </row>
    <row r="56" spans="4:45" s="14" customFormat="1" ht="15" customHeight="1">
      <c r="D56" s="22" t="str">
        <f>+IF($B$3="esp","España","Spain")</f>
        <v>Spain</v>
      </c>
      <c r="E56" s="1"/>
      <c r="F56" s="23">
        <f>+[1]GRUPO!AC56</f>
        <v>-28.037651517709506</v>
      </c>
      <c r="G56" s="24">
        <f>+[1]GRUPO!AD56</f>
        <v>23.317862303916087</v>
      </c>
      <c r="H56" s="25" t="str">
        <f t="shared" si="12"/>
        <v>---</v>
      </c>
      <c r="I56" s="1"/>
      <c r="J56" s="23">
        <f>+[1]GRUPO!AG56</f>
        <v>9.5414157222903668</v>
      </c>
      <c r="K56" s="24">
        <f>+[1]GRUPO!AH56</f>
        <v>16.249594263915526</v>
      </c>
      <c r="L56" s="25">
        <f t="shared" si="13"/>
        <v>-41.282129465359013</v>
      </c>
      <c r="Z56" s="1"/>
      <c r="AA56" s="1"/>
      <c r="AB56" s="1"/>
      <c r="AC56" s="1"/>
      <c r="AD56" s="1"/>
      <c r="AE56" s="1"/>
      <c r="AF56" s="1"/>
      <c r="AG56" s="1"/>
      <c r="AH56" s="1"/>
      <c r="AI56" s="1"/>
      <c r="AK56" s="50"/>
      <c r="AL56" s="1"/>
      <c r="AM56" s="1"/>
      <c r="AN56" s="1"/>
      <c r="AO56" s="1"/>
      <c r="AP56" s="1"/>
      <c r="AQ56" s="1"/>
      <c r="AR56" s="1"/>
      <c r="AS56" s="1"/>
    </row>
    <row r="57" spans="4:45" ht="15" customHeight="1">
      <c r="D57" s="22" t="str">
        <f>+IF($B$3="esp","Internacional","International")</f>
        <v>International</v>
      </c>
      <c r="F57" s="23">
        <f>+[1]GRUPO!AC57</f>
        <v>91.902976491145949</v>
      </c>
      <c r="G57" s="24">
        <f>+[1]GRUPO!AD57</f>
        <v>165.89543566519365</v>
      </c>
      <c r="H57" s="25">
        <f t="shared" si="12"/>
        <v>-44.601865553056911</v>
      </c>
      <c r="J57" s="23">
        <f>+[1]GRUPO!AG57</f>
        <v>31.035466105200463</v>
      </c>
      <c r="K57" s="24">
        <f>+[1]GRUPO!AH57</f>
        <v>77.571818356031812</v>
      </c>
      <c r="L57" s="25">
        <f t="shared" si="13"/>
        <v>-59.991312872470246</v>
      </c>
      <c r="AI57" s="14"/>
      <c r="AK57" s="14"/>
      <c r="AL57" s="14"/>
      <c r="AM57" s="16"/>
      <c r="AN57" s="16"/>
      <c r="AO57" s="17"/>
      <c r="AP57" s="14"/>
      <c r="AQ57" s="16"/>
      <c r="AR57" s="16"/>
      <c r="AS57" s="17"/>
    </row>
    <row r="58" spans="4:45" ht="15" customHeight="1">
      <c r="D58" s="27" t="str">
        <f>+IF($B$3="esp","Latam","Latam")</f>
        <v>Latam</v>
      </c>
      <c r="F58" s="23">
        <f>+[1]GRUPO!AC58</f>
        <v>89.324014731145951</v>
      </c>
      <c r="G58" s="24">
        <f>+[1]GRUPO!AD58</f>
        <v>163.65477166519366</v>
      </c>
      <c r="H58" s="25">
        <f t="shared" si="12"/>
        <v>-45.419242089753553</v>
      </c>
      <c r="J58" s="23">
        <f>+[1]GRUPO!AG58</f>
        <v>31.043485055200478</v>
      </c>
      <c r="K58" s="24">
        <f>+[1]GRUPO!AH58</f>
        <v>77.720693356031845</v>
      </c>
      <c r="L58" s="25">
        <f t="shared" si="13"/>
        <v>-60.057632382417211</v>
      </c>
      <c r="Z58" s="22"/>
      <c r="AB58" s="24"/>
      <c r="AC58" s="24"/>
      <c r="AD58" s="25"/>
      <c r="AF58" s="24"/>
      <c r="AG58" s="24"/>
      <c r="AH58" s="25"/>
      <c r="AK58" s="26"/>
      <c r="AL58" s="14"/>
      <c r="AM58" s="16"/>
      <c r="AN58" s="16"/>
      <c r="AO58" s="17"/>
      <c r="AP58" s="14"/>
      <c r="AQ58" s="16"/>
      <c r="AR58" s="16"/>
      <c r="AS58" s="17"/>
    </row>
    <row r="59" spans="4:45" ht="15" customHeight="1">
      <c r="D59" s="27" t="str">
        <f>+IF($B$3="esp","Portugal","Portugal")</f>
        <v>Portugal</v>
      </c>
      <c r="F59" s="23">
        <f>+[1]GRUPO!AC59</f>
        <v>2.5789617599999999</v>
      </c>
      <c r="G59" s="24">
        <f>+[1]GRUPO!AD59</f>
        <v>2.2406639999999993</v>
      </c>
      <c r="H59" s="25">
        <f t="shared" si="12"/>
        <v>15.098103062306558</v>
      </c>
      <c r="J59" s="23">
        <f>+[1]GRUPO!AG59</f>
        <v>-8.0189500000100722E-3</v>
      </c>
      <c r="K59" s="24">
        <f>+[1]GRUPO!AH59</f>
        <v>-0.14887500000000076</v>
      </c>
      <c r="L59" s="25">
        <f t="shared" si="13"/>
        <v>94.613635600329118</v>
      </c>
      <c r="Z59" s="33"/>
      <c r="AA59" s="29"/>
      <c r="AB59" s="31"/>
      <c r="AC59" s="31"/>
      <c r="AD59" s="32"/>
      <c r="AE59" s="29"/>
      <c r="AF59" s="31"/>
      <c r="AG59" s="31"/>
      <c r="AH59" s="32"/>
      <c r="AK59" s="28"/>
      <c r="AL59" s="29"/>
      <c r="AM59" s="31"/>
      <c r="AN59" s="31"/>
      <c r="AO59" s="32"/>
      <c r="AP59" s="29"/>
      <c r="AQ59" s="31"/>
      <c r="AR59" s="31"/>
      <c r="AS59" s="32"/>
    </row>
    <row r="60" spans="4:45" ht="15" customHeight="1">
      <c r="D60" s="28" t="str">
        <f>+IF($B$3="esp","Margen EBITDA","EBITDA Margin")</f>
        <v>EBITDA Margin</v>
      </c>
      <c r="E60" s="29"/>
      <c r="F60" s="36">
        <f>+F55/F50</f>
        <v>9.1152758733260494E-2</v>
      </c>
      <c r="G60" s="37">
        <f>+G55/G50</f>
        <v>0.19609924496696948</v>
      </c>
      <c r="H60" s="38"/>
      <c r="I60" s="29"/>
      <c r="J60" s="36">
        <f>+J55/J50</f>
        <v>0.19695290057788561</v>
      </c>
      <c r="K60" s="37">
        <f>+K55/K50</f>
        <v>0.29716019246714404</v>
      </c>
      <c r="L60" s="38"/>
      <c r="O60" s="27"/>
      <c r="Q60" s="24"/>
      <c r="R60" s="24"/>
      <c r="S60" s="25"/>
      <c r="U60" s="24"/>
      <c r="V60" s="24"/>
      <c r="W60" s="25"/>
      <c r="Z60" s="33"/>
      <c r="AA60" s="29"/>
      <c r="AB60" s="31"/>
      <c r="AC60" s="31"/>
      <c r="AD60" s="32"/>
      <c r="AE60" s="29"/>
      <c r="AF60" s="31"/>
      <c r="AG60" s="31"/>
      <c r="AH60" s="32"/>
      <c r="AK60" s="28"/>
      <c r="AL60" s="29"/>
      <c r="AM60" s="31"/>
      <c r="AN60" s="31"/>
      <c r="AO60" s="32"/>
      <c r="AP60" s="29"/>
      <c r="AQ60" s="31"/>
      <c r="AR60" s="31"/>
      <c r="AS60" s="32"/>
    </row>
    <row r="61" spans="4:45" s="14" customFormat="1" ht="15" customHeight="1">
      <c r="D61" s="14" t="str">
        <f>+IF($B$3="esp","EBIT","EBIT")</f>
        <v>EBIT</v>
      </c>
      <c r="F61" s="15">
        <f>+[1]GRUPO!AC61</f>
        <v>-9.9723323616159227</v>
      </c>
      <c r="G61" s="16">
        <f>+[1]GRUPO!AD61</f>
        <v>104.46557085041245</v>
      </c>
      <c r="H61" s="17" t="str">
        <f>IF(G61=0,"---",IF(OR(ABS((F61-G61)/ABS(G61))&gt;2,(F61*G61)&lt;0),"---",IF(G61="0","---",((F61-G61)/ABS(G61))*100)))</f>
        <v>---</v>
      </c>
      <c r="J61" s="15">
        <f>+[1]GRUPO!AG61</f>
        <v>21.348485778674345</v>
      </c>
      <c r="K61" s="16">
        <f>+[1]GRUPO!AH61</f>
        <v>64.711147706025969</v>
      </c>
      <c r="L61" s="17">
        <f>IF(K61=0,"---",IF(OR(ABS((J61-K61)/ABS(K61))&gt;2,(J61*K61)&lt;0),"---",IF(K61="0","---",((J61-K61)/ABS(K61))*100)))</f>
        <v>-67.009570166090015</v>
      </c>
      <c r="Q61" s="16"/>
      <c r="R61" s="16"/>
      <c r="S61" s="17"/>
      <c r="U61" s="16"/>
      <c r="V61" s="16"/>
      <c r="W61" s="17"/>
      <c r="Z61" s="33"/>
      <c r="AA61" s="29"/>
      <c r="AB61" s="31"/>
      <c r="AC61" s="31"/>
      <c r="AD61" s="32"/>
      <c r="AE61" s="29"/>
      <c r="AF61" s="31"/>
      <c r="AG61" s="31"/>
      <c r="AH61" s="32"/>
      <c r="AI61" s="1"/>
      <c r="AK61" s="28"/>
      <c r="AL61" s="29"/>
      <c r="AM61" s="31"/>
      <c r="AN61" s="31"/>
      <c r="AO61" s="32"/>
      <c r="AP61" s="29"/>
      <c r="AQ61" s="31"/>
      <c r="AR61" s="31"/>
      <c r="AS61" s="32"/>
    </row>
    <row r="62" spans="4:45" ht="15" customHeight="1">
      <c r="D62" s="22" t="str">
        <f>+IF($B$3="esp","España","Spain")</f>
        <v>Spain</v>
      </c>
      <c r="F62" s="23">
        <f>+[1]GRUPO!AC62</f>
        <v>-57.179625064278937</v>
      </c>
      <c r="G62" s="24">
        <f>+[1]GRUPO!AD62</f>
        <v>-7.7729717699583034</v>
      </c>
      <c r="H62" s="25" t="str">
        <f>IF(G62=0,"---",IF(OR(ABS((F62-G62)/ABS(G62))&gt;2,(F62*G62)&lt;0),"---",IF(G62="0","---",((F62-G62)/ABS(G62))*100)))</f>
        <v>---</v>
      </c>
      <c r="J62" s="23">
        <f>+[1]GRUPO!AG62</f>
        <v>2.852725301551871</v>
      </c>
      <c r="K62" s="24">
        <f>+[1]GRUPO!AH62</f>
        <v>5.7272057624691541</v>
      </c>
      <c r="L62" s="25">
        <f>IF(K62=0,"---",IF(OR(ABS((J62-K62)/ABS(K62))&gt;2,(J62*K62)&lt;0),"---",IF(K62="0","---",((J62-K62)/ABS(K62))*100)))</f>
        <v>-50.189928215151404</v>
      </c>
      <c r="O62" s="22"/>
      <c r="Q62" s="24"/>
      <c r="R62" s="24"/>
      <c r="S62" s="25"/>
      <c r="U62" s="24"/>
      <c r="V62" s="24"/>
      <c r="W62" s="25"/>
      <c r="Z62" s="22"/>
      <c r="AB62" s="24"/>
      <c r="AC62" s="24"/>
      <c r="AD62" s="25"/>
      <c r="AF62" s="24"/>
      <c r="AG62" s="24"/>
      <c r="AH62" s="25"/>
      <c r="AI62" s="14"/>
      <c r="AK62" s="26"/>
      <c r="AL62" s="14"/>
      <c r="AM62" s="16"/>
      <c r="AN62" s="16"/>
      <c r="AO62" s="17"/>
      <c r="AP62" s="14"/>
      <c r="AQ62" s="16"/>
      <c r="AR62" s="16"/>
      <c r="AS62" s="17"/>
    </row>
    <row r="63" spans="4:45" ht="15" customHeight="1">
      <c r="D63" s="22" t="str">
        <f>+IF($B$3="esp","Internacional","International")</f>
        <v>International</v>
      </c>
      <c r="F63" s="23">
        <f>+[1]GRUPO!AC63</f>
        <v>47.207292702663018</v>
      </c>
      <c r="G63" s="24">
        <f>+[1]GRUPO!AD63</f>
        <v>112.23854262037075</v>
      </c>
      <c r="H63" s="25">
        <f>IF(G63=0,"---",IF(OR(ABS((F63-G63)/ABS(G63))&gt;2,(F63*G63)&lt;0),"---",IF(G63="0","---",((F63-G63)/ABS(G63))*100)))</f>
        <v>-57.940212336564024</v>
      </c>
      <c r="J63" s="23">
        <f>+[1]GRUPO!AG63</f>
        <v>18.495760477122481</v>
      </c>
      <c r="K63" s="24">
        <f>+[1]GRUPO!AH63</f>
        <v>58.983941943556822</v>
      </c>
      <c r="L63" s="25">
        <f>IF(K63=0,"---",IF(OR(ABS((J63-K63)/ABS(K63))&gt;2,(J63*K63)&lt;0),"---",IF(K63="0","---",((J63-K63)/ABS(K63))*100)))</f>
        <v>-68.642718903355899</v>
      </c>
      <c r="O63" s="22"/>
      <c r="Q63" s="24"/>
      <c r="R63" s="24"/>
      <c r="S63" s="25"/>
      <c r="U63" s="24"/>
      <c r="V63" s="24"/>
      <c r="W63" s="25"/>
      <c r="Z63" s="14"/>
      <c r="AA63" s="14"/>
      <c r="AB63" s="16"/>
      <c r="AC63" s="16"/>
      <c r="AD63" s="17"/>
      <c r="AE63" s="14"/>
      <c r="AF63" s="16"/>
      <c r="AG63" s="16"/>
      <c r="AH63" s="17"/>
      <c r="AK63" s="14"/>
      <c r="AL63" s="14"/>
      <c r="AM63" s="16"/>
      <c r="AN63" s="16"/>
      <c r="AO63" s="17"/>
      <c r="AP63" s="14"/>
      <c r="AQ63" s="16"/>
      <c r="AR63" s="16"/>
      <c r="AS63" s="17"/>
    </row>
    <row r="64" spans="4:45" ht="15" customHeight="1">
      <c r="D64" s="27" t="str">
        <f>+IF($B$3="esp","Latam","Latam")</f>
        <v>Latam</v>
      </c>
      <c r="F64" s="23">
        <f>+[1]GRUPO!AC64</f>
        <v>44.748381942663016</v>
      </c>
      <c r="G64" s="24">
        <f>+[1]GRUPO!AD64</f>
        <v>110.05489962037075</v>
      </c>
      <c r="H64" s="25">
        <f>IF(G64=0,"---",IF(OR(ABS((F64-G64)/ABS(G64))&gt;2,(F64*G64)&lt;0),"---",IF(G64="0","---",((F64-G64)/ABS(G64))*100)))</f>
        <v>-59.339945702535303</v>
      </c>
      <c r="J64" s="23">
        <f>+[1]GRUPO!AG64</f>
        <v>18.494300427122489</v>
      </c>
      <c r="K64" s="24">
        <f>+[1]GRUPO!AH64</f>
        <v>59.135827943556826</v>
      </c>
      <c r="L64" s="25">
        <f>IF(K64=0,"---",IF(OR(ABS((J64-K64)/ABS(K64))&gt;2,(J64*K64)&lt;0),"---",IF(K64="0","---",((J64-K64)/ABS(K64))*100)))</f>
        <v>-68.725726737478539</v>
      </c>
      <c r="O64" s="27"/>
      <c r="Q64" s="24"/>
      <c r="R64" s="24"/>
      <c r="S64" s="25"/>
      <c r="U64" s="24"/>
      <c r="V64" s="24"/>
      <c r="W64" s="25"/>
      <c r="Z64" s="22"/>
      <c r="AB64" s="24"/>
      <c r="AC64" s="24"/>
      <c r="AD64" s="25"/>
      <c r="AF64" s="24"/>
      <c r="AG64" s="24"/>
      <c r="AH64" s="25"/>
      <c r="AK64" s="26"/>
      <c r="AL64" s="14"/>
      <c r="AM64" s="16"/>
      <c r="AN64" s="16"/>
      <c r="AO64" s="17"/>
      <c r="AP64" s="14"/>
      <c r="AQ64" s="16"/>
      <c r="AR64" s="16"/>
      <c r="AS64" s="17"/>
    </row>
    <row r="65" spans="4:45" ht="15" customHeight="1">
      <c r="D65" s="27" t="str">
        <f>+IF($B$3="esp","Portugal","Portugal")</f>
        <v>Portugal</v>
      </c>
      <c r="F65" s="23">
        <f>+[1]GRUPO!AC65</f>
        <v>2.4589107600000002</v>
      </c>
      <c r="G65" s="24">
        <f>+[1]GRUPO!AD65</f>
        <v>2.1836429999999991</v>
      </c>
      <c r="H65" s="25">
        <f>IF(G65=0,"---",IF(OR(ABS((F65-G65)/ABS(G65))&gt;2,(F65*G65)&lt;0),"---",IF(G65="0","---",((F65-G65)/ABS(G65))*100)))</f>
        <v>12.60589574394721</v>
      </c>
      <c r="J65" s="23">
        <f>+[1]GRUPO!AG65</f>
        <v>1.460049999990165E-3</v>
      </c>
      <c r="K65" s="24">
        <f>+[1]GRUPO!AH65</f>
        <v>-0.15188600000000108</v>
      </c>
      <c r="L65" s="25" t="str">
        <f>IF(K65=0,"---",IF(OR(ABS((J65-K65)/ABS(K65))&gt;2,(J65*K65)&lt;0),"---",IF(K65="0","---",((J65-K65)/ABS(K65))*100)))</f>
        <v>---</v>
      </c>
      <c r="Z65" s="22"/>
      <c r="AB65" s="24"/>
      <c r="AC65" s="24"/>
      <c r="AD65" s="25"/>
      <c r="AF65" s="24"/>
      <c r="AG65" s="24"/>
      <c r="AH65" s="25"/>
      <c r="AK65" s="26"/>
      <c r="AL65" s="14"/>
      <c r="AM65" s="16"/>
      <c r="AN65" s="16"/>
      <c r="AO65" s="17"/>
      <c r="AP65" s="14"/>
      <c r="AQ65" s="16"/>
      <c r="AR65" s="16"/>
      <c r="AS65" s="17"/>
    </row>
    <row r="66" spans="4:45" s="29" customFormat="1" ht="15" customHeight="1">
      <c r="D66" s="45" t="str">
        <f>+IF($B$3="esp","Margen EBIT","EBIT Margin")</f>
        <v>EBIT Margin</v>
      </c>
      <c r="F66" s="46">
        <f>+F61/F50</f>
        <v>-1.4233163397263625E-2</v>
      </c>
      <c r="G66" s="47">
        <f>+G61/G50</f>
        <v>0.10826733527023953</v>
      </c>
      <c r="H66" s="48"/>
      <c r="J66" s="46">
        <f>+J61/J50</f>
        <v>0.10362171777839781</v>
      </c>
      <c r="K66" s="47">
        <f>+K61/K50</f>
        <v>0.20495936450016813</v>
      </c>
      <c r="L66" s="48"/>
      <c r="Z66" s="22"/>
      <c r="AA66" s="1"/>
      <c r="AB66" s="24"/>
      <c r="AC66" s="24"/>
      <c r="AD66" s="25"/>
      <c r="AE66" s="1"/>
      <c r="AF66" s="24"/>
      <c r="AG66" s="24"/>
      <c r="AH66" s="25"/>
      <c r="AI66" s="1"/>
      <c r="AK66" s="14"/>
      <c r="AL66" s="14"/>
      <c r="AM66" s="16"/>
      <c r="AN66" s="16"/>
      <c r="AO66" s="17"/>
      <c r="AP66" s="14"/>
      <c r="AQ66" s="16"/>
      <c r="AR66" s="16"/>
      <c r="AS66" s="17"/>
    </row>
    <row r="67" spans="4:45" s="14" customFormat="1" ht="15" customHeight="1">
      <c r="D67" s="1"/>
      <c r="E67" s="1"/>
      <c r="F67" s="1"/>
      <c r="G67" s="1"/>
      <c r="H67" s="1"/>
      <c r="I67" s="1"/>
      <c r="J67" s="1"/>
      <c r="K67" s="1"/>
      <c r="L67" s="1"/>
      <c r="Z67" s="22"/>
      <c r="AA67" s="1"/>
      <c r="AB67" s="24"/>
      <c r="AC67" s="24"/>
      <c r="AD67" s="25"/>
      <c r="AE67" s="1"/>
      <c r="AF67" s="24"/>
      <c r="AG67" s="24"/>
      <c r="AH67" s="25"/>
      <c r="AK67" s="26"/>
      <c r="AM67" s="16"/>
      <c r="AN67" s="16"/>
      <c r="AO67" s="17"/>
      <c r="AQ67" s="16"/>
      <c r="AR67" s="16"/>
      <c r="AS67" s="17"/>
    </row>
    <row r="68" spans="4:45" ht="15" customHeight="1">
      <c r="D68" s="9"/>
      <c r="F68" s="10">
        <v>2020</v>
      </c>
      <c r="G68" s="10">
        <v>2019</v>
      </c>
      <c r="H68" s="10" t="str">
        <f>+IF($B$3="esp","Var.%","% Chg.")</f>
        <v>% Chg.</v>
      </c>
      <c r="J68" s="10">
        <v>2020</v>
      </c>
      <c r="K68" s="10">
        <v>2019</v>
      </c>
      <c r="L68" s="10" t="str">
        <f>+IF($B$3="esp","Var.%","% Chg.")</f>
        <v>% Chg.</v>
      </c>
      <c r="O68" s="9"/>
      <c r="Q68" s="10">
        <v>2020</v>
      </c>
      <c r="R68" s="10">
        <v>2019</v>
      </c>
      <c r="S68" s="10" t="str">
        <f>+IF($B$3="esp","Var.%","% Chg.")</f>
        <v>% Chg.</v>
      </c>
      <c r="U68" s="10">
        <v>2020</v>
      </c>
      <c r="V68" s="10">
        <v>2019</v>
      </c>
      <c r="W68" s="10" t="str">
        <f>+IF($B$3="esp","Var.%","% Chg.")</f>
        <v>% Chg.</v>
      </c>
      <c r="Z68" s="9"/>
      <c r="AB68" s="10">
        <v>2020</v>
      </c>
      <c r="AC68" s="10">
        <v>2019</v>
      </c>
      <c r="AD68" s="10" t="str">
        <f>+IF($B$3="esp","Var.%","% Chg.")</f>
        <v>% Chg.</v>
      </c>
      <c r="AF68" s="10">
        <v>2020</v>
      </c>
      <c r="AG68" s="10">
        <v>2019</v>
      </c>
      <c r="AH68" s="10" t="str">
        <f>+IF($B$3="esp","Var.%","% Chg.")</f>
        <v>% Chg.</v>
      </c>
      <c r="AK68" s="28"/>
      <c r="AL68" s="29"/>
      <c r="AM68" s="37"/>
      <c r="AN68" s="37"/>
      <c r="AO68" s="38"/>
      <c r="AP68" s="29"/>
      <c r="AQ68" s="37"/>
      <c r="AR68" s="37"/>
      <c r="AS68" s="38"/>
    </row>
    <row r="69" spans="4:45" ht="15" customHeight="1">
      <c r="D69" s="11" t="str">
        <f>+IF($B$3="esp","Resultados Comparables a tipo constante","Comparable Results at constant currency")</f>
        <v>Comparable Results at constant currency</v>
      </c>
      <c r="F69" s="13"/>
      <c r="G69" s="13"/>
      <c r="H69" s="13"/>
      <c r="J69" s="13"/>
      <c r="K69" s="13"/>
      <c r="L69" s="13"/>
      <c r="O69" s="11" t="str">
        <f>+IF($B$3="esp","Resultados a tipo constante","Results at constant currency")</f>
        <v>Results at constant currency</v>
      </c>
      <c r="Q69" s="13"/>
      <c r="R69" s="13"/>
      <c r="S69" s="13"/>
      <c r="U69" s="13"/>
      <c r="V69" s="13"/>
      <c r="W69" s="13"/>
      <c r="Z69" s="11" t="str">
        <f>+IF($B$3="esp","Resultados a tipo constante","Results at constant currency")</f>
        <v>Results at constant currency</v>
      </c>
      <c r="AB69" s="13"/>
      <c r="AC69" s="13"/>
      <c r="AD69" s="13"/>
      <c r="AF69" s="13"/>
      <c r="AG69" s="13"/>
      <c r="AH69" s="13"/>
      <c r="AK69" s="26"/>
      <c r="AL69" s="14"/>
      <c r="AM69" s="16"/>
      <c r="AN69" s="16"/>
      <c r="AO69" s="17"/>
      <c r="AP69" s="14"/>
      <c r="AQ69" s="16"/>
      <c r="AR69" s="16"/>
      <c r="AS69" s="17"/>
    </row>
    <row r="70" spans="4:45" ht="15" customHeight="1">
      <c r="D70" s="14" t="str">
        <f>+IF($B$3="esp","Ingresos de Explotación a tipo constante","Operating Revenues on constant currency")</f>
        <v>Operating Revenues on constant currency</v>
      </c>
      <c r="E70" s="14"/>
      <c r="F70" s="15">
        <f>+[1]GRUPO!AC70</f>
        <v>772.84817485446024</v>
      </c>
      <c r="G70" s="16">
        <f>+[1]GRUPO!AD70</f>
        <v>964.88539770247667</v>
      </c>
      <c r="H70" s="17">
        <f t="shared" ref="H70:H79" si="14">IF(G70=0,"---",IF(OR(ABS((F70-G70)/ABS(G70))&gt;2,(F70*G70)&lt;0),"---",IF(G70="0","---",((F70-G70)/ABS(G70))*100)))</f>
        <v>-19.90259395626498</v>
      </c>
      <c r="I70" s="14"/>
      <c r="J70" s="15">
        <f>+[1]GRUPO!AG70</f>
        <v>234.20487093884708</v>
      </c>
      <c r="K70" s="16">
        <f>+[1]GRUPO!AH70</f>
        <v>315.72671911740281</v>
      </c>
      <c r="L70" s="17">
        <f t="shared" ref="L70:L79" si="15">IF(K70=0,"---",IF(OR(ABS((J70-K70)/ABS(K70))&gt;2,(J70*K70)&lt;0),"---",IF(K70="0","---",((J70-K70)/ABS(K70))*100)))</f>
        <v>-25.820383021888581</v>
      </c>
      <c r="O70" s="14" t="str">
        <f>+IF($B$3="esp","Ingresos de Explotación a tipo constante","Operating Revenues on constant currency")</f>
        <v>Operating Revenues on constant currency</v>
      </c>
      <c r="P70" s="14"/>
      <c r="Q70" s="15">
        <f>+[1]SANTILLANA!AC39</f>
        <v>430.07627673593475</v>
      </c>
      <c r="R70" s="16">
        <f>+[1]SANTILLANA!AD39</f>
        <v>497.00283622986001</v>
      </c>
      <c r="S70" s="17">
        <f t="shared" ref="S70:S79" si="16">IF(R70=0,"---",IF(OR(ABS((Q70-R70)/ABS(R70))&gt;2,(Q70*R70)&lt;0),"---",IF(R70="0","---",((Q70-R70)/ABS(R70))*100)))</f>
        <v>-13.466031703483525</v>
      </c>
      <c r="T70" s="14"/>
      <c r="U70" s="15">
        <f>+[1]SANTILLANA!AG39</f>
        <v>120.35962557353884</v>
      </c>
      <c r="V70" s="16">
        <f>+[1]SANTILLANA!AH39</f>
        <v>183.81660037418936</v>
      </c>
      <c r="W70" s="17">
        <f t="shared" ref="W70:W79" si="17">IF(V70=0,"---",IF(OR(ABS((U70-V70)/ABS(V70))&gt;2,(U70*V70)&lt;0),"---",IF(V70="0","---",((U70-V70)/ABS(V70))*100)))</f>
        <v>-34.521895558656432</v>
      </c>
      <c r="Z70" s="14" t="str">
        <f>+IF($B$3="esp","Ingresos de Explotación a tipo constante","Operating Revenues on constant currency")</f>
        <v>Operating Revenues on constant currency</v>
      </c>
      <c r="AA70" s="14"/>
      <c r="AB70" s="15">
        <f>+[1]RADIO!AC35</f>
        <v>194.01878461427953</v>
      </c>
      <c r="AC70" s="16">
        <f>+[1]RADIO!AD35</f>
        <v>273.80961698546093</v>
      </c>
      <c r="AD70" s="17">
        <f>IF(AC70=0,"---",IF(OR(ABS((AB70-AC70)/ABS(AC70))&gt;2,(AB70*AC70)&lt;0),"---",IF(AC70="0","---",((AB70-AC70)/ABS(AC70))*100)))</f>
        <v>-29.140989732080243</v>
      </c>
      <c r="AE70" s="14"/>
      <c r="AF70" s="15">
        <f>+[1]RADIO!AG35</f>
        <v>66.496911685251519</v>
      </c>
      <c r="AG70" s="16">
        <f>+[1]RADIO!AH35</f>
        <v>77.437043721619915</v>
      </c>
      <c r="AH70" s="17">
        <f>IF(AG70=0,"---",IF(OR(ABS((AF70-AG70)/ABS(AG70))&gt;2,(AF70*AG70)&lt;0),"---",IF(AG70="0","---",((AF70-AG70)/ABS(AG70))*100)))</f>
        <v>-14.127775946221954</v>
      </c>
      <c r="AK70" s="14"/>
      <c r="AL70" s="14"/>
      <c r="AM70" s="16"/>
      <c r="AN70" s="16"/>
      <c r="AO70" s="17"/>
      <c r="AP70" s="14"/>
      <c r="AQ70" s="16"/>
      <c r="AR70" s="16"/>
      <c r="AS70" s="17"/>
    </row>
    <row r="71" spans="4:45" ht="15" customHeight="1">
      <c r="D71" s="22" t="str">
        <f>+IF($B$3="esp","España","Spain")</f>
        <v>Spain</v>
      </c>
      <c r="F71" s="23">
        <f>+[1]GRUPO!AC71</f>
        <v>285.32841093398054</v>
      </c>
      <c r="G71" s="24">
        <f>+[1]GRUPO!AD71</f>
        <v>385.11898828555434</v>
      </c>
      <c r="H71" s="25">
        <f t="shared" si="14"/>
        <v>-25.911622222475835</v>
      </c>
      <c r="J71" s="23">
        <f>+[1]GRUPO!AG71</f>
        <v>94.622148311389765</v>
      </c>
      <c r="K71" s="24">
        <f>+[1]GRUPO!AH71</f>
        <v>116.49693342298696</v>
      </c>
      <c r="L71" s="25">
        <f t="shared" si="15"/>
        <v>-18.77713384280457</v>
      </c>
      <c r="O71" s="22" t="str">
        <f>+IF($B$3="esp","Negocio Internacional","International business")</f>
        <v>International business</v>
      </c>
      <c r="Q71" s="23">
        <f>+[1]SANTILLANA!AC41</f>
        <v>427.00294429593475</v>
      </c>
      <c r="R71" s="24">
        <f>+[1]SANTILLANA!AD41</f>
        <v>494.26069860986001</v>
      </c>
      <c r="S71" s="25">
        <f t="shared" si="16"/>
        <v>-13.607748806063686</v>
      </c>
      <c r="U71" s="23">
        <f>+[1]SANTILLANA!AG41</f>
        <v>118.72353293353882</v>
      </c>
      <c r="V71" s="24">
        <f>+[1]SANTILLANA!AH41</f>
        <v>182.63754773418935</v>
      </c>
      <c r="W71" s="25">
        <f t="shared" si="17"/>
        <v>-34.995002721823106</v>
      </c>
      <c r="Z71" s="22" t="str">
        <f>+IF($B$3="esp","España","Spain")</f>
        <v>Spain</v>
      </c>
      <c r="AB71" s="23">
        <f>+[1]RADIO!AC36</f>
        <v>139.08034499000001</v>
      </c>
      <c r="AC71" s="24">
        <f>+[1]RADIO!AD36</f>
        <v>188.36092333000002</v>
      </c>
      <c r="AD71" s="25">
        <f>IF(AC71=0,"---",IF(OR(ABS((AB71-AC71)/ABS(AC71))&gt;2,(AB71*AC71)&lt;0),"---",IF(AC71="0","---",((AB71-AC71)/ABS(AC71))*100)))</f>
        <v>-26.162846023887138</v>
      </c>
      <c r="AF71" s="23">
        <f>+[1]RADIO!AG36</f>
        <v>47.415185280000003</v>
      </c>
      <c r="AG71" s="24">
        <f>+[1]RADIO!AH36</f>
        <v>55.203845730000012</v>
      </c>
      <c r="AH71" s="25">
        <f>IF(AG71=0,"---",IF(OR(ABS((AF71-AG71)/ABS(AG71))&gt;2,(AF71*AG71)&lt;0),"---",IF(AG71="0","---",((AF71-AG71)/ABS(AG71))*100)))</f>
        <v>-14.108909165665853</v>
      </c>
      <c r="AK71" s="26"/>
      <c r="AL71" s="14"/>
      <c r="AM71" s="16"/>
      <c r="AN71" s="16"/>
      <c r="AO71" s="17"/>
      <c r="AP71" s="14"/>
      <c r="AQ71" s="16"/>
      <c r="AR71" s="16"/>
      <c r="AS71" s="17"/>
    </row>
    <row r="72" spans="4:45" s="29" customFormat="1" ht="15" customHeight="1">
      <c r="D72" s="22" t="str">
        <f>+IF($B$3="esp","Internacional","International")</f>
        <v>International</v>
      </c>
      <c r="E72" s="1"/>
      <c r="F72" s="23">
        <f>+[1]GRUPO!AC72</f>
        <v>487.5197639204797</v>
      </c>
      <c r="G72" s="24">
        <f>+[1]GRUPO!AD72</f>
        <v>579.76640941692233</v>
      </c>
      <c r="H72" s="25">
        <f t="shared" si="14"/>
        <v>-15.911002086032566</v>
      </c>
      <c r="I72" s="1"/>
      <c r="J72" s="23">
        <f>+[1]GRUPO!AG72</f>
        <v>139.58272262745731</v>
      </c>
      <c r="K72" s="24">
        <f>+[1]GRUPO!AH72</f>
        <v>199.22978569441585</v>
      </c>
      <c r="L72" s="25">
        <f t="shared" si="15"/>
        <v>-29.938828101962052</v>
      </c>
      <c r="O72" s="27" t="str">
        <f>+IF($B$3="esp","Latam","Latam")</f>
        <v>Latam</v>
      </c>
      <c r="P72" s="1"/>
      <c r="Q72" s="23">
        <f>+[1]SANTILLANA!AC42</f>
        <v>422.16816229593474</v>
      </c>
      <c r="R72" s="24">
        <f>+[1]SANTILLANA!AD42</f>
        <v>490.02512560986003</v>
      </c>
      <c r="S72" s="25">
        <f t="shared" si="16"/>
        <v>-13.847649797441308</v>
      </c>
      <c r="T72" s="1"/>
      <c r="U72" s="23">
        <f>+[1]SANTILLANA!AG42</f>
        <v>118.26570493353881</v>
      </c>
      <c r="V72" s="24">
        <f>+[1]SANTILLANA!AH42</f>
        <v>182.23517273418935</v>
      </c>
      <c r="W72" s="25">
        <f t="shared" si="17"/>
        <v>-35.102700999415326</v>
      </c>
      <c r="Z72" s="22" t="str">
        <f>+IF($B$3="esp","Latam","Latam")</f>
        <v>Latam</v>
      </c>
      <c r="AA72" s="1"/>
      <c r="AB72" s="23">
        <f>+[1]RADIO!AC37</f>
        <v>58.634491200868375</v>
      </c>
      <c r="AC72" s="24">
        <f>+[1]RADIO!AD37</f>
        <v>89.393841940531928</v>
      </c>
      <c r="AD72" s="25">
        <f>IF(AC72=0,"---",IF(OR(ABS((AB72-AC72)/ABS(AC72))&gt;2,(AB72*AC72)&lt;0),"---",IF(AC72="0","---",((AB72-AC72)/ABS(AC72))*100)))</f>
        <v>-34.408802745188879</v>
      </c>
      <c r="AE72" s="1"/>
      <c r="AF72" s="23">
        <f>+[1]RADIO!AG37</f>
        <v>19.977659270640174</v>
      </c>
      <c r="AG72" s="24">
        <f>+[1]RADIO!AH37</f>
        <v>23.197071555131629</v>
      </c>
      <c r="AH72" s="25">
        <f>IF(AG72=0,"---",IF(OR(ABS((AF72-AG72)/ABS(AG72))&gt;2,(AF72*AG72)&lt;0),"---",IF(AG72="0","---",((AF72-AG72)/ABS(AG72))*100)))</f>
        <v>-13.878528920514796</v>
      </c>
      <c r="AK72" s="28"/>
      <c r="AM72" s="37"/>
      <c r="AN72" s="37"/>
      <c r="AO72" s="38"/>
      <c r="AQ72" s="37"/>
      <c r="AR72" s="37"/>
      <c r="AS72" s="38"/>
    </row>
    <row r="73" spans="4:45" s="14" customFormat="1" ht="15" customHeight="1">
      <c r="D73" s="27" t="str">
        <f>+IF($B$3="esp","Latam","Latam")</f>
        <v>Latam</v>
      </c>
      <c r="E73" s="1"/>
      <c r="F73" s="23">
        <f>+[1]GRUPO!AC73</f>
        <v>482.68498192047969</v>
      </c>
      <c r="G73" s="24">
        <f>+[1]GRUPO!AD73</f>
        <v>575.92012841692235</v>
      </c>
      <c r="H73" s="25">
        <f t="shared" si="14"/>
        <v>-16.188902227245567</v>
      </c>
      <c r="I73" s="1"/>
      <c r="J73" s="23">
        <f>+[1]GRUPO!AG73</f>
        <v>139.12489462745731</v>
      </c>
      <c r="K73" s="24">
        <f>+[1]GRUPO!AH73</f>
        <v>199.21670269441586</v>
      </c>
      <c r="L73" s="25">
        <f t="shared" si="15"/>
        <v>-30.164041094051775</v>
      </c>
      <c r="O73" s="27" t="str">
        <f>+IF($B$3="esp","Portugal","Portugal")</f>
        <v>Portugal</v>
      </c>
      <c r="P73" s="1"/>
      <c r="Q73" s="23">
        <f>+[1]SANTILLANA!AC43</f>
        <v>4.8347820000000015</v>
      </c>
      <c r="R73" s="24">
        <f>+[1]SANTILLANA!AD43</f>
        <v>4.2355729999999996</v>
      </c>
      <c r="S73" s="25">
        <f t="shared" si="16"/>
        <v>14.147058733257623</v>
      </c>
      <c r="T73" s="1"/>
      <c r="U73" s="23">
        <f>+[1]SANTILLANA!AG43</f>
        <v>0.4578280000000019</v>
      </c>
      <c r="V73" s="24">
        <f>+[1]SANTILLANA!AH43</f>
        <v>0.40237499999999926</v>
      </c>
      <c r="W73" s="25">
        <f t="shared" si="17"/>
        <v>13.781422802113138</v>
      </c>
      <c r="Z73" s="22" t="str">
        <f>+IF($B$3="esp","Ajustes y Otros","Adjustments &amp; others")</f>
        <v>Adjustments &amp; others</v>
      </c>
      <c r="AA73" s="1"/>
      <c r="AB73" s="23">
        <f>+AB70-AB71-AB72</f>
        <v>-3.6960515765888644</v>
      </c>
      <c r="AC73" s="24">
        <f>+AC70-AC71-AC72</f>
        <v>-3.9451482850710136</v>
      </c>
      <c r="AD73" s="25">
        <f>IF(AC73=0,"---",IF(OR(ABS((AB73-AC73)/ABS(AC73))&gt;2,(AB73*AC73)&lt;0),"---",IF(AC73="0","---",((AB73-AC73)/ABS(AC73))*100)))</f>
        <v>6.314001159975799</v>
      </c>
      <c r="AE73" s="1"/>
      <c r="AF73" s="23">
        <f>+AF70-AF71-AF72</f>
        <v>-0.89593286538865868</v>
      </c>
      <c r="AG73" s="24">
        <f>+AG70-AG71-AG72</f>
        <v>-0.96387356351172571</v>
      </c>
      <c r="AH73" s="25">
        <f>IF(AG73=0,"---",IF(OR(ABS((AF73-AG73)/ABS(AG73))&gt;2,(AF73*AG73)&lt;0),"---",IF(AG73="0","---",((AF73-AG73)/ABS(AG73))*100)))</f>
        <v>7.0487147583481278</v>
      </c>
      <c r="AK73" s="26"/>
      <c r="AM73" s="16"/>
      <c r="AN73" s="16"/>
      <c r="AO73" s="17"/>
      <c r="AQ73" s="16"/>
      <c r="AR73" s="16"/>
      <c r="AS73" s="17"/>
    </row>
    <row r="74" spans="4:45" ht="15" customHeight="1" thickBot="1">
      <c r="D74" s="27" t="str">
        <f>+IF($B$3="esp","Portugal","Portugal")</f>
        <v>Portugal</v>
      </c>
      <c r="F74" s="23">
        <f>+[1]GRUPO!AC74</f>
        <v>4.8347820000000015</v>
      </c>
      <c r="G74" s="24">
        <f>+[1]GRUPO!AD74</f>
        <v>3.8462809999999994</v>
      </c>
      <c r="H74" s="25">
        <f t="shared" si="14"/>
        <v>25.700176352169855</v>
      </c>
      <c r="J74" s="23">
        <f>+[1]GRUPO!AG74</f>
        <v>0.4578280000000019</v>
      </c>
      <c r="K74" s="24">
        <f>+[1]GRUPO!AH74</f>
        <v>1.3082999999999512E-2</v>
      </c>
      <c r="L74" s="25" t="str">
        <f t="shared" si="15"/>
        <v>---</v>
      </c>
      <c r="O74" s="22" t="str">
        <f>+IF($B$3="esp","Tecnología Educativa global y Centro Corpor.","Global Educational IT &amp; HQ")</f>
        <v>Global Educational IT &amp; HQ</v>
      </c>
      <c r="Q74" s="23">
        <f>+[1]SANTILLANA!AC44</f>
        <v>3.0733324400000011</v>
      </c>
      <c r="R74" s="24">
        <f>+[1]SANTILLANA!AD44</f>
        <v>2.7421376200000012</v>
      </c>
      <c r="S74" s="25">
        <f t="shared" si="16"/>
        <v>12.077979514390666</v>
      </c>
      <c r="U74" s="23">
        <f>+[1]SANTILLANA!AG44</f>
        <v>1.6360926400000009</v>
      </c>
      <c r="V74" s="24">
        <f>+[1]SANTILLANA!AH44</f>
        <v>1.1790526399999999</v>
      </c>
      <c r="W74" s="25">
        <f t="shared" si="17"/>
        <v>38.763324426295426</v>
      </c>
      <c r="Z74" s="14"/>
      <c r="AA74" s="14"/>
      <c r="AB74" s="15"/>
      <c r="AC74" s="16"/>
      <c r="AD74" s="17"/>
      <c r="AE74" s="14"/>
      <c r="AF74" s="15"/>
      <c r="AG74" s="16"/>
      <c r="AH74" s="17"/>
    </row>
    <row r="75" spans="4:45" ht="15" customHeight="1" thickTop="1">
      <c r="D75" s="14" t="str">
        <f>+IF($B$3="esp","EBITDA a tipo constante","EBITDA on constant currency")</f>
        <v>EBITDA on constant currency</v>
      </c>
      <c r="E75" s="14"/>
      <c r="F75" s="15">
        <f>+[1]GRUPO!AC75</f>
        <v>76.886795503130102</v>
      </c>
      <c r="G75" s="16">
        <f>+[1]GRUPO!AD75</f>
        <v>189.21329796910973</v>
      </c>
      <c r="H75" s="17">
        <f t="shared" si="14"/>
        <v>-59.365014865032187</v>
      </c>
      <c r="I75" s="14"/>
      <c r="J75" s="15">
        <f>+[1]GRUPO!AG75</f>
        <v>48.151972609252844</v>
      </c>
      <c r="K75" s="16">
        <f>+[1]GRUPO!AH75</f>
        <v>93.821412619947338</v>
      </c>
      <c r="L75" s="17">
        <f t="shared" si="15"/>
        <v>-48.676990396310373</v>
      </c>
      <c r="O75" s="14" t="str">
        <f>+IF($B$3="esp","EBITDA a tipo constante","EBITDA on constant currency")</f>
        <v>EBITDA on constant currency</v>
      </c>
      <c r="P75" s="14"/>
      <c r="Q75" s="15">
        <f>+[1]SANTILLANA!AC45</f>
        <v>91.678128907549862</v>
      </c>
      <c r="R75" s="16">
        <f>+[1]SANTILLANA!AD45</f>
        <v>122.24710532397957</v>
      </c>
      <c r="S75" s="17">
        <f t="shared" si="16"/>
        <v>-25.00588977989764</v>
      </c>
      <c r="T75" s="14"/>
      <c r="U75" s="15">
        <f>+[1]SANTILLANA!AG45</f>
        <v>33.42488719063568</v>
      </c>
      <c r="V75" s="16">
        <f>+[1]SANTILLANA!AH45</f>
        <v>62.890882147929979</v>
      </c>
      <c r="W75" s="17">
        <f t="shared" si="17"/>
        <v>-46.852570596776339</v>
      </c>
      <c r="Z75" s="14" t="str">
        <f>+IF($B$3="esp","EBITDA a tipo constante","EBITDA on constant currency")</f>
        <v>EBITDA on constant currency</v>
      </c>
      <c r="AA75" s="14"/>
      <c r="AB75" s="15">
        <f>+[1]RADIO!AC41</f>
        <v>4.0309467908503791</v>
      </c>
      <c r="AC75" s="52">
        <f>+[1]RADIO!AD41</f>
        <v>63.409364279398922</v>
      </c>
      <c r="AD75" s="34">
        <f>IF(AC75=0,"---",IF(OR(ABS((AB75-AC75)/ABS(AC75))&gt;2,(AB75*AC75)&lt;0),"---",IF(AC75="0","---",((AB75-AC75)/ABS(AC75))*100)))</f>
        <v>-93.642978704077635</v>
      </c>
      <c r="AE75" s="14"/>
      <c r="AF75" s="15">
        <f>+[1]RADIO!AG41</f>
        <v>11.243641000247749</v>
      </c>
      <c r="AG75" s="52">
        <f>+[1]RADIO!AH41</f>
        <v>21.586983293500218</v>
      </c>
      <c r="AH75" s="34">
        <f>IF(AG75=0,"---",IF(OR(ABS((AF75-AG75)/ABS(AG75))&gt;2,(AF75*AG75)&lt;0),"---",IF(AG75="0","---",((AF75-AG75)/ABS(AG75))*100)))</f>
        <v>-47.914718571940625</v>
      </c>
    </row>
    <row r="76" spans="4:45" s="14" customFormat="1" ht="15" customHeight="1">
      <c r="D76" s="22" t="str">
        <f>+IF($B$3="esp","España","Spain")</f>
        <v>Spain</v>
      </c>
      <c r="E76" s="1"/>
      <c r="F76" s="23">
        <f>+[1]GRUPO!AC76</f>
        <v>-28.037651517709506</v>
      </c>
      <c r="G76" s="24">
        <f>+[1]GRUPO!AD76</f>
        <v>23.317862303916087</v>
      </c>
      <c r="H76" s="25" t="str">
        <f t="shared" si="14"/>
        <v>---</v>
      </c>
      <c r="I76" s="1"/>
      <c r="J76" s="23">
        <f>+[1]GRUPO!AG76</f>
        <v>9.5414157222903597</v>
      </c>
      <c r="K76" s="24">
        <f>+[1]GRUPO!AH76</f>
        <v>16.249594263915526</v>
      </c>
      <c r="L76" s="25">
        <f t="shared" si="15"/>
        <v>-41.282129465359056</v>
      </c>
      <c r="O76" s="22" t="str">
        <f>+IF($B$3="esp","Negocio Internacional","International business")</f>
        <v>International business</v>
      </c>
      <c r="P76" s="1"/>
      <c r="Q76" s="23">
        <f>+[1]SANTILLANA!AC47</f>
        <v>109.82897569754986</v>
      </c>
      <c r="R76" s="24">
        <f>+[1]SANTILLANA!AD47</f>
        <v>145.26230418397958</v>
      </c>
      <c r="S76" s="25">
        <f t="shared" si="16"/>
        <v>-24.39265209613653</v>
      </c>
      <c r="T76" s="1"/>
      <c r="U76" s="23">
        <f>+[1]SANTILLANA!AG47</f>
        <v>34.937359340635666</v>
      </c>
      <c r="V76" s="24">
        <f>+[1]SANTILLANA!AH47</f>
        <v>69.935999247929985</v>
      </c>
      <c r="W76" s="25">
        <f t="shared" si="17"/>
        <v>-50.043811890383815</v>
      </c>
      <c r="Z76" s="22" t="str">
        <f>+IF($B$3="esp","España","Spain")</f>
        <v>Spain</v>
      </c>
      <c r="AA76" s="1"/>
      <c r="AB76" s="23">
        <f>+[1]RADIO!AC42</f>
        <v>6.2284462000000147</v>
      </c>
      <c r="AC76" s="24">
        <f>+[1]RADIO!AD42</f>
        <v>40.490389319999878</v>
      </c>
      <c r="AD76" s="25">
        <f>IF(AC76=0,"---",IF(OR(ABS((AB76-AC76)/ABS(AC76))&gt;2,(AB76*AC76)&lt;0),"---",IF(AC76="0","---",((AB76-AC76)/ABS(AC76))*100)))</f>
        <v>-84.617470208113005</v>
      </c>
      <c r="AE76" s="1"/>
      <c r="AF76" s="23">
        <f>+[1]RADIO!AG42</f>
        <v>7.7280540699999651</v>
      </c>
      <c r="AG76" s="24">
        <f>+[1]RADIO!AH42</f>
        <v>15.465924619999779</v>
      </c>
      <c r="AH76" s="25">
        <f>IF(AG76=0,"---",IF(OR(ABS((AF76-AG76)/ABS(AG76))&gt;2,(AF76*AG76)&lt;0),"---",IF(AG76="0","---",((AF76-AG76)/ABS(AG76))*100)))</f>
        <v>-50.031735832939319</v>
      </c>
      <c r="AI76" s="1"/>
    </row>
    <row r="77" spans="4:45" s="14" customFormat="1" ht="15" customHeight="1">
      <c r="D77" s="22" t="str">
        <f>+IF($B$3="esp","Internacional","International")</f>
        <v>International</v>
      </c>
      <c r="E77" s="1"/>
      <c r="F77" s="23">
        <f>+[1]GRUPO!AC77</f>
        <v>104.92444702083961</v>
      </c>
      <c r="G77" s="24">
        <f>+[1]GRUPO!AD77</f>
        <v>165.89543566519365</v>
      </c>
      <c r="H77" s="25">
        <f t="shared" si="14"/>
        <v>-36.75266194026235</v>
      </c>
      <c r="I77" s="1"/>
      <c r="J77" s="23">
        <f>+[1]GRUPO!AG77</f>
        <v>38.610556886962485</v>
      </c>
      <c r="K77" s="24">
        <f>+[1]GRUPO!AH77</f>
        <v>77.571818356031812</v>
      </c>
      <c r="L77" s="25">
        <f t="shared" si="15"/>
        <v>-50.226051541358238</v>
      </c>
      <c r="O77" s="27" t="str">
        <f>+IF($B$3="esp","Latam","Latam")</f>
        <v>Latam</v>
      </c>
      <c r="P77" s="1"/>
      <c r="Q77" s="23">
        <f>+[1]SANTILLANA!AC48</f>
        <v>107.19386669754986</v>
      </c>
      <c r="R77" s="24">
        <f>+[1]SANTILLANA!AD48</f>
        <v>142.82622018397959</v>
      </c>
      <c r="S77" s="25">
        <f t="shared" si="16"/>
        <v>-24.948047662768367</v>
      </c>
      <c r="T77" s="1"/>
      <c r="U77" s="23">
        <f>+[1]SANTILLANA!AG48</f>
        <v>34.984479340635673</v>
      </c>
      <c r="V77" s="24">
        <f>+[1]SANTILLANA!AH48</f>
        <v>69.88945424792999</v>
      </c>
      <c r="W77" s="25">
        <f t="shared" si="17"/>
        <v>-49.943121294766932</v>
      </c>
      <c r="Z77" s="22" t="str">
        <f>+IF($B$3="esp","Latam","Latam")</f>
        <v>Latam</v>
      </c>
      <c r="AA77" s="1"/>
      <c r="AB77" s="23">
        <f>+[1]RADIO!AC43</f>
        <v>-2.5169321791496411</v>
      </c>
      <c r="AC77" s="24">
        <f>+[1]RADIO!AD43</f>
        <v>23.157855339398651</v>
      </c>
      <c r="AD77" s="25" t="str">
        <f>IF(AC77=0,"---",IF(OR(ABS((AB77-AC77)/ABS(AC77))&gt;2,(AB77*AC77)&lt;0),"---",IF(AC77="0","---",((AB77-AC77)/ABS(AC77))*100)))</f>
        <v>---</v>
      </c>
      <c r="AE77" s="1"/>
      <c r="AF77" s="23">
        <f>+[1]RADIO!AG43</f>
        <v>3.5357665902477788</v>
      </c>
      <c r="AG77" s="24">
        <f>+[1]RADIO!AH43</f>
        <v>6.2265959234999499</v>
      </c>
      <c r="AH77" s="25">
        <f>IF(AG77=0,"---",IF(OR(ABS((AF77-AG77)/ABS(AG77))&gt;2,(AF77*AG77)&lt;0),"---",IF(AG77="0","---",((AF77-AG77)/ABS(AG77))*100)))</f>
        <v>-43.215094833705933</v>
      </c>
      <c r="AI77" s="1"/>
    </row>
    <row r="78" spans="4:45" ht="15" customHeight="1">
      <c r="D78" s="27" t="str">
        <f>+IF($B$3="esp","Latam","Latam")</f>
        <v>Latam</v>
      </c>
      <c r="F78" s="23">
        <f>+[1]GRUPO!AC78</f>
        <v>102.34548526083961</v>
      </c>
      <c r="G78" s="24">
        <f>+[1]GRUPO!AD78</f>
        <v>163.65477166519366</v>
      </c>
      <c r="H78" s="25">
        <f t="shared" si="14"/>
        <v>-37.462571839812355</v>
      </c>
      <c r="J78" s="23">
        <f>+[1]GRUPO!AG78</f>
        <v>38.618575836962485</v>
      </c>
      <c r="K78" s="24">
        <f>+[1]GRUPO!AH78</f>
        <v>77.720693356031845</v>
      </c>
      <c r="L78" s="25">
        <f t="shared" si="15"/>
        <v>-50.311076536522783</v>
      </c>
      <c r="O78" s="27" t="str">
        <f>+IF($B$3="esp","Portugal","Portugal")</f>
        <v>Portugal</v>
      </c>
      <c r="Q78" s="23">
        <f>+[1]SANTILLANA!AC49</f>
        <v>2.6351089999999981</v>
      </c>
      <c r="R78" s="24">
        <f>+[1]SANTILLANA!AD49</f>
        <v>2.4360839999999993</v>
      </c>
      <c r="S78" s="25">
        <f t="shared" si="16"/>
        <v>8.169874273629274</v>
      </c>
      <c r="U78" s="23">
        <f>+[1]SANTILLANA!AG49</f>
        <v>-4.7120000000002271E-2</v>
      </c>
      <c r="V78" s="24">
        <f>+[1]SANTILLANA!AH49</f>
        <v>4.654499999999917E-2</v>
      </c>
      <c r="W78" s="25" t="str">
        <f t="shared" si="17"/>
        <v>---</v>
      </c>
      <c r="Z78" s="22" t="str">
        <f>+IF($B$3="esp","Ajustes y Otros","Adjustments &amp; others")</f>
        <v>Adjustments &amp; others</v>
      </c>
      <c r="AB78" s="23">
        <f>+AB75-AB76-AB77</f>
        <v>0.31943277000000547</v>
      </c>
      <c r="AC78" s="24">
        <f>+AC75-AC76-AC77</f>
        <v>-0.23888037999960687</v>
      </c>
      <c r="AD78" s="25" t="str">
        <f>IF(AC78=0,"---",IF(OR(ABS((AB78-AC78)/ABS(AC78))&gt;2,(AB78*AC78)&lt;0),"---",IF(AC78="0","---",((AB78-AC78)/ABS(AC78))*100)))</f>
        <v>---</v>
      </c>
      <c r="AF78" s="23">
        <f>+AF75-AF76-AF77</f>
        <v>-2.017965999999527E-2</v>
      </c>
      <c r="AG78" s="24">
        <f>+AG75-AG76-AG77</f>
        <v>-0.10553724999951086</v>
      </c>
      <c r="AH78" s="25">
        <f>IF(AG78=0,"---",IF(OR(ABS((AF78-AG78)/ABS(AG78))&gt;2,(AF78*AG78)&lt;0),"---",IF(AG78="0","---",((AF78-AG78)/ABS(AG78))*100)))</f>
        <v>80.879111403709317</v>
      </c>
      <c r="AI78" s="29"/>
    </row>
    <row r="79" spans="4:45" s="14" customFormat="1" ht="15" customHeight="1">
      <c r="D79" s="27" t="str">
        <f>+IF($B$3="esp","Portugal","Portugal")</f>
        <v>Portugal</v>
      </c>
      <c r="E79" s="1"/>
      <c r="F79" s="23">
        <f>+[1]GRUPO!AC79</f>
        <v>2.5789617599999999</v>
      </c>
      <c r="G79" s="24">
        <f>+[1]GRUPO!AD79</f>
        <v>2.2406639999999993</v>
      </c>
      <c r="H79" s="25">
        <f t="shared" si="14"/>
        <v>15.098103062306558</v>
      </c>
      <c r="I79" s="1"/>
      <c r="J79" s="23">
        <f>+[1]GRUPO!AG79</f>
        <v>-8.0189500000100722E-3</v>
      </c>
      <c r="K79" s="24">
        <f>+[1]GRUPO!AH79</f>
        <v>-0.14887500000000076</v>
      </c>
      <c r="L79" s="25">
        <f t="shared" si="15"/>
        <v>94.613635600329118</v>
      </c>
      <c r="O79" s="22" t="str">
        <f>+IF($B$3="esp","Tecnología Educativa global y Centro Corpor.","Global Educational IT &amp; HQ")</f>
        <v>Global Educational IT &amp; HQ</v>
      </c>
      <c r="P79" s="1"/>
      <c r="Q79" s="23">
        <f>+[1]SANTILLANA!AC50</f>
        <v>-18.150846789999992</v>
      </c>
      <c r="R79" s="24">
        <f>+[1]SANTILLANA!AD50</f>
        <v>-23.015198860000002</v>
      </c>
      <c r="S79" s="25">
        <f t="shared" si="16"/>
        <v>21.135390137576284</v>
      </c>
      <c r="T79" s="1"/>
      <c r="U79" s="23">
        <f>+[1]SANTILLANA!AG50</f>
        <v>-1.51247214999999</v>
      </c>
      <c r="V79" s="24">
        <f>+[1]SANTILLANA!AH50</f>
        <v>-7.045117099999997</v>
      </c>
      <c r="W79" s="25">
        <f t="shared" si="17"/>
        <v>78.53162511663588</v>
      </c>
      <c r="Z79" s="28" t="str">
        <f>+IF($B$3="esp","Margen EBITDA","EBITDA Margin")</f>
        <v>EBITDA Margin</v>
      </c>
      <c r="AA79" s="29"/>
      <c r="AB79" s="36">
        <f>+AB75/AB70</f>
        <v>2.0776064538617394E-2</v>
      </c>
      <c r="AC79" s="37">
        <f>+AC75/AC70</f>
        <v>0.23158194725777623</v>
      </c>
      <c r="AD79" s="38"/>
      <c r="AE79" s="29"/>
      <c r="AF79" s="36">
        <f>+AF75/AF70</f>
        <v>0.16908516072847182</v>
      </c>
      <c r="AG79" s="37">
        <f>+AG75/AG70</f>
        <v>0.27876817419714167</v>
      </c>
      <c r="AH79" s="38"/>
    </row>
    <row r="80" spans="4:45" s="14" customFormat="1" ht="15" customHeight="1" thickBot="1">
      <c r="D80" s="28" t="str">
        <f>+IF($B$3="esp","Margen EBITDA","EBITDA Margin")</f>
        <v>EBITDA Margin</v>
      </c>
      <c r="E80" s="29"/>
      <c r="F80" s="36">
        <f>+F75/F70</f>
        <v>9.9484993307526567E-2</v>
      </c>
      <c r="G80" s="37">
        <f>+G60</f>
        <v>0.19609924496696948</v>
      </c>
      <c r="H80" s="38"/>
      <c r="I80" s="29"/>
      <c r="J80" s="36">
        <f>+J75/J70</f>
        <v>0.20559765651426498</v>
      </c>
      <c r="K80" s="37">
        <f>+K60</f>
        <v>0.29716019246714404</v>
      </c>
      <c r="L80" s="38"/>
      <c r="O80" s="28" t="str">
        <f>+IF($B$3="esp","Margen EBITDA","EBITDA Margin")</f>
        <v>EBITDA Margin</v>
      </c>
      <c r="P80" s="29"/>
      <c r="Q80" s="36">
        <f>+Q75/Q70</f>
        <v>0.21316713770715584</v>
      </c>
      <c r="R80" s="37">
        <f>+R75/R70</f>
        <v>0.24596862716381204</v>
      </c>
      <c r="S80" s="38"/>
      <c r="T80" s="29"/>
      <c r="U80" s="36">
        <f>+U75/U70</f>
        <v>0.2777084676971957</v>
      </c>
      <c r="V80" s="37">
        <f>+V75/V70</f>
        <v>0.34213929547116578</v>
      </c>
      <c r="W80" s="38"/>
      <c r="AB80" s="15"/>
      <c r="AC80" s="16"/>
      <c r="AD80" s="17"/>
      <c r="AF80" s="15"/>
      <c r="AG80" s="16"/>
      <c r="AH80" s="17"/>
      <c r="AI80" s="1"/>
    </row>
    <row r="81" spans="4:47" s="14" customFormat="1" ht="15" customHeight="1" thickTop="1">
      <c r="D81" s="14" t="str">
        <f>+IF($B$3="esp","EBIT a tipo constante","EBIT on constant currency")</f>
        <v>EBIT on constant currency</v>
      </c>
      <c r="F81" s="15">
        <f>+[1]GRUPO!AC81</f>
        <v>-7.6483720492358351</v>
      </c>
      <c r="G81" s="16">
        <f>+[1]GRUPO!AD81</f>
        <v>104.46557085041245</v>
      </c>
      <c r="H81" s="17" t="str">
        <f>IF(G81=0,"---",IF(OR(ABS((F81-G81)/ABS(G81))&gt;2,(F81*G81)&lt;0),"---",IF(G81="0","---",((F81-G81)/ABS(G81))*100)))</f>
        <v>---</v>
      </c>
      <c r="J81" s="15">
        <f>+[1]GRUPO!AG81</f>
        <v>25.631749452425975</v>
      </c>
      <c r="K81" s="16">
        <f>+[1]GRUPO!AH81</f>
        <v>64.711147706025969</v>
      </c>
      <c r="L81" s="17">
        <f>IF(K81=0,"---",IF(OR(ABS((J81-K81)/ABS(K81))&gt;2,(J81*K81)&lt;0),"---",IF(K81="0","---",((J81-K81)/ABS(K81))*100)))</f>
        <v>-60.390519468349467</v>
      </c>
      <c r="O81" s="14" t="str">
        <f>+IF($B$3="esp","EBIT a tipo constante","EBIT on constant currency")</f>
        <v>EBIT on constant currency</v>
      </c>
      <c r="Q81" s="15">
        <f>+[1]SANTILLANA!AC52</f>
        <v>41.433765987939339</v>
      </c>
      <c r="R81" s="16">
        <f>+[1]SANTILLANA!AD52</f>
        <v>70.765796266211424</v>
      </c>
      <c r="S81" s="17">
        <f t="shared" ref="S81" si="18">IF(R81=0,"---",IF(OR(ABS((Q81-R81)/ABS(R81))&gt;2,(Q81*R81)&lt;0),"---",IF(R81="0","---",((Q81-R81)/ABS(R81))*100)))</f>
        <v>-41.449445672778026</v>
      </c>
      <c r="U81" s="15">
        <f>+[1]SANTILLANA!AG52</f>
        <v>17.966208982781282</v>
      </c>
      <c r="V81" s="16">
        <f>+[1]SANTILLANA!AH52</f>
        <v>45.252562350910821</v>
      </c>
      <c r="W81" s="17">
        <f t="shared" ref="W81" si="19">IF(V81=0,"---",IF(OR(ABS((U81-V81)/ABS(V81))&gt;2,(U81*V81)&lt;0),"---",IF(V81="0","---",((U81-V81)/ABS(V81))*100)))</f>
        <v>-60.297918947744037</v>
      </c>
      <c r="Z81" s="14" t="str">
        <f>+IF($B$3="esp","EBIT a tipo constante","EBIT on constant currency")</f>
        <v>EBIT on constant currency</v>
      </c>
      <c r="AB81" s="15">
        <f>+[1]RADIO!AC48</f>
        <v>-36.672345196390644</v>
      </c>
      <c r="AC81" s="52">
        <f>+[1]RADIO!AD48</f>
        <v>43.217564870825278</v>
      </c>
      <c r="AD81" s="34" t="str">
        <f>IF(AC81=0,"---",IF(OR(ABS((AB81-AC81)/ABS(AC81))&gt;2,(AB81*AC81)&lt;0),"---",IF(AC81="0","---",((AB81-AC81)/ABS(AC81))*100)))</f>
        <v>---</v>
      </c>
      <c r="AF81" s="15">
        <f>+[1]RADIO!AG48</f>
        <v>6.5796088054612554</v>
      </c>
      <c r="AG81" s="52">
        <f>+[1]RADIO!AH48</f>
        <v>14.852187763209677</v>
      </c>
      <c r="AH81" s="34">
        <f>IF(AG81=0,"---",IF(OR(ABS((AF81-AG81)/ABS(AG81))&gt;2,(AF81*AG81)&lt;0),"---",IF(AG81="0","---",((AF81-AG81)/ABS(AG81))*100)))</f>
        <v>-55.699396544396038</v>
      </c>
    </row>
    <row r="82" spans="4:47">
      <c r="D82" s="22" t="str">
        <f>+IF($B$3="esp","España","Spain")</f>
        <v>Spain</v>
      </c>
      <c r="F82" s="23">
        <f>+[1]GRUPO!AC82</f>
        <v>-57.179625064278937</v>
      </c>
      <c r="G82" s="24">
        <f>+[1]GRUPO!AD82</f>
        <v>-7.7729717699583034</v>
      </c>
      <c r="H82" s="25" t="str">
        <f>IF(G82=0,"---",IF(OR(ABS((F82-G82)/ABS(G82))&gt;2,(F82*G82)&lt;0),"---",IF(G82="0","---",((F82-G82)/ABS(G82))*100)))</f>
        <v>---</v>
      </c>
      <c r="J82" s="23">
        <f>+[1]GRUPO!AG82</f>
        <v>2.8527253015518568</v>
      </c>
      <c r="K82" s="24">
        <f>+[1]GRUPO!AH82</f>
        <v>5.7272057624691541</v>
      </c>
      <c r="L82" s="25">
        <f>IF(K82=0,"---",IF(OR(ABS((J82-K82)/ABS(K82))&gt;2,(J82*K82)&lt;0),"---",IF(K82="0","---",((J82-K82)/ABS(K82))*100)))</f>
        <v>-50.18992821515166</v>
      </c>
      <c r="O82" s="22" t="str">
        <f>+IF($B$3="esp","Negocio Internacional","International business")</f>
        <v>International business</v>
      </c>
      <c r="Q82" s="23">
        <f>+[1]SANTILLANA!AC54</f>
        <v>64.612138030084267</v>
      </c>
      <c r="R82" s="24">
        <f>+[1]SANTILLANA!AD54</f>
        <v>99.212137891014038</v>
      </c>
      <c r="S82" s="25">
        <f>IF(R82=0,"---",IF(OR(ABS((Q82-R82)/ABS(R82))&gt;2,(Q82*R82)&lt;0),"---",IF(R82="0","---",((Q82-R82)/ABS(R82))*100)))</f>
        <v>-34.874764919327077</v>
      </c>
      <c r="U82" s="23">
        <f>+[1]SANTILLANA!AG54</f>
        <v>21.110727169095071</v>
      </c>
      <c r="V82" s="24">
        <f>+[1]SANTILLANA!AH54</f>
        <v>53.762752743285546</v>
      </c>
      <c r="W82" s="25">
        <f>IF(V82=0,"---",IF(OR(ABS((U82-V82)/ABS(V82))&gt;2,(U82*V82)&lt;0),"---",IF(V82="0","---",((U82-V82)/ABS(V82))*100)))</f>
        <v>-60.733544895110306</v>
      </c>
      <c r="Z82" s="22" t="str">
        <f>+IF($B$3="esp","España","Spain")</f>
        <v>Spain</v>
      </c>
      <c r="AB82" s="23">
        <f>+[1]RADIO!AC49</f>
        <v>-5.2802538199999836</v>
      </c>
      <c r="AC82" s="24">
        <f>+[1]RADIO!AD49</f>
        <v>29.274194779999974</v>
      </c>
      <c r="AD82" s="25" t="str">
        <f>IF(AC82=0,"---",IF(OR(ABS((AB82-AC82)/ABS(AC82))&gt;2,(AB82*AC82)&lt;0),"---",IF(AC82="0","---",((AB82-AC82)/ABS(AC82))*100)))</f>
        <v>---</v>
      </c>
      <c r="AF82" s="23">
        <f>+[1]RADIO!AG49</f>
        <v>5.0020293100000339</v>
      </c>
      <c r="AG82" s="24">
        <f>+[1]RADIO!AH49</f>
        <v>12.706073749999874</v>
      </c>
      <c r="AH82" s="25">
        <f>IF(AG82=0,"---",IF(OR(ABS((AF82-AG82)/ABS(AG82))&gt;2,(AF82*AG82)&lt;0),"---",IF(AG82="0","---",((AF82-AG82)/ABS(AG82))*100)))</f>
        <v>-60.632769741320892</v>
      </c>
      <c r="AI82" s="14"/>
    </row>
    <row r="83" spans="4:47">
      <c r="D83" s="22" t="str">
        <f>+IF($B$3="esp","Internacional","International")</f>
        <v>International</v>
      </c>
      <c r="F83" s="23">
        <f>+[1]GRUPO!AC83</f>
        <v>49.531253015043106</v>
      </c>
      <c r="G83" s="24">
        <f>+[1]GRUPO!AD83</f>
        <v>112.23854262037075</v>
      </c>
      <c r="H83" s="25">
        <f>IF(G83=0,"---",IF(OR(ABS((F83-G83)/ABS(G83))&gt;2,(F83*G83)&lt;0),"---",IF(G83="0","---",((F83-G83)/ABS(G83))*100)))</f>
        <v>-55.869657731947932</v>
      </c>
      <c r="J83" s="23">
        <f>+[1]GRUPO!AG83</f>
        <v>22.779024150874118</v>
      </c>
      <c r="K83" s="24">
        <f>+[1]GRUPO!AH83</f>
        <v>58.983941943556822</v>
      </c>
      <c r="L83" s="25">
        <f>IF(K83=0,"---",IF(OR(ABS((J83-K83)/ABS(K83))&gt;2,(J83*K83)&lt;0),"---",IF(K83="0","---",((J83-K83)/ABS(K83))*100)))</f>
        <v>-61.380973532301518</v>
      </c>
      <c r="O83" s="27" t="str">
        <f>+IF($B$3="esp","Latam","Latam")</f>
        <v>Latam</v>
      </c>
      <c r="Q83" s="23">
        <f>+[1]SANTILLANA!AC55</f>
        <v>62.097080030084271</v>
      </c>
      <c r="R83" s="24">
        <f>+[1]SANTILLANA!AD55</f>
        <v>96.839841891014032</v>
      </c>
      <c r="S83" s="25">
        <f>IF(R83=0,"---",IF(OR(ABS((Q83-R83)/ABS(R83))&gt;2,(Q83*R83)&lt;0),"---",IF(R83="0","---",((Q83-R83)/ABS(R83))*100)))</f>
        <v>-35.876516506532639</v>
      </c>
      <c r="U83" s="23">
        <f>+[1]SANTILLANA!AG55</f>
        <v>21.148368169095079</v>
      </c>
      <c r="V83" s="24">
        <f>+[1]SANTILLANA!AH55</f>
        <v>53.725985743285541</v>
      </c>
      <c r="W83" s="25">
        <f>IF(V83=0,"---",IF(OR(ABS((U83-V83)/ABS(V83))&gt;2,(U83*V83)&lt;0),"---",IF(V83="0","---",((U83-V83)/ABS(V83))*100)))</f>
        <v>-60.636612103970343</v>
      </c>
      <c r="Z83" s="22" t="str">
        <f>+IF($B$3="esp","Latam","Latam")</f>
        <v>Latam</v>
      </c>
      <c r="AB83" s="23">
        <f>+[1]RADIO!AC50</f>
        <v>-28.153524146390755</v>
      </c>
      <c r="AC83" s="24">
        <f>+[1]RADIO!AD50</f>
        <v>14.182250470825108</v>
      </c>
      <c r="AD83" s="25" t="str">
        <f>IF(AC83=0,"---",IF(OR(ABS((AB83-AC83)/ABS(AC83))&gt;2,(AB83*AC83)&lt;0),"---",IF(AC83="0","---",((AB83-AC83)/ABS(AC83))*100)))</f>
        <v>---</v>
      </c>
      <c r="AF83" s="23">
        <f>+[1]RADIO!AG50</f>
        <v>1.5977591554610449</v>
      </c>
      <c r="AG83" s="24">
        <f>+[1]RADIO!AH50</f>
        <v>2.2516512632098085</v>
      </c>
      <c r="AH83" s="25">
        <f>IF(AG83=0,"---",IF(OR(ABS((AF83-AG83)/ABS(AG83))&gt;2,(AF83*AG83)&lt;0),"---",IF(AG83="0","---",((AF83-AG83)/ABS(AG83))*100)))</f>
        <v>-29.040558741615136</v>
      </c>
      <c r="AI83" s="14"/>
    </row>
    <row r="84" spans="4:47">
      <c r="D84" s="27" t="str">
        <f>+IF($B$3="esp","Latam","Latam")</f>
        <v>Latam</v>
      </c>
      <c r="F84" s="23">
        <f>+[1]GRUPO!AC84</f>
        <v>47.072342255043111</v>
      </c>
      <c r="G84" s="24">
        <f>+[1]GRUPO!AD84</f>
        <v>110.05489962037075</v>
      </c>
      <c r="H84" s="25">
        <f>IF(G84=0,"---",IF(OR(ABS((F84-G84)/ABS(G84))&gt;2,(F84*G84)&lt;0),"---",IF(G84="0","---",((F84-G84)/ABS(G84))*100)))</f>
        <v>-57.228308401155267</v>
      </c>
      <c r="J84" s="23">
        <f>+[1]GRUPO!AG84</f>
        <v>22.777564100874134</v>
      </c>
      <c r="K84" s="24">
        <f>+[1]GRUPO!AH84</f>
        <v>59.135827943556826</v>
      </c>
      <c r="L84" s="25">
        <f>IF(K84=0,"---",IF(OR(ABS((J84-K84)/ABS(K84))&gt;2,(J84*K84)&lt;0),"---",IF(K84="0","---",((J84-K84)/ABS(K84))*100)))</f>
        <v>-61.482632622283461</v>
      </c>
      <c r="O84" s="27" t="str">
        <f>+IF($B$3="esp","Portugal","Portugal")</f>
        <v>Portugal</v>
      </c>
      <c r="Q84" s="23">
        <f>+[1]SANTILLANA!AC56</f>
        <v>2.5150579999999985</v>
      </c>
      <c r="R84" s="24">
        <f>+[1]SANTILLANA!AD56</f>
        <v>2.3722959999999991</v>
      </c>
      <c r="S84" s="25">
        <f>IF(R84=0,"---",IF(OR(ABS((Q84-R84)/ABS(R84))&gt;2,(Q84*R84)&lt;0),"---",IF(R84="0","---",((Q84-R84)/ABS(R84))*100)))</f>
        <v>6.0178830972188733</v>
      </c>
      <c r="U84" s="23">
        <f>+[1]SANTILLANA!AG56</f>
        <v>-3.7641000000002034E-2</v>
      </c>
      <c r="V84" s="24">
        <f>+[1]SANTILLANA!AH56</f>
        <v>3.676699999999844E-2</v>
      </c>
      <c r="W84" s="25" t="str">
        <f>IF(V84=0,"---",IF(OR(ABS((U84-V84)/ABS(V84))&gt;2,(U84*V84)&lt;0),"---",IF(V84="0","---",((U84-V84)/ABS(V84))*100)))</f>
        <v>---</v>
      </c>
      <c r="Z84" s="22" t="str">
        <f>+IF($B$3="esp","Ajustes y Otros","Adjustments &amp; others")</f>
        <v>Adjustments &amp; others</v>
      </c>
      <c r="AB84" s="23">
        <f>+AB81-AB82-AB83</f>
        <v>-3.2385672299999051</v>
      </c>
      <c r="AC84" s="24">
        <f>+AC81-AC82-AC83</f>
        <v>-0.23888037999980405</v>
      </c>
      <c r="AD84" s="25" t="str">
        <f>IF(AC84=0,"---",IF(OR(ABS((AB84-AC84)/ABS(AC84))&gt;2,(AB84*AC84)&lt;0),"---",IF(AC84="0","---",((AB84-AC84)/ABS(AC84))*100)))</f>
        <v>---</v>
      </c>
      <c r="AF84" s="23">
        <f>+AF81-AF82-AF83</f>
        <v>-2.0179659999823407E-2</v>
      </c>
      <c r="AG84" s="24">
        <f>+AG81-AG82-AG83</f>
        <v>-0.10553725000000469</v>
      </c>
      <c r="AH84" s="25">
        <f>IF(AG84=0,"---",IF(OR(ABS((AF84-AG84)/ABS(AG84))&gt;2,(AF84*AG84)&lt;0),"---",IF(AG84="0","---",((AF84-AG84)/ABS(AG84))*100)))</f>
        <v>80.879111403961616</v>
      </c>
      <c r="AI84" s="14"/>
    </row>
    <row r="85" spans="4:47">
      <c r="D85" s="27" t="str">
        <f>+IF($B$3="esp","Portugal","Portugal")</f>
        <v>Portugal</v>
      </c>
      <c r="F85" s="23">
        <f>+[1]GRUPO!AC85</f>
        <v>2.4589107600000002</v>
      </c>
      <c r="G85" s="24">
        <f>+[1]GRUPO!AD85</f>
        <v>2.1836429999999991</v>
      </c>
      <c r="H85" s="25">
        <f>IF(G85=0,"---",IF(OR(ABS((F85-G85)/ABS(G85))&gt;2,(F85*G85)&lt;0),"---",IF(G85="0","---",((F85-G85)/ABS(G85))*100)))</f>
        <v>12.60589574394721</v>
      </c>
      <c r="J85" s="23">
        <f>+[1]GRUPO!AG85</f>
        <v>1.460049999990165E-3</v>
      </c>
      <c r="K85" s="24">
        <f>+[1]GRUPO!AH85</f>
        <v>-0.15188600000000108</v>
      </c>
      <c r="L85" s="25" t="str">
        <f>IF(K85=0,"---",IF(OR(ABS((J85-K85)/ABS(K85))&gt;2,(J85*K85)&lt;0),"---",IF(K85="0","---",((J85-K85)/ABS(K85))*100)))</f>
        <v>---</v>
      </c>
      <c r="O85" s="22" t="str">
        <f>+IF($B$3="esp","Tecnología Educativa global y Centro Corpor.","Global Educational IT &amp; HQ")</f>
        <v>Global Educational IT &amp; HQ</v>
      </c>
      <c r="Q85" s="23">
        <f>+[1]SANTILLANA!AC57</f>
        <v>-23.178372042144925</v>
      </c>
      <c r="R85" s="24">
        <f>+[1]SANTILLANA!AD57</f>
        <v>-28.446341624802606</v>
      </c>
      <c r="S85" s="25">
        <f>IF(R85=0,"---",IF(OR(ABS((Q85-R85)/ABS(R85))&gt;2,(Q85*R85)&lt;0),"---",IF(R85="0","---",((Q85-R85)/ABS(R85))*100)))</f>
        <v>18.518970390429725</v>
      </c>
      <c r="U85" s="23">
        <f>+[1]SANTILLANA!AG57</f>
        <v>-3.1445181863137854</v>
      </c>
      <c r="V85" s="24">
        <f>+[1]SANTILLANA!AH57</f>
        <v>-8.5101903923747209</v>
      </c>
      <c r="W85" s="25">
        <f>IF(V85=0,"---",IF(OR(ABS((U85-V85)/ABS(V85))&gt;2,(U85*V85)&lt;0),"---",IF(V85="0","---",((U85-V85)/ABS(V85))*100)))</f>
        <v>63.049966671352863</v>
      </c>
      <c r="Z85" s="28" t="str">
        <f>+IF($B$3="esp","Margen EBIT","EBIT Margin")</f>
        <v>EBIT Margin</v>
      </c>
      <c r="AA85" s="29"/>
      <c r="AB85" s="36">
        <f>+AB81/AB70</f>
        <v>-0.18901440532831587</v>
      </c>
      <c r="AC85" s="37">
        <f>+AC81/AC70</f>
        <v>0.15783800929505004</v>
      </c>
      <c r="AD85" s="38"/>
      <c r="AE85" s="29"/>
      <c r="AF85" s="36">
        <f>+AF81/AF70</f>
        <v>9.8946080933869293E-2</v>
      </c>
      <c r="AG85" s="37">
        <f>+AG81/AG70</f>
        <v>0.19179693657472416</v>
      </c>
      <c r="AH85" s="38"/>
      <c r="AI85" s="14"/>
    </row>
    <row r="86" spans="4:47">
      <c r="D86" s="45" t="str">
        <f>+IF($B$3="esp","Margen EBIT","EBIT Margin")</f>
        <v>EBIT Margin</v>
      </c>
      <c r="E86" s="29"/>
      <c r="F86" s="46">
        <f>+F81/F70</f>
        <v>-9.8963448424732921E-3</v>
      </c>
      <c r="G86" s="47">
        <f>+G66</f>
        <v>0.10826733527023953</v>
      </c>
      <c r="H86" s="48"/>
      <c r="I86" s="29"/>
      <c r="J86" s="46">
        <f>+J81/J70</f>
        <v>0.10944157288307914</v>
      </c>
      <c r="K86" s="47">
        <f>+K66</f>
        <v>0.20495936450016813</v>
      </c>
      <c r="L86" s="48"/>
      <c r="O86" s="45" t="str">
        <f>+IF($B$3="esp","Margen EBIT","EBIT Margin")</f>
        <v>EBIT Margin</v>
      </c>
      <c r="P86" s="29"/>
      <c r="Q86" s="46">
        <f>+Q81/Q70</f>
        <v>9.6340505694480605E-2</v>
      </c>
      <c r="R86" s="47">
        <f>+R81/R70</f>
        <v>0.14238509543129205</v>
      </c>
      <c r="S86" s="48"/>
      <c r="T86" s="29"/>
      <c r="U86" s="46">
        <f>+U81/U70</f>
        <v>0.1492710607661708</v>
      </c>
      <c r="V86" s="47">
        <f>+V81/V70</f>
        <v>0.24618321881044303</v>
      </c>
      <c r="W86" s="48"/>
      <c r="Z86" s="53"/>
      <c r="AA86" s="14"/>
      <c r="AB86" s="54"/>
      <c r="AC86" s="55"/>
      <c r="AD86" s="56"/>
      <c r="AE86" s="14"/>
      <c r="AF86" s="54"/>
      <c r="AG86" s="55"/>
      <c r="AH86" s="56"/>
      <c r="AI86" s="14"/>
    </row>
    <row r="87" spans="4:47">
      <c r="AI87" s="14"/>
    </row>
    <row r="88" spans="4:47">
      <c r="AI88" s="14"/>
    </row>
    <row r="89" spans="4:47">
      <c r="AI89" s="14"/>
    </row>
    <row r="90" spans="4:47">
      <c r="Z90" s="14"/>
      <c r="AA90" s="14"/>
      <c r="AB90" s="14"/>
      <c r="AC90" s="14"/>
      <c r="AD90" s="14"/>
      <c r="AE90" s="14"/>
      <c r="AF90" s="14"/>
      <c r="AG90" s="14"/>
      <c r="AH90" s="14"/>
      <c r="AI90" s="14"/>
    </row>
    <row r="91" spans="4:47">
      <c r="Z91" s="14"/>
      <c r="AA91" s="14"/>
      <c r="AB91" s="14"/>
      <c r="AC91" s="14"/>
      <c r="AD91" s="14"/>
      <c r="AE91" s="14"/>
      <c r="AF91" s="14"/>
      <c r="AG91" s="14"/>
      <c r="AH91" s="14"/>
      <c r="AI91" s="14"/>
    </row>
    <row r="92" spans="4:47"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  <c r="W92" s="57"/>
      <c r="X92" s="57"/>
      <c r="Y92" s="57"/>
      <c r="Z92" s="57"/>
      <c r="AA92" s="57"/>
      <c r="AB92" s="57"/>
      <c r="AC92" s="57"/>
      <c r="AD92" s="57"/>
      <c r="AE92" s="57"/>
      <c r="AF92" s="57"/>
      <c r="AG92" s="57"/>
      <c r="AH92" s="57"/>
      <c r="AI92" s="57"/>
      <c r="AJ92" s="57"/>
      <c r="AK92" s="57"/>
      <c r="AL92" s="57"/>
      <c r="AM92" s="57"/>
      <c r="AN92" s="57"/>
      <c r="AO92" s="57"/>
      <c r="AP92" s="57"/>
      <c r="AQ92" s="57"/>
      <c r="AR92" s="57"/>
      <c r="AS92" s="57"/>
      <c r="AT92" s="57"/>
      <c r="AU92" s="57"/>
    </row>
    <row r="93" spans="4:47">
      <c r="Z93" s="14"/>
      <c r="AA93" s="14"/>
      <c r="AB93" s="14"/>
      <c r="AC93" s="14"/>
      <c r="AD93" s="14"/>
      <c r="AE93" s="14"/>
      <c r="AF93" s="14"/>
      <c r="AG93" s="14"/>
      <c r="AH93" s="14"/>
      <c r="AI93" s="14"/>
    </row>
    <row r="95" spans="4:47">
      <c r="F95" s="51"/>
      <c r="G95" s="51"/>
      <c r="J95" s="51"/>
      <c r="K95" s="51"/>
    </row>
    <row r="96" spans="4:47">
      <c r="F96" s="7" t="str">
        <f>+F6</f>
        <v>JANUARY - DECEMBER</v>
      </c>
      <c r="G96" s="8"/>
      <c r="H96" s="8"/>
      <c r="J96" s="7" t="str">
        <f>+J6</f>
        <v>OCTOBER - DECEMBER</v>
      </c>
      <c r="K96" s="8"/>
      <c r="L96" s="8"/>
      <c r="M96" s="14"/>
      <c r="O96" s="9"/>
      <c r="Q96" s="49"/>
      <c r="R96" s="49"/>
      <c r="S96" s="49"/>
      <c r="U96" s="49"/>
      <c r="V96" s="49"/>
      <c r="W96" s="49"/>
      <c r="Z96" s="9"/>
      <c r="AB96" s="49"/>
      <c r="AC96" s="49"/>
      <c r="AD96" s="49"/>
      <c r="AF96" s="49"/>
      <c r="AG96" s="49"/>
      <c r="AH96" s="49"/>
      <c r="AK96" s="9"/>
      <c r="AM96" s="49"/>
      <c r="AN96" s="49"/>
      <c r="AO96" s="49"/>
      <c r="AQ96" s="49"/>
      <c r="AR96" s="49"/>
      <c r="AS96" s="49"/>
    </row>
    <row r="97" spans="4:47" ht="15.75" customHeight="1">
      <c r="O97" s="50"/>
      <c r="Z97" s="50"/>
      <c r="AK97" s="50"/>
    </row>
    <row r="98" spans="4:47" s="14" customFormat="1" ht="15" customHeight="1">
      <c r="D98" s="9" t="str">
        <f>+IF($B$3="esp","Millones de €","€ Millions")</f>
        <v>€ Millions</v>
      </c>
      <c r="E98" s="1"/>
      <c r="F98" s="10">
        <v>2020</v>
      </c>
      <c r="G98" s="10">
        <v>2019</v>
      </c>
      <c r="H98" s="10" t="str">
        <f>+IF($B$3="esp","Var.%","% Chg.")</f>
        <v>% Chg.</v>
      </c>
      <c r="I98" s="1"/>
      <c r="J98" s="10">
        <v>2020</v>
      </c>
      <c r="K98" s="10">
        <v>2019</v>
      </c>
      <c r="L98" s="10" t="str">
        <f>+IF($B$3="esp","Var.%","% Chg.")</f>
        <v>% Chg.</v>
      </c>
      <c r="M98" s="1"/>
      <c r="Q98" s="16"/>
      <c r="R98" s="16"/>
      <c r="S98" s="17"/>
      <c r="U98" s="16"/>
      <c r="V98" s="16"/>
      <c r="W98" s="17"/>
      <c r="AB98" s="16"/>
      <c r="AC98" s="16"/>
      <c r="AD98" s="17"/>
      <c r="AF98" s="16"/>
      <c r="AG98" s="16"/>
      <c r="AH98" s="17"/>
      <c r="AM98" s="16"/>
      <c r="AN98" s="16"/>
      <c r="AO98" s="17"/>
      <c r="AQ98" s="16"/>
      <c r="AR98" s="16"/>
      <c r="AS98" s="17"/>
    </row>
    <row r="99" spans="4:47" ht="15" customHeight="1">
      <c r="D99" s="11" t="str">
        <f>+IF($B$3="esp","Efecto Sentencia Mediapro","Mediapro sentence")</f>
        <v>Mediapro sentence</v>
      </c>
      <c r="F99" s="13"/>
      <c r="G99" s="13"/>
      <c r="H99" s="13"/>
      <c r="J99" s="13"/>
      <c r="K99" s="13"/>
      <c r="L99" s="13"/>
      <c r="O99" s="22"/>
      <c r="Q99" s="24"/>
      <c r="R99" s="24"/>
      <c r="S99" s="25"/>
      <c r="U99" s="24"/>
      <c r="V99" s="24"/>
      <c r="W99" s="25"/>
      <c r="Z99" s="22"/>
      <c r="AB99" s="24"/>
      <c r="AC99" s="24"/>
      <c r="AD99" s="25"/>
      <c r="AF99" s="24"/>
      <c r="AG99" s="24"/>
      <c r="AH99" s="25"/>
      <c r="AK99" s="22"/>
      <c r="AM99" s="24"/>
      <c r="AN99" s="24"/>
      <c r="AO99" s="25"/>
      <c r="AQ99" s="24"/>
      <c r="AR99" s="24"/>
      <c r="AS99" s="25"/>
    </row>
    <row r="100" spans="4:47" ht="15" customHeight="1">
      <c r="D100" s="14" t="str">
        <f>+IF($B$3="esp","Efecto en Gastos","Effect in Expenses")</f>
        <v>Effect in Expenses</v>
      </c>
      <c r="E100" s="14"/>
      <c r="F100" s="15">
        <f>SUM(F101:F108)</f>
        <v>0</v>
      </c>
      <c r="G100" s="16">
        <f>SUM(G101:G108)</f>
        <v>51.035825500000001</v>
      </c>
      <c r="H100" s="17">
        <f>IF(G100=0,"---",IF(OR(ABS((F100-G100)/ABS(G100))&gt;2,(F100*G100)&lt;0),"---",IF(G100="0","---",((F100-G100)/ABS(G100))*100)))</f>
        <v>-100</v>
      </c>
      <c r="I100" s="14"/>
      <c r="J100" s="15">
        <f>SUM(J101:J108)</f>
        <v>0</v>
      </c>
      <c r="K100" s="16">
        <f>SUM(K101:K108)</f>
        <v>0</v>
      </c>
      <c r="L100" s="17" t="str">
        <f>IF(K100=0,"---",IF(OR(ABS((J100-K100)/ABS(K100))&gt;2,(J100*K100)&lt;0),"---",IF(K100="0","---",((J100-K100)/ABS(K100))*100)))</f>
        <v>---</v>
      </c>
      <c r="O100" s="22"/>
      <c r="Q100" s="24"/>
      <c r="R100" s="24"/>
      <c r="S100" s="25"/>
      <c r="U100" s="24"/>
      <c r="V100" s="24"/>
      <c r="W100" s="25"/>
      <c r="Z100" s="22"/>
      <c r="AB100" s="24"/>
      <c r="AC100" s="24"/>
      <c r="AD100" s="25"/>
      <c r="AF100" s="24"/>
      <c r="AG100" s="24"/>
      <c r="AH100" s="25"/>
      <c r="AK100" s="22"/>
      <c r="AM100" s="24"/>
      <c r="AN100" s="24"/>
      <c r="AO100" s="25"/>
      <c r="AQ100" s="24"/>
      <c r="AR100" s="24"/>
      <c r="AS100" s="25"/>
    </row>
    <row r="101" spans="4:47" ht="15" customHeight="1">
      <c r="D101" s="22" t="str">
        <f>+IF($A$1="esp","Sentencia Mediapro","Mediapro Rulling")</f>
        <v>Mediapro Rulling</v>
      </c>
      <c r="F101" s="23"/>
      <c r="G101" s="24">
        <f>+[1]GRUPO!AD102</f>
        <v>51.035825500000001</v>
      </c>
      <c r="H101" s="25">
        <f>IF(G101=0,"---",IF(OR(ABS((F101-G101)/ABS(G101))&gt;2,(F101*G101)&lt;0),"---",IF(G101="0","---",((F101-G101)/ABS(G101))*100)))</f>
        <v>-100</v>
      </c>
      <c r="J101" s="23"/>
      <c r="K101" s="24">
        <f>+[1]GRUPO!AH102</f>
        <v>0</v>
      </c>
      <c r="L101" s="25" t="str">
        <f>IF(K101=0,"---",IF(OR(ABS((J101-K101)/ABS(K101))&gt;2,(J101*K101)&lt;0),"---",IF(K101="0","---",((J101-K101)/ABS(K101))*100)))</f>
        <v>---</v>
      </c>
      <c r="O101" s="22"/>
      <c r="Q101" s="24"/>
      <c r="R101" s="24"/>
      <c r="S101" s="25"/>
      <c r="U101" s="24"/>
      <c r="V101" s="24"/>
      <c r="W101" s="25"/>
      <c r="Z101" s="22"/>
      <c r="AB101" s="24"/>
      <c r="AC101" s="24"/>
      <c r="AD101" s="25"/>
      <c r="AF101" s="24"/>
      <c r="AG101" s="24"/>
      <c r="AH101" s="25"/>
      <c r="AK101" s="22"/>
      <c r="AM101" s="24"/>
      <c r="AN101" s="24"/>
      <c r="AO101" s="25"/>
      <c r="AQ101" s="24"/>
      <c r="AR101" s="24"/>
      <c r="AS101" s="25"/>
    </row>
    <row r="102" spans="4:47" ht="15" customHeight="1">
      <c r="D102" s="22"/>
      <c r="F102" s="24"/>
      <c r="G102" s="24"/>
      <c r="H102" s="25"/>
      <c r="J102" s="24"/>
      <c r="K102" s="24"/>
      <c r="L102" s="25"/>
      <c r="O102" s="14"/>
      <c r="Q102" s="16"/>
      <c r="R102" s="16"/>
      <c r="S102" s="17"/>
      <c r="U102" s="16"/>
      <c r="V102" s="16"/>
      <c r="W102" s="17"/>
      <c r="Z102" s="14"/>
      <c r="AB102" s="16"/>
      <c r="AC102" s="16"/>
      <c r="AD102" s="17"/>
      <c r="AF102" s="16"/>
      <c r="AG102" s="16"/>
      <c r="AH102" s="17"/>
      <c r="AK102" s="14"/>
      <c r="AM102" s="16"/>
      <c r="AN102" s="16"/>
      <c r="AO102" s="17"/>
      <c r="AQ102" s="16"/>
      <c r="AR102" s="16"/>
      <c r="AS102" s="17"/>
    </row>
    <row r="103" spans="4:47" ht="15" customHeight="1">
      <c r="D103" s="22"/>
      <c r="F103" s="24"/>
      <c r="G103" s="24"/>
      <c r="H103" s="25"/>
      <c r="J103" s="24"/>
      <c r="K103" s="24"/>
      <c r="L103" s="25"/>
      <c r="O103" s="22"/>
      <c r="Q103" s="24"/>
      <c r="R103" s="24"/>
      <c r="S103" s="25"/>
      <c r="U103" s="24"/>
      <c r="V103" s="24"/>
      <c r="W103" s="25"/>
      <c r="X103" s="14"/>
      <c r="Z103" s="22"/>
      <c r="AB103" s="24"/>
      <c r="AC103" s="24"/>
      <c r="AD103" s="25"/>
      <c r="AF103" s="24"/>
      <c r="AG103" s="24"/>
      <c r="AH103" s="25"/>
      <c r="AK103" s="22"/>
      <c r="AM103" s="24"/>
      <c r="AN103" s="24"/>
      <c r="AO103" s="25"/>
      <c r="AQ103" s="24"/>
      <c r="AR103" s="24"/>
      <c r="AS103" s="25"/>
    </row>
    <row r="104" spans="4:47" ht="15" customHeight="1">
      <c r="O104" s="22"/>
      <c r="Q104" s="24"/>
      <c r="R104" s="24"/>
      <c r="S104" s="25"/>
      <c r="U104" s="24"/>
      <c r="V104" s="24"/>
      <c r="W104" s="25"/>
      <c r="X104" s="14"/>
      <c r="Z104" s="22"/>
      <c r="AB104" s="24"/>
      <c r="AC104" s="24"/>
      <c r="AD104" s="25"/>
      <c r="AF104" s="24"/>
      <c r="AG104" s="24"/>
      <c r="AH104" s="25"/>
      <c r="AK104" s="22"/>
      <c r="AM104" s="24"/>
      <c r="AN104" s="24"/>
      <c r="AO104" s="25"/>
      <c r="AQ104" s="24"/>
      <c r="AR104" s="24"/>
      <c r="AS104" s="25"/>
    </row>
    <row r="105" spans="4:47" ht="15" customHeight="1">
      <c r="O105" s="14"/>
      <c r="Q105" s="16"/>
      <c r="R105" s="16"/>
      <c r="S105" s="17"/>
      <c r="U105" s="16"/>
      <c r="V105" s="16"/>
      <c r="W105" s="17"/>
      <c r="X105" s="14"/>
      <c r="Z105" s="14"/>
      <c r="AB105" s="16"/>
      <c r="AC105" s="16"/>
      <c r="AD105" s="17"/>
      <c r="AF105" s="16"/>
      <c r="AG105" s="16"/>
      <c r="AH105" s="17"/>
      <c r="AK105" s="14"/>
      <c r="AM105" s="16"/>
      <c r="AN105" s="16"/>
      <c r="AO105" s="17"/>
      <c r="AQ105" s="16"/>
      <c r="AR105" s="16"/>
      <c r="AS105" s="17"/>
    </row>
    <row r="106" spans="4:47" ht="15" customHeight="1">
      <c r="D106" s="22"/>
      <c r="F106" s="24"/>
      <c r="G106" s="24"/>
      <c r="H106" s="25"/>
      <c r="J106" s="24"/>
      <c r="K106" s="24"/>
      <c r="L106" s="25"/>
    </row>
    <row r="107" spans="4:47" ht="15" customHeight="1">
      <c r="D107" s="22"/>
      <c r="F107" s="24"/>
      <c r="G107" s="24"/>
      <c r="H107" s="25"/>
      <c r="J107" s="24"/>
      <c r="K107" s="24"/>
      <c r="L107" s="25"/>
    </row>
    <row r="108" spans="4:47" ht="15" customHeight="1">
      <c r="D108" s="57"/>
      <c r="E108" s="57"/>
      <c r="F108" s="57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7"/>
      <c r="Z108" s="57"/>
      <c r="AA108" s="57"/>
      <c r="AB108" s="57"/>
      <c r="AC108" s="57"/>
      <c r="AD108" s="57"/>
      <c r="AE108" s="57"/>
      <c r="AF108" s="57"/>
      <c r="AG108" s="57"/>
      <c r="AH108" s="57"/>
      <c r="AI108" s="57"/>
      <c r="AJ108" s="57"/>
      <c r="AK108" s="57"/>
      <c r="AL108" s="57"/>
      <c r="AM108" s="57"/>
      <c r="AN108" s="57"/>
      <c r="AO108" s="57"/>
      <c r="AP108" s="57"/>
      <c r="AQ108" s="57"/>
      <c r="AR108" s="57"/>
      <c r="AS108" s="57"/>
      <c r="AT108" s="57"/>
      <c r="AU108" s="57"/>
    </row>
    <row r="109" spans="4:47" ht="15" customHeight="1"/>
    <row r="110" spans="4:47" ht="15" customHeight="1">
      <c r="F110" s="7" t="str">
        <f>+F96</f>
        <v>JANUARY - DECEMBER</v>
      </c>
      <c r="G110" s="8"/>
      <c r="H110" s="8"/>
      <c r="J110" s="7" t="str">
        <f>+J96</f>
        <v>OCTOBER - DECEMBER</v>
      </c>
      <c r="K110" s="8"/>
      <c r="L110" s="8"/>
      <c r="Q110" s="7" t="str">
        <f>+$Q$6</f>
        <v>JANUARY - DECEMBER</v>
      </c>
      <c r="R110" s="8"/>
      <c r="S110" s="8"/>
      <c r="U110" s="7" t="str">
        <f>+$U$6</f>
        <v>OCTOBER - DECEMBER</v>
      </c>
      <c r="V110" s="8"/>
      <c r="W110" s="8"/>
    </row>
    <row r="111" spans="4:47" ht="4.5" customHeight="1"/>
    <row r="112" spans="4:47" ht="15" customHeight="1">
      <c r="D112" s="9" t="str">
        <f>+IF($B$3="esp","Millones de €","€ Millions")</f>
        <v>€ Millions</v>
      </c>
      <c r="F112" s="10">
        <v>2020</v>
      </c>
      <c r="G112" s="10">
        <v>2019</v>
      </c>
      <c r="H112" s="10" t="str">
        <f>+IF($B$3="esp","Var.%","% Chg.")</f>
        <v>% Chg.</v>
      </c>
      <c r="J112" s="10">
        <v>2020</v>
      </c>
      <c r="K112" s="10">
        <v>2019</v>
      </c>
      <c r="L112" s="10" t="str">
        <f>+IF($B$3="esp","Var.%","% Chg.")</f>
        <v>% Chg.</v>
      </c>
      <c r="O112" s="9" t="str">
        <f>+IF($B$3="esp","Millones de €","€ Millions")</f>
        <v>€ Millions</v>
      </c>
      <c r="Q112" s="10">
        <v>2020</v>
      </c>
      <c r="R112" s="10">
        <v>2019</v>
      </c>
      <c r="S112" s="10" t="str">
        <f>+IF($B$3="esp","Var.%","% Chg.")</f>
        <v>% Chg.</v>
      </c>
      <c r="U112" s="10">
        <v>2020</v>
      </c>
      <c r="V112" s="10">
        <v>2019</v>
      </c>
      <c r="W112" s="10" t="str">
        <f>+IF($B$3="esp","Var.%","% Chg.")</f>
        <v>% Chg.</v>
      </c>
    </row>
    <row r="113" spans="4:23" ht="15" customHeight="1">
      <c r="D113" s="11" t="str">
        <f>+IF($B$3="esp","Ingresos de Explotación","Operating Revenues")</f>
        <v>Operating Revenues</v>
      </c>
      <c r="F113" s="13"/>
      <c r="G113" s="13"/>
      <c r="H113" s="13"/>
      <c r="J113" s="13"/>
      <c r="K113" s="13"/>
      <c r="L113" s="13"/>
      <c r="O113" s="11" t="str">
        <f>+IF($B$3="esp","Ingresos de Explotación","Operating Revenues")</f>
        <v>Operating Revenues</v>
      </c>
      <c r="Q113" s="13"/>
      <c r="R113" s="13"/>
      <c r="S113" s="13"/>
      <c r="U113" s="13"/>
      <c r="V113" s="13"/>
      <c r="W113" s="13"/>
    </row>
    <row r="114" spans="4:23" ht="15" customHeight="1">
      <c r="D114" s="14" t="str">
        <f>+IF($B$3="esp","GRUPO","GROUP")</f>
        <v>GROUP</v>
      </c>
      <c r="E114" s="14"/>
      <c r="F114" s="15">
        <f>+[1]GRUPO!AC122</f>
        <v>700.64061539075271</v>
      </c>
      <c r="G114" s="16">
        <f>+[1]GRUPO!AD122</f>
        <v>964.88539770247667</v>
      </c>
      <c r="H114" s="17">
        <f>IF(G114=0,"---",IF(OR(ABS((F114-G114)/ABS(G114))&gt;2,(F114*G114)&lt;0),"---",IF(G114="0","---",((F114-G114)/ABS(G114))*100)))</f>
        <v>-27.386131341704072</v>
      </c>
      <c r="I114" s="14"/>
      <c r="J114" s="15">
        <f>+[1]GRUPO!AG122</f>
        <v>206.02327616619476</v>
      </c>
      <c r="K114" s="16">
        <f>+[1]GRUPO!AH122</f>
        <v>315.72671911740281</v>
      </c>
      <c r="L114" s="17">
        <f>IF(K114=0,"---",IF(OR(ABS((J114-K114)/ABS(K114))&gt;2,(J114*K114)&lt;0),"---",IF(K114="0","---",((J114-K114)/ABS(K114))*100)))</f>
        <v>-34.746328488725368</v>
      </c>
      <c r="O114" s="14" t="str">
        <f>+IF($B$3="esp","Total Santillana","Total Santillana")</f>
        <v>Total Santillana</v>
      </c>
      <c r="P114" s="14"/>
      <c r="Q114" s="15">
        <f>+[1]SANTILLANA!AC69</f>
        <v>365.82876402163862</v>
      </c>
      <c r="R114" s="16">
        <f>+[1]SANTILLANA!AD69</f>
        <v>497.00283622986001</v>
      </c>
      <c r="S114" s="17">
        <f>IF(R114=0,"---",IF(OR(ABS((Q114-R114)/ABS(R114))&gt;2,(Q114*R114)&lt;0),"---",IF(R114="0","---",((Q114-R114)/ABS(R114))*100)))</f>
        <v>-26.393022865478049</v>
      </c>
      <c r="T114" s="14"/>
      <c r="U114" s="15">
        <f>+[1]SANTILLANA!AG69</f>
        <v>94.951608868514313</v>
      </c>
      <c r="V114" s="16">
        <f>+[1]SANTILLANA!AH69</f>
        <v>183.81660037418936</v>
      </c>
      <c r="W114" s="17">
        <f>IF(V114=0,"---",IF(OR(ABS((U114-V114)/ABS(V114))&gt;2,(U114*V114)&lt;0),"---",IF(V114="0","---",((U114-V114)/ABS(V114))*100)))</f>
        <v>-48.344377670338552</v>
      </c>
    </row>
    <row r="115" spans="4:23" s="14" customFormat="1" ht="15" customHeight="1">
      <c r="D115" s="22" t="str">
        <f>+IF($B$3="esp","Educación","Education")</f>
        <v>Education</v>
      </c>
      <c r="E115" s="1"/>
      <c r="F115" s="23">
        <f>+[1]GRUPO!AC123</f>
        <v>365.82876402163862</v>
      </c>
      <c r="G115" s="24">
        <f>+[1]GRUPO!AD123</f>
        <v>497.00283622986001</v>
      </c>
      <c r="H115" s="25">
        <f>IF(G115=0,"---",IF(OR(ABS((F115-G115)/ABS(G115))&gt;2,(F115*G115)&lt;0),"---",IF(G115="0","---",((F115-G115)/ABS(G115))*100)))</f>
        <v>-26.393022865478049</v>
      </c>
      <c r="I115" s="1"/>
      <c r="J115" s="23">
        <f>+[1]GRUPO!AG123</f>
        <v>94.951608868514313</v>
      </c>
      <c r="K115" s="24">
        <f>+[1]GRUPO!AH123</f>
        <v>183.81660037418936</v>
      </c>
      <c r="L115" s="25">
        <f>IF(K115=0,"---",IF(OR(ABS((J115-K115)/ABS(K115))&gt;2,(J115*K115)&lt;0),"---",IF(K115="0","---",((J115-K115)/ABS(K115))*100)))</f>
        <v>-48.344377670338552</v>
      </c>
      <c r="O115" s="22" t="str">
        <f>+IF($B$3="esp","Campaña Sur","South Campaign")</f>
        <v>South Campaign</v>
      </c>
      <c r="P115" s="1"/>
      <c r="Q115" s="23">
        <f>+[1]SANTILLANA!AC70</f>
        <v>279.49591788168397</v>
      </c>
      <c r="R115" s="24">
        <f>+[1]SANTILLANA!AD70</f>
        <v>356.68495720823051</v>
      </c>
      <c r="S115" s="25">
        <f>IF(R115=0,"---",IF(OR(ABS((Q115-R115)/ABS(R115))&gt;2,(Q115*R115)&lt;0),"---",IF(R115="0","---",((Q115-R115)/ABS(R115))*100)))</f>
        <v>-21.640676952205766</v>
      </c>
      <c r="T115" s="1"/>
      <c r="U115" s="23">
        <f>+[1]SANTILLANA!AG70</f>
        <v>89.327627397810687</v>
      </c>
      <c r="V115" s="24">
        <f>+[1]SANTILLANA!AH70</f>
        <v>172.45901134431008</v>
      </c>
      <c r="W115" s="25">
        <f>IF(V115=0,"---",IF(OR(ABS((U115-V115)/ABS(V115))&gt;2,(U115*V115)&lt;0),"---",IF(V115="0","---",((U115-V115)/ABS(V115))*100)))</f>
        <v>-48.203560543745482</v>
      </c>
    </row>
    <row r="116" spans="4:23" ht="15" customHeight="1">
      <c r="D116" s="22" t="str">
        <f>+IF($B$3="esp","Radio","Radio")</f>
        <v>Radio</v>
      </c>
      <c r="F116" s="23">
        <f>+[1]GRUPO!AC124</f>
        <v>186.2867008118952</v>
      </c>
      <c r="G116" s="24">
        <f>+[1]GRUPO!AD124</f>
        <v>273.80961698546093</v>
      </c>
      <c r="H116" s="25">
        <f>IF(G116=0,"---",IF(OR(ABS((F116-G116)/ABS(G116))&gt;2,(F116*G116)&lt;0),"---",IF(G116="0","---",((F116-G116)/ABS(G116))*100)))</f>
        <v>-31.964880246778591</v>
      </c>
      <c r="J116" s="23">
        <f>+[1]GRUPO!AG124</f>
        <v>63.825934267534407</v>
      </c>
      <c r="K116" s="24">
        <f>+[1]GRUPO!AH124</f>
        <v>77.437043721620256</v>
      </c>
      <c r="L116" s="25">
        <f>IF(K116=0,"---",IF(OR(ABS((J116-K116)/ABS(K116))&gt;2,(J116*K116)&lt;0),"---",IF(K116="0","---",((J116-K116)/ABS(K116))*100)))</f>
        <v>-17.577000360469153</v>
      </c>
      <c r="O116" s="27" t="str">
        <f>+IF($B$3="esp","Brasil","Brazil")</f>
        <v>Brazil</v>
      </c>
      <c r="Q116" s="23">
        <f>+[1]SANTILLANA!AC71</f>
        <v>151.94625583279083</v>
      </c>
      <c r="R116" s="24">
        <f>+[1]SANTILLANA!AD71</f>
        <v>195.08574156206677</v>
      </c>
      <c r="S116" s="25">
        <f t="shared" ref="S116:S118" si="20">IF(R116=0,"---",IF(OR(ABS((Q116-R116)/ABS(R116))&gt;2,(Q116*R116)&lt;0),"---",IF(R116="0","---",((Q116-R116)/ABS(R116))*100)))</f>
        <v>-22.113090061761927</v>
      </c>
      <c r="U116" s="23">
        <f>+[1]SANTILLANA!AG71</f>
        <v>55.936086453203771</v>
      </c>
      <c r="V116" s="24">
        <f>+[1]SANTILLANA!AH71</f>
        <v>124.16628314329168</v>
      </c>
      <c r="W116" s="25">
        <f t="shared" ref="W116:W118" si="21">IF(V116=0,"---",IF(OR(ABS((U116-V116)/ABS(V116))&gt;2,(U116*V116)&lt;0),"---",IF(V116="0","---",((U116-V116)/ABS(V116))*100)))</f>
        <v>-54.950663709042637</v>
      </c>
    </row>
    <row r="117" spans="4:23" ht="15" customHeight="1">
      <c r="D117" s="22" t="str">
        <f>+IF($B$3="esp","Prensa Total - incluye PBS y Tecnología","Press Total - includes PBS&amp;IT")</f>
        <v>Press Total - includes PBS&amp;IT</v>
      </c>
      <c r="F117" s="23">
        <f>+[1]GRUPO!AC125</f>
        <v>164.70120781854948</v>
      </c>
      <c r="G117" s="24">
        <f>+[1]GRUPO!AD125</f>
        <v>210.82712950997379</v>
      </c>
      <c r="H117" s="25">
        <f>IF(G117=0,"---",IF(OR(ABS((F117-G117)/ABS(G117))&gt;2,(F117*G117)&lt;0),"---",IF(G117="0","---",((F117-G117)/ABS(G117))*100)))</f>
        <v>-21.878551303447022</v>
      </c>
      <c r="J117" s="23">
        <f>+[1]GRUPO!AG125</f>
        <v>51.243914303310433</v>
      </c>
      <c r="K117" s="24">
        <f>+[1]GRUPO!AH125</f>
        <v>57.892880324704151</v>
      </c>
      <c r="L117" s="25">
        <f>IF(K117=0,"---",IF(OR(ABS((J117-K117)/ABS(K117))&gt;2,(J117*K117)&lt;0),"---",IF(K117="0","---",((J117-K117)/ABS(K117))*100)))</f>
        <v>-11.484945962442398</v>
      </c>
      <c r="O117" s="27" t="str">
        <f>+IF($B$3="esp","Otros países","Other countries")</f>
        <v>Other countries</v>
      </c>
      <c r="Q117" s="23">
        <f>+[1]SANTILLANA!AC72</f>
        <v>127.54966204889314</v>
      </c>
      <c r="R117" s="24">
        <f>+[1]SANTILLANA!AD72</f>
        <v>161.59921564616374</v>
      </c>
      <c r="S117" s="25">
        <f t="shared" si="20"/>
        <v>-21.070370583867941</v>
      </c>
      <c r="U117" s="23">
        <f>+[1]SANTILLANA!AG72</f>
        <v>33.391540944606916</v>
      </c>
      <c r="V117" s="24">
        <f>+[1]SANTILLANA!AH72</f>
        <v>48.292728201018406</v>
      </c>
      <c r="W117" s="25">
        <f t="shared" si="21"/>
        <v>-30.855964886442784</v>
      </c>
    </row>
    <row r="118" spans="4:23" s="14" customFormat="1" ht="15" customHeight="1">
      <c r="D118" s="22" t="str">
        <f>+IF($B$3="esp","Otros","Others")</f>
        <v>Others</v>
      </c>
      <c r="E118" s="1"/>
      <c r="F118" s="23">
        <f>+[1]GRUPO!AC126</f>
        <v>-16.176057261330584</v>
      </c>
      <c r="G118" s="24">
        <f>+[1]GRUPO!AD126</f>
        <v>-16.754185022818064</v>
      </c>
      <c r="H118" s="25">
        <f>IF(G118=0,"---",IF(OR(ABS((F118-G118)/ABS(G118))&gt;2,(F118*G118)&lt;0),"---",IF(G118="0","---",((F118-G118)/ABS(G118))*100)))</f>
        <v>3.4506468724089459</v>
      </c>
      <c r="I118" s="1"/>
      <c r="J118" s="23">
        <f>+[1]GRUPO!AG126</f>
        <v>-3.9981812731643913</v>
      </c>
      <c r="K118" s="24">
        <f>+[1]GRUPO!AH126</f>
        <v>-3.4198053031109623</v>
      </c>
      <c r="L118" s="25">
        <f>IF(K118=0,"---",IF(OR(ABS((J118-K118)/ABS(K118))&gt;2,(J118*K118)&lt;0),"---",IF(K118="0","---",((J118-K118)/ABS(K118))*100)))</f>
        <v>-16.912540884338831</v>
      </c>
      <c r="M118" s="1"/>
      <c r="O118" s="22" t="str">
        <f>+IF($B$3="esp","Campaña Norte","North Campaign")</f>
        <v>North Campaign</v>
      </c>
      <c r="P118" s="1"/>
      <c r="Q118" s="23">
        <f>+[1]SANTILLANA!AC73</f>
        <v>83.267757044658566</v>
      </c>
      <c r="R118" s="24">
        <f>+[1]SANTILLANA!AD73</f>
        <v>133.914788970892</v>
      </c>
      <c r="S118" s="25">
        <f t="shared" si="20"/>
        <v>-37.820342559209188</v>
      </c>
      <c r="T118" s="1"/>
      <c r="U118" s="23">
        <f>+[1]SANTILLANA!AG73</f>
        <v>3.9973183929796079</v>
      </c>
      <c r="V118" s="24">
        <f>+[1]SANTILLANA!AH73</f>
        <v>6.520940934251513</v>
      </c>
      <c r="W118" s="25">
        <f t="shared" si="21"/>
        <v>-38.700282163521415</v>
      </c>
    </row>
    <row r="119" spans="4:23" ht="15" customHeight="1">
      <c r="D119" s="22"/>
      <c r="F119" s="24"/>
      <c r="G119" s="24"/>
      <c r="H119" s="25"/>
      <c r="J119" s="24"/>
      <c r="K119" s="24"/>
      <c r="L119" s="25"/>
      <c r="O119" s="27" t="str">
        <f>+IF($B$3="esp","México","Mexico")</f>
        <v>Mexico</v>
      </c>
      <c r="Q119" s="23">
        <f>+[1]SANTILLANA!AC75</f>
        <v>62.469389651275556</v>
      </c>
      <c r="R119" s="24">
        <f>+[1]SANTILLANA!AD75</f>
        <v>88.532650955748309</v>
      </c>
      <c r="S119" s="25">
        <f>IF(R119=0,"---",IF(OR(ABS((Q119-R119)/ABS(R119))&gt;2,(Q119*R119)&lt;0),"---",IF(R119="0","---",((Q119-R119)/ABS(R119))*100)))</f>
        <v>-29.439151570757861</v>
      </c>
      <c r="U119" s="23">
        <f>+[1]SANTILLANA!AG75</f>
        <v>2.8350103205117279</v>
      </c>
      <c r="V119" s="24">
        <f>+[1]SANTILLANA!AH75</f>
        <v>3.385886297818999</v>
      </c>
      <c r="W119" s="25">
        <f>IF(V119=0,"---",IF(OR(ABS((U119-V119)/ABS(V119))&gt;2,(U119*V119)&lt;0),"---",IF(V119="0","---",((U119-V119)/ABS(V119))*100)))</f>
        <v>-16.269771895828722</v>
      </c>
    </row>
    <row r="120" spans="4:23" ht="15" customHeight="1">
      <c r="F120" s="7" t="str">
        <f>+F110</f>
        <v>JANUARY - DECEMBER</v>
      </c>
      <c r="G120" s="8"/>
      <c r="H120" s="8"/>
      <c r="J120" s="7" t="str">
        <f>+J110</f>
        <v>OCTOBER - DECEMBER</v>
      </c>
      <c r="K120" s="8"/>
      <c r="L120" s="8"/>
      <c r="O120" s="27" t="str">
        <f>+IF($B$3="esp","Otros países","Other countries")</f>
        <v>Other countries</v>
      </c>
      <c r="Q120" s="23">
        <f>+[1]SANTILLANA!AC76</f>
        <v>20.79836739338301</v>
      </c>
      <c r="R120" s="24">
        <f>+[1]SANTILLANA!AD76</f>
        <v>45.382138015143695</v>
      </c>
      <c r="S120" s="25">
        <f>IF(R120=0,"---",IF(OR(ABS((Q120-R120)/ABS(R120))&gt;2,(Q120*R120)&lt;0),"---",IF(R120="0","---",((Q120-R120)/ABS(R120))*100)))</f>
        <v>-54.17058714500682</v>
      </c>
      <c r="U120" s="23">
        <f>+[1]SANTILLANA!AG76</f>
        <v>1.16230807246788</v>
      </c>
      <c r="V120" s="24">
        <f>+[1]SANTILLANA!AH76</f>
        <v>3.135054636432514</v>
      </c>
      <c r="W120" s="25">
        <f>IF(V120=0,"---",IF(OR(ABS((U120-V120)/ABS(V120))&gt;2,(U120*V120)&lt;0),"---",IF(V120="0","---",((U120-V120)/ABS(V120))*100)))</f>
        <v>-62.925428508942659</v>
      </c>
    </row>
    <row r="121" spans="4:23" ht="15" customHeight="1">
      <c r="M121" s="14"/>
      <c r="O121" s="22" t="str">
        <f>+IF($B$3="esp","Tecnología Educativa global y Centro Corpor.","Global Educational IT &amp; HQ")</f>
        <v>Global Educational IT &amp; HQ</v>
      </c>
      <c r="Q121" s="23">
        <f>+[1]SANTILLANA!AC77</f>
        <v>3.0733324400000011</v>
      </c>
      <c r="R121" s="24">
        <f>+[1]SANTILLANA!AD77</f>
        <v>6.3910856200000019</v>
      </c>
      <c r="S121" s="25">
        <f>IF(R121=0,"---",IF(OR(ABS((Q121-R121)/ABS(R121))&gt;2,(Q121*R121)&lt;0),"---",IF(R121="0","---",((Q121-R121)/ABS(R121))*100)))</f>
        <v>-51.912200481520067</v>
      </c>
      <c r="U121" s="23">
        <f>+[1]SANTILLANA!AG77</f>
        <v>1.6360926400000009</v>
      </c>
      <c r="V121" s="24">
        <f>+[1]SANTILLANA!AH77</f>
        <v>4.8280006400000008</v>
      </c>
      <c r="W121" s="25">
        <f>IF(V121=0,"---",IF(OR(ABS((U121-V121)/ABS(V121))&gt;2,(U121*V121)&lt;0),"---",IF(V121="0","---",((U121-V121)/ABS(V121))*100)))</f>
        <v>-66.112418742347117</v>
      </c>
    </row>
    <row r="122" spans="4:23" s="14" customFormat="1" ht="17.25" customHeight="1">
      <c r="D122" s="9" t="str">
        <f>+IF($B$3="esp","Millones de €","€ Millions")</f>
        <v>€ Millions</v>
      </c>
      <c r="E122" s="1"/>
      <c r="F122" s="10">
        <v>2020</v>
      </c>
      <c r="G122" s="10">
        <v>2019</v>
      </c>
      <c r="H122" s="10" t="str">
        <f>+IF($B$3="esp","Var.%","% Chg.")</f>
        <v>% Chg.</v>
      </c>
      <c r="I122" s="1"/>
      <c r="J122" s="10">
        <v>2020</v>
      </c>
      <c r="K122" s="10">
        <v>2019</v>
      </c>
      <c r="L122" s="10" t="str">
        <f>+IF($B$3="esp","Var.%","% Chg.")</f>
        <v>% Chg.</v>
      </c>
      <c r="M122" s="1"/>
    </row>
    <row r="123" spans="4:23" ht="15" customHeight="1">
      <c r="D123" s="11" t="str">
        <f>+IF($B$3="esp","EBITDA Comparable","Comparable EBITDA")</f>
        <v>Comparable EBITDA</v>
      </c>
      <c r="F123" s="13"/>
      <c r="G123" s="13"/>
      <c r="H123" s="13"/>
      <c r="J123" s="13"/>
      <c r="K123" s="13"/>
      <c r="L123" s="13"/>
      <c r="O123" s="22"/>
      <c r="Q123" s="24"/>
      <c r="R123" s="24"/>
      <c r="S123" s="25"/>
      <c r="U123" s="24"/>
      <c r="V123" s="24"/>
      <c r="W123" s="25"/>
    </row>
    <row r="124" spans="4:23" ht="15" customHeight="1">
      <c r="D124" s="14" t="str">
        <f>+IF($B$3="esp","GRUPO","GROUP")</f>
        <v>GROUP</v>
      </c>
      <c r="E124" s="14"/>
      <c r="F124" s="15">
        <f>+[1]GRUPO!AC134</f>
        <v>63.865324973436444</v>
      </c>
      <c r="G124" s="16">
        <f>+[1]GRUPO!AD134</f>
        <v>189.21329796910973</v>
      </c>
      <c r="H124" s="17">
        <f>IF(G124=0,"---",IF(OR(ABS((F124-G124)/ABS(G124))&gt;2,(F124*G124)&lt;0),"---",IF(G124="0","---",((F124-G124)/ABS(G124))*100)))</f>
        <v>-66.24691516985088</v>
      </c>
      <c r="I124" s="14"/>
      <c r="J124" s="15">
        <f>+[1]GRUPO!AG134</f>
        <v>40.57688182749083</v>
      </c>
      <c r="K124" s="16">
        <f>+[1]GRUPO!AH134</f>
        <v>93.821412619947338</v>
      </c>
      <c r="L124" s="17">
        <f>IF(K124=0,"---",IF(OR(ABS((J124-K124)/ABS(K124))&gt;2,(J124*K124)&lt;0),"---",IF(K124="0","---",((J124-K124)/ABS(K124))*100)))</f>
        <v>-56.750937025580669</v>
      </c>
      <c r="Q124" s="7" t="str">
        <f>+$Q$6</f>
        <v>JANUARY - DECEMBER</v>
      </c>
      <c r="R124" s="8"/>
      <c r="S124" s="8"/>
      <c r="U124" s="7" t="str">
        <f>+$U$6</f>
        <v>OCTOBER - DECEMBER</v>
      </c>
      <c r="V124" s="8"/>
      <c r="W124" s="8"/>
    </row>
    <row r="125" spans="4:23" ht="15" customHeight="1">
      <c r="D125" s="22" t="str">
        <f>+IF($B$3="esp","Educación","Education")</f>
        <v>Education</v>
      </c>
      <c r="F125" s="23">
        <f>+[1]GRUPO!AC135</f>
        <v>77.027322518036357</v>
      </c>
      <c r="G125" s="24">
        <f>+[1]GRUPO!AD135</f>
        <v>122.24710532397957</v>
      </c>
      <c r="H125" s="25">
        <f>IF(G125=0,"---",IF(OR(ABS((F125-G125)/ABS(G125))&gt;2,(F125*G125)&lt;0),"---",IF(G125="0","---",((F125-G125)/ABS(G125))*100)))</f>
        <v>-36.990473259961156</v>
      </c>
      <c r="J125" s="23">
        <f>+[1]GRUPO!AG135</f>
        <v>25.773338958506436</v>
      </c>
      <c r="K125" s="24">
        <f>+[1]GRUPO!AH135</f>
        <v>62.890882147929979</v>
      </c>
      <c r="L125" s="25">
        <f>IF(K125=0,"---",IF(OR(ABS((J125-K125)/ABS(K125))&gt;2,(J125*K125)&lt;0),"---",IF(K125="0","---",((J125-K125)/ABS(K125))*100)))</f>
        <v>-59.018957791237227</v>
      </c>
      <c r="M125" s="14"/>
    </row>
    <row r="126" spans="4:23" ht="15" customHeight="1">
      <c r="D126" s="22" t="str">
        <f>+IF($B$3="esp","Radio","Radio")</f>
        <v>Radio</v>
      </c>
      <c r="F126" s="23">
        <f>+[1]GRUPO!AC136</f>
        <v>4.873676614331468</v>
      </c>
      <c r="G126" s="24">
        <f>+[1]GRUPO!AD136</f>
        <v>63.409364279398922</v>
      </c>
      <c r="H126" s="25">
        <f>IF(G126=0,"---",IF(OR(ABS((F126-G126)/ABS(G126))&gt;2,(F126*G126)&lt;0),"---",IF(G126="0","---",((F126-G126)/ABS(G126))*100)))</f>
        <v>-92.31394815305714</v>
      </c>
      <c r="J126" s="23">
        <f>+[1]GRUPO!AG136</f>
        <v>11.076972873017599</v>
      </c>
      <c r="K126" s="24">
        <f>+[1]GRUPO!AH136</f>
        <v>21.586983293500211</v>
      </c>
      <c r="L126" s="25">
        <f>IF(K126=0,"---",IF(OR(ABS((J126-K126)/ABS(K126))&gt;2,(J126*K126)&lt;0),"---",IF(K126="0","---",((J126-K126)/ABS(K126))*100)))</f>
        <v>-48.686795545198528</v>
      </c>
      <c r="O126" s="9"/>
      <c r="Q126" s="10">
        <v>2020</v>
      </c>
      <c r="R126" s="10">
        <v>2019</v>
      </c>
      <c r="S126" s="10" t="str">
        <f>+IF($B$3="esp","Var.%","% Chg.")</f>
        <v>% Chg.</v>
      </c>
      <c r="U126" s="10">
        <v>2020</v>
      </c>
      <c r="V126" s="10">
        <v>2019</v>
      </c>
      <c r="W126" s="10" t="str">
        <f>+IF($B$3="esp","Var.%","% Chg.")</f>
        <v>% Chg.</v>
      </c>
    </row>
    <row r="127" spans="4:23" ht="15" customHeight="1">
      <c r="D127" s="22" t="str">
        <f>+IF($B$3="esp","Prensa Total - incluye PBS y Tecnología","Press Total - includes PBS&amp;IT")</f>
        <v>Press Total - includes PBS&amp;IT</v>
      </c>
      <c r="F127" s="23">
        <f>+[1]GRUPO!AC137</f>
        <v>-10.248552708930587</v>
      </c>
      <c r="G127" s="24">
        <f>+[1]GRUPO!AD137</f>
        <v>12.132668448431991</v>
      </c>
      <c r="H127" s="25" t="str">
        <f>IF(G127=0,"---",IF(OR(ABS((F127-G127)/ABS(G127))&gt;2,(F127*G127)&lt;0),"---",IF(G127="0","---",((F127-G127)/ABS(G127))*100)))</f>
        <v>---</v>
      </c>
      <c r="J127" s="23">
        <f>+[1]GRUPO!AG137</f>
        <v>6.7326986659675736</v>
      </c>
      <c r="K127" s="24">
        <f>+[1]GRUPO!AH137</f>
        <v>11.008328606478145</v>
      </c>
      <c r="L127" s="25">
        <f>IF(K127=0,"---",IF(OR(ABS((J127-K127)/ABS(K127))&gt;2,(J127*K127)&lt;0),"---",IF(K127="0","---",((J127-K127)/ABS(K127))*100)))</f>
        <v>-38.839955576857164</v>
      </c>
      <c r="O127" s="11" t="str">
        <f>+IF($B$3="esp","Ingresos de Explotación a tipo constante","Operating Revenues at constant currency")</f>
        <v>Operating Revenues at constant currency</v>
      </c>
      <c r="Q127" s="13"/>
      <c r="R127" s="13"/>
      <c r="S127" s="13"/>
      <c r="U127" s="13"/>
      <c r="V127" s="13"/>
      <c r="W127" s="13"/>
    </row>
    <row r="128" spans="4:23" ht="15" customHeight="1">
      <c r="D128" s="22" t="str">
        <f>+IF($B$3="esp","Otros","Others")</f>
        <v>Others</v>
      </c>
      <c r="F128" s="23">
        <f>+[1]GRUPO!AC138</f>
        <v>-7.7871214500007948</v>
      </c>
      <c r="G128" s="24">
        <f>+[1]GRUPO!AD138</f>
        <v>-8.5758400827007488</v>
      </c>
      <c r="H128" s="25">
        <f>IF(G128=0,"---",IF(OR(ABS((F128-G128)/ABS(G128))&gt;2,(F128*G128)&lt;0),"---",IF(G128="0","---",((F128-G128)/ABS(G128))*100)))</f>
        <v>9.196983911709868</v>
      </c>
      <c r="J128" s="23">
        <f>+[1]GRUPO!AG138</f>
        <v>-3.0061286700007788</v>
      </c>
      <c r="K128" s="24">
        <f>+[1]GRUPO!AH138</f>
        <v>-1.6647814279609969</v>
      </c>
      <c r="L128" s="25">
        <f>IF(K128=0,"---",IF(OR(ABS((J128-K128)/ABS(K128))&gt;2,(J128*K128)&lt;0),"---",IF(K128="0","---",((J128-K128)/ABS(K128))*100)))</f>
        <v>-80.5719729636008</v>
      </c>
      <c r="O128" s="14" t="str">
        <f>+IF($B$3="esp","Total Santillana","Total Santillana")</f>
        <v>Total Santillana</v>
      </c>
      <c r="P128" s="14"/>
      <c r="Q128" s="15">
        <f>+[1]SANTILLANA!AC83</f>
        <v>430.07627673593475</v>
      </c>
      <c r="R128" s="16">
        <f>+[1]SANTILLANA!AD83</f>
        <v>497.00283622986001</v>
      </c>
      <c r="S128" s="17">
        <f>IF(R128=0,"---",IF(OR(ABS((Q128-R128)/ABS(R128))&gt;2,(Q128*R128)&lt;0),"---",IF(R128="0","---",((Q128-R128)/ABS(R128))*100)))</f>
        <v>-13.466031703483525</v>
      </c>
      <c r="T128" s="14"/>
      <c r="U128" s="15">
        <f>+[1]SANTILLANA!AG83</f>
        <v>120.35962557353884</v>
      </c>
      <c r="V128" s="16">
        <f>+[1]SANTILLANA!AH83</f>
        <v>183.81660037418936</v>
      </c>
      <c r="W128" s="17">
        <f>IF(V128=0,"---",IF(OR(ABS((U128-V128)/ABS(V128))&gt;2,(U128*V128)&lt;0),"---",IF(V128="0","---",((U128-V128)/ABS(V128))*100)))</f>
        <v>-34.521895558656432</v>
      </c>
    </row>
    <row r="129" spans="13:23" s="14" customFormat="1" ht="15" customHeight="1">
      <c r="M129" s="1"/>
      <c r="O129" s="22" t="str">
        <f>+IF($B$3="esp","Campaña Sur","South Campaign")</f>
        <v>South Campaign</v>
      </c>
      <c r="P129" s="1"/>
      <c r="Q129" s="23">
        <f>+[1]SANTILLANA!AC84</f>
        <v>333.00434677098144</v>
      </c>
      <c r="R129" s="24">
        <f>+[1]SANTILLANA!AD84</f>
        <v>356.68495720823051</v>
      </c>
      <c r="S129" s="25">
        <f>IF(R129=0,"---",IF(OR(ABS((Q129-R129)/ABS(R129))&gt;2,(Q129*R129)&lt;0),"---",IF(R129="0","---",((Q129-R129)/ABS(R129))*100)))</f>
        <v>-6.6390830223390873</v>
      </c>
      <c r="T129" s="1"/>
      <c r="U129" s="23">
        <f>+[1]SANTILLANA!AG84</f>
        <v>114.03405776913081</v>
      </c>
      <c r="V129" s="24">
        <f>+[1]SANTILLANA!AH84</f>
        <v>172.45901134431008</v>
      </c>
      <c r="W129" s="25">
        <f>IF(V129=0,"---",IF(OR(ABS((U129-V129)/ABS(V129))&gt;2,(U129*V129)&lt;0),"---",IF(V129="0","---",((U129-V129)/ABS(V129))*100)))</f>
        <v>-33.877588140949804</v>
      </c>
    </row>
    <row r="130" spans="13:23" ht="15" customHeight="1">
      <c r="O130" s="27" t="str">
        <f>+IF($B$3="esp","Brasil","Brazil")</f>
        <v>Brazil</v>
      </c>
      <c r="Q130" s="23">
        <f>+[1]SANTILLANA!AC85</f>
        <v>190.36912530429086</v>
      </c>
      <c r="R130" s="24">
        <f>+[1]SANTILLANA!AD85</f>
        <v>195.08574156206677</v>
      </c>
      <c r="S130" s="25">
        <f t="shared" ref="S130:S132" si="22">IF(R130=0,"---",IF(OR(ABS((Q130-R130)/ABS(R130))&gt;2,(Q130*R130)&lt;0),"---",IF(R130="0","---",((Q130-R130)/ABS(R130))*100)))</f>
        <v>-2.4177144982557905</v>
      </c>
      <c r="U130" s="23">
        <f>+[1]SANTILLANA!AG85</f>
        <v>75.654678262440882</v>
      </c>
      <c r="V130" s="24">
        <f>+[1]SANTILLANA!AH85</f>
        <v>124.16628314329168</v>
      </c>
      <c r="W130" s="25">
        <f t="shared" ref="W130:W132" si="23">IF(V130=0,"---",IF(OR(ABS((U130-V130)/ABS(V130))&gt;2,(U130*V130)&lt;0),"---",IF(V130="0","---",((U130-V130)/ABS(V130))*100)))</f>
        <v>-39.06986957551667</v>
      </c>
    </row>
    <row r="131" spans="13:23" s="14" customFormat="1" ht="15" customHeight="1">
      <c r="M131" s="1"/>
      <c r="O131" s="27" t="str">
        <f>+IF($B$3="esp","Otros países","Other countries")</f>
        <v>Other countries</v>
      </c>
      <c r="P131" s="1"/>
      <c r="Q131" s="23">
        <f>+[1]SANTILLANA!AC86</f>
        <v>142.63522146669058</v>
      </c>
      <c r="R131" s="24">
        <f>+[1]SANTILLANA!AD86</f>
        <v>161.59921564616374</v>
      </c>
      <c r="S131" s="25">
        <f t="shared" si="22"/>
        <v>-11.735201871893091</v>
      </c>
      <c r="T131" s="1"/>
      <c r="U131" s="23">
        <f>+[1]SANTILLANA!AG86</f>
        <v>38.379379506689929</v>
      </c>
      <c r="V131" s="24">
        <f>+[1]SANTILLANA!AH86</f>
        <v>48.292728201018406</v>
      </c>
      <c r="W131" s="25">
        <f t="shared" si="23"/>
        <v>-20.527621991170548</v>
      </c>
    </row>
    <row r="132" spans="13:23" ht="15" customHeight="1">
      <c r="O132" s="22" t="str">
        <f>+IF($B$3="esp","Campaña Norte","North Campaign")</f>
        <v>North Campaign</v>
      </c>
      <c r="Q132" s="23">
        <f>+[1]SANTILLANA!AC87</f>
        <v>94.006840869657211</v>
      </c>
      <c r="R132" s="24">
        <f>+[1]SANTILLANA!AD87</f>
        <v>133.914788970892</v>
      </c>
      <c r="S132" s="25">
        <f t="shared" si="22"/>
        <v>-29.801001374022452</v>
      </c>
      <c r="U132" s="23">
        <f>+[1]SANTILLANA!AG87</f>
        <v>4.6989047266839634</v>
      </c>
      <c r="V132" s="24">
        <f>+[1]SANTILLANA!AH87</f>
        <v>6.520940934251513</v>
      </c>
      <c r="W132" s="25">
        <f t="shared" si="23"/>
        <v>-27.941308255028485</v>
      </c>
    </row>
    <row r="133" spans="13:23" ht="15" customHeight="1">
      <c r="O133" s="27" t="str">
        <f>+IF($B$3="esp","México","Mexico")</f>
        <v>Mexico</v>
      </c>
      <c r="Q133" s="23">
        <f>+[1]SANTILLANA!AC89</f>
        <v>72.548555467401286</v>
      </c>
      <c r="R133" s="24">
        <f>+[1]SANTILLANA!AD89</f>
        <v>88.532650955748309</v>
      </c>
      <c r="S133" s="25">
        <f>IF(R133=0,"---",IF(OR(ABS((Q133-R133)/ABS(R133))&gt;2,(Q133*R133)&lt;0),"---",IF(R133="0","---",((Q133-R133)/ABS(R133))*100)))</f>
        <v>-18.054463879474735</v>
      </c>
      <c r="U133" s="23">
        <f>+[1]SANTILLANA!AG89</f>
        <v>3.2739538101990746</v>
      </c>
      <c r="V133" s="24">
        <f>+[1]SANTILLANA!AH89</f>
        <v>3.385886297818999</v>
      </c>
      <c r="W133" s="25">
        <f>IF(V133=0,"---",IF(OR(ABS((U133-V133)/ABS(V133))&gt;2,(U133*V133)&lt;0),"---",IF(V133="0","---",((U133-V133)/ABS(V133))*100)))</f>
        <v>-3.3058548862678907</v>
      </c>
    </row>
    <row r="134" spans="13:23" ht="15" customHeight="1">
      <c r="O134" s="27" t="str">
        <f>+IF($B$3="esp","Otros países","Other countries")</f>
        <v>Other countries</v>
      </c>
      <c r="Q134" s="23">
        <f>+[1]SANTILLANA!AC90</f>
        <v>21.458285402255925</v>
      </c>
      <c r="R134" s="24">
        <f>+[1]SANTILLANA!AD90</f>
        <v>45.382138015143695</v>
      </c>
      <c r="S134" s="25">
        <f>IF(R134=0,"---",IF(OR(ABS((Q134-R134)/ABS(R134))&gt;2,(Q134*R134)&lt;0),"---",IF(R134="0","---",((Q134-R134)/ABS(R134))*100)))</f>
        <v>-52.716451139663256</v>
      </c>
      <c r="U134" s="23">
        <f>+[1]SANTILLANA!AG90</f>
        <v>1.4249509164848888</v>
      </c>
      <c r="V134" s="24">
        <f>+[1]SANTILLANA!AH90</f>
        <v>3.135054636432514</v>
      </c>
      <c r="W134" s="25">
        <f>IF(V134=0,"---",IF(OR(ABS((U134-V134)/ABS(V134))&gt;2,(U134*V134)&lt;0),"---",IF(V134="0","---",((U134-V134)/ABS(V134))*100)))</f>
        <v>-54.547812343507061</v>
      </c>
    </row>
    <row r="135" spans="13:23" s="14" customFormat="1" ht="15" customHeight="1">
      <c r="O135" s="22" t="str">
        <f>+IF($B$3="esp","Tecnología Educativa global y Centro Corpor.","Global Educational IT &amp; HQ")</f>
        <v>Global Educational IT &amp; HQ</v>
      </c>
      <c r="P135" s="1"/>
      <c r="Q135" s="23">
        <f>+[1]SANTILLANA!AC91</f>
        <v>3.0733324400000011</v>
      </c>
      <c r="R135" s="24">
        <f>+[1]SANTILLANA!AD91</f>
        <v>6.3910856200000019</v>
      </c>
      <c r="S135" s="25">
        <f>IF(R135=0,"---",IF(OR(ABS((Q135-R135)/ABS(R135))&gt;2,(Q135*R135)&lt;0),"---",IF(R135="0","---",((Q135-R135)/ABS(R135))*100)))</f>
        <v>-51.912200481520067</v>
      </c>
      <c r="T135" s="1"/>
      <c r="U135" s="23">
        <f>+[1]SANTILLANA!AG91</f>
        <v>1.6360926400000009</v>
      </c>
      <c r="V135" s="24">
        <f>+[1]SANTILLANA!AH91</f>
        <v>4.8280006400000008</v>
      </c>
      <c r="W135" s="25">
        <f>IF(V135=0,"---",IF(OR(ABS((U135-V135)/ABS(V135))&gt;2,(U135*V135)&lt;0),"---",IF(V135="0","---",((U135-V135)/ABS(V135))*100)))</f>
        <v>-66.112418742347117</v>
      </c>
    </row>
    <row r="136" spans="13:23" ht="15" customHeight="1"/>
    <row r="137" spans="13:23" ht="15" customHeight="1">
      <c r="O137" s="22"/>
      <c r="Q137" s="24"/>
      <c r="R137" s="24"/>
      <c r="S137" s="25"/>
      <c r="U137" s="24"/>
      <c r="V137" s="24"/>
      <c r="W137" s="25"/>
    </row>
    <row r="138" spans="13:23" ht="15" customHeight="1">
      <c r="Q138" s="58"/>
      <c r="U138" s="58"/>
    </row>
    <row r="139" spans="13:23" ht="15" customHeight="1">
      <c r="Q139" s="58"/>
      <c r="U139" s="58"/>
    </row>
    <row r="140" spans="13:23" ht="15" customHeight="1">
      <c r="Q140" s="58"/>
      <c r="U140" s="58"/>
    </row>
    <row r="141" spans="13:23" ht="15" customHeight="1">
      <c r="Q141" s="7" t="str">
        <f>+$Q$6</f>
        <v>JANUARY - DECEMBER</v>
      </c>
      <c r="R141" s="8"/>
      <c r="S141" s="8"/>
      <c r="U141" s="7" t="str">
        <f>+$U$6</f>
        <v>OCTOBER - DECEMBER</v>
      </c>
      <c r="V141" s="8"/>
      <c r="W141" s="8"/>
    </row>
    <row r="142" spans="13:23" ht="15" customHeight="1"/>
    <row r="143" spans="13:23" ht="15" customHeight="1">
      <c r="O143" s="9"/>
      <c r="Q143" s="10">
        <v>2020</v>
      </c>
      <c r="R143" s="10">
        <v>2019</v>
      </c>
      <c r="S143" s="10" t="str">
        <f>+IF($B$3="esp","Var.%","% Chg.")</f>
        <v>% Chg.</v>
      </c>
      <c r="U143" s="10">
        <v>2020</v>
      </c>
      <c r="V143" s="10">
        <v>2019</v>
      </c>
      <c r="W143" s="10" t="str">
        <f>+IF($B$3="esp","Var.%","% Chg.")</f>
        <v>% Chg.</v>
      </c>
    </row>
    <row r="144" spans="13:23" ht="15" customHeight="1">
      <c r="O144" s="11" t="str">
        <f>+IF($B$3="esp","EBITDA ","EBITDA")</f>
        <v>EBITDA</v>
      </c>
      <c r="Q144" s="13"/>
      <c r="R144" s="13"/>
      <c r="S144" s="13"/>
      <c r="U144" s="13"/>
      <c r="V144" s="13"/>
      <c r="W144" s="13"/>
    </row>
    <row r="145" spans="15:23" ht="15" customHeight="1">
      <c r="O145" s="14" t="str">
        <f>+IF($B$3="esp","Total Santillana","Total Santillana")</f>
        <v>Total Santillana</v>
      </c>
      <c r="P145" s="14"/>
      <c r="Q145" s="15">
        <f>+[1]SANTILLANA!AC100</f>
        <v>77.027322518036357</v>
      </c>
      <c r="R145" s="16">
        <f>+[1]SANTILLANA!AD100</f>
        <v>122.24710532397957</v>
      </c>
      <c r="S145" s="17">
        <f>IF(R145=0,"---",IF(OR(ABS((Q145-R145)/ABS(R145))&gt;2,(Q145*R145)&lt;0),"---",IF(R145="0","---",((Q145-R145)/ABS(R145))*100)))</f>
        <v>-36.990473259961156</v>
      </c>
      <c r="T145" s="14"/>
      <c r="U145" s="15">
        <f>+[1]SANTILLANA!AG100</f>
        <v>25.773338958506436</v>
      </c>
      <c r="V145" s="16">
        <f>+[1]SANTILLANA!AH100</f>
        <v>62.890882147929979</v>
      </c>
      <c r="W145" s="17">
        <f>IF(V145=0,"---",IF(OR(ABS((U145-V145)/ABS(V145))&gt;2,(U145*V145)&lt;0),"---",IF(V145="0","---",((U145-V145)/ABS(V145))*100)))</f>
        <v>-59.018957791237227</v>
      </c>
    </row>
    <row r="146" spans="15:23" ht="15" customHeight="1">
      <c r="O146" s="22" t="str">
        <f>+IF($B$3="esp","Campaña Sur","South Campaign")</f>
        <v>South Campaign</v>
      </c>
      <c r="Q146" s="23">
        <f>+[1]SANTILLANA!AC101</f>
        <v>82.109874478498554</v>
      </c>
      <c r="R146" s="24">
        <f>+[1]SANTILLANA!AD101</f>
        <v>96.107201244182491</v>
      </c>
      <c r="S146" s="25">
        <f>IF(R146=0,"---",IF(OR(ABS((Q146-R146)/ABS(R146))&gt;2,(Q146*R146)&lt;0),"---",IF(R146="0","---",((Q146-R146)/ABS(R146))*100)))</f>
        <v>-14.564285073831776</v>
      </c>
      <c r="U146" s="23">
        <f>+[1]SANTILLANA!AG101</f>
        <v>31.255909835015018</v>
      </c>
      <c r="V146" s="24">
        <f>+[1]SANTILLANA!AH101</f>
        <v>71.465437430359245</v>
      </c>
      <c r="W146" s="25">
        <f>IF(V146=0,"---",IF(OR(ABS((U146-V146)/ABS(V146))&gt;2,(U146*V146)&lt;0),"---",IF(V146="0","---",((U146-V146)/ABS(V146))*100)))</f>
        <v>-56.264299276873672</v>
      </c>
    </row>
    <row r="147" spans="15:23" ht="15" customHeight="1">
      <c r="O147" s="27" t="str">
        <f>+IF($B$3="esp","Brasil","Brazil")</f>
        <v>Brazil</v>
      </c>
      <c r="Q147" s="23">
        <f>+[1]SANTILLANA!AC102</f>
        <v>47.551853266748324</v>
      </c>
      <c r="R147" s="24">
        <f>+[1]SANTILLANA!AD102</f>
        <v>51.217287537995261</v>
      </c>
      <c r="S147" s="25">
        <f t="shared" ref="S147:S149" si="24">IF(R147=0,"---",IF(OR(ABS((Q147-R147)/ABS(R147))&gt;2,(Q147*R147)&lt;0),"---",IF(R147="0","---",((Q147-R147)/ABS(R147))*100)))</f>
        <v>-7.1566348931066583</v>
      </c>
      <c r="U147" s="23">
        <f>+[1]SANTILLANA!AG102</f>
        <v>23.977709775946259</v>
      </c>
      <c r="V147" s="24">
        <f>+[1]SANTILLANA!AH102</f>
        <v>58.334411460519647</v>
      </c>
      <c r="W147" s="25">
        <f t="shared" ref="W147:W149" si="25">IF(V147=0,"---",IF(OR(ABS((U147-V147)/ABS(V147))&gt;2,(U147*V147)&lt;0),"---",IF(V147="0","---",((U147-V147)/ABS(V147))*100)))</f>
        <v>-58.896114359233366</v>
      </c>
    </row>
    <row r="148" spans="15:23" ht="15" customHeight="1">
      <c r="O148" s="27" t="str">
        <f>+IF($B$3="esp","Otros países","Other countries")</f>
        <v>Other countries</v>
      </c>
      <c r="Q148" s="23">
        <f>+[1]SANTILLANA!AC103</f>
        <v>34.55802121175023</v>
      </c>
      <c r="R148" s="24">
        <f>+[1]SANTILLANA!AD103</f>
        <v>44.88991370618723</v>
      </c>
      <c r="S148" s="25">
        <f t="shared" si="24"/>
        <v>-23.016066731740995</v>
      </c>
      <c r="U148" s="23">
        <f>+[1]SANTILLANA!AG103</f>
        <v>7.2782000590687588</v>
      </c>
      <c r="V148" s="24">
        <f>+[1]SANTILLANA!AH103</f>
        <v>13.131025969839591</v>
      </c>
      <c r="W148" s="25">
        <f t="shared" si="25"/>
        <v>-44.572495128819931</v>
      </c>
    </row>
    <row r="149" spans="15:23" ht="15" customHeight="1">
      <c r="O149" s="22" t="str">
        <f>+IF($B$3="esp","Campaña Norte","North Campaign")</f>
        <v>North Campaign</v>
      </c>
      <c r="Q149" s="23">
        <f>+[1]SANTILLANA!AC104</f>
        <v>13.771117453052105</v>
      </c>
      <c r="R149" s="24">
        <f>+[1]SANTILLANA!AD104</f>
        <v>43.42195175429562</v>
      </c>
      <c r="S149" s="25">
        <f t="shared" si="24"/>
        <v>-68.285355916343022</v>
      </c>
      <c r="U149" s="23">
        <f>+[1]SANTILLANA!AG104</f>
        <v>-5.3447809748484918</v>
      </c>
      <c r="V149" s="24">
        <f>+[1]SANTILLANA!AH104</f>
        <v>-4.605840478109414</v>
      </c>
      <c r="W149" s="25">
        <f t="shared" si="25"/>
        <v>-16.043553836723305</v>
      </c>
    </row>
    <row r="150" spans="15:23" ht="15" customHeight="1">
      <c r="O150" s="27" t="str">
        <f>+IF($B$3="esp","México","Mexico")</f>
        <v>Mexico</v>
      </c>
      <c r="Q150" s="23">
        <f>+[1]SANTILLANA!AC106</f>
        <v>14.836271581749621</v>
      </c>
      <c r="R150" s="24">
        <f>+[1]SANTILLANA!AD106</f>
        <v>26.46845336566069</v>
      </c>
      <c r="S150" s="25">
        <f>IF(R150=0,"---",IF(OR(ABS((Q150-R150)/ABS(R150))&gt;2,(Q150*R150)&lt;0),"---",IF(R150="0","---",((Q150-R150)/ABS(R150))*100)))</f>
        <v>-43.947342231194675</v>
      </c>
      <c r="U150" s="23">
        <f>+[1]SANTILLANA!AG106</f>
        <v>-2.6780047228003809</v>
      </c>
      <c r="V150" s="24">
        <f>+[1]SANTILLANA!AH106</f>
        <v>-2.0658530001974604</v>
      </c>
      <c r="W150" s="25">
        <f>IF(V150=0,"---",IF(OR(ABS((U150-V150)/ABS(V150))&gt;2,(U150*V150)&lt;0),"---",IF(V150="0","---",((U150-V150)/ABS(V150))*100)))</f>
        <v>-29.631911009370427</v>
      </c>
    </row>
    <row r="151" spans="15:23" ht="15" customHeight="1">
      <c r="O151" s="27" t="str">
        <f>+IF($B$3="esp","Otros países","Other countries")</f>
        <v>Other countries</v>
      </c>
      <c r="Q151" s="23">
        <f>+[1]SANTILLANA!AC107</f>
        <v>-1.0651541286975164</v>
      </c>
      <c r="R151" s="24">
        <f>+[1]SANTILLANA!AD107</f>
        <v>16.95349838863493</v>
      </c>
      <c r="S151" s="25" t="str">
        <f>IF(R151=0,"---",IF(OR(ABS((Q151-R151)/ABS(R151))&gt;2,(Q151*R151)&lt;0),"---",IF(R151="0","---",((Q151-R151)/ABS(R151))*100)))</f>
        <v>---</v>
      </c>
      <c r="U151" s="23">
        <f>+[1]SANTILLANA!AG107</f>
        <v>-2.6667762520481109</v>
      </c>
      <c r="V151" s="24">
        <f>+[1]SANTILLANA!AH107</f>
        <v>-2.5399874779119536</v>
      </c>
      <c r="W151" s="25">
        <f>IF(V151=0,"---",IF(OR(ABS((U151-V151)/ABS(V151))&gt;2,(U151*V151)&lt;0),"---",IF(V151="0","---",((U151-V151)/ABS(V151))*100)))</f>
        <v>-4.9917086300120861</v>
      </c>
    </row>
    <row r="152" spans="15:23" ht="15" customHeight="1">
      <c r="O152" s="22" t="str">
        <f>+IF($B$3="esp","Tecnología Educativa global y Centro Corpor.","Global Educational IT &amp; HQ")</f>
        <v>Global Educational IT &amp; HQ</v>
      </c>
      <c r="Q152" s="23">
        <f>+[1]SANTILLANA!AC108</f>
        <v>-18.90373378999999</v>
      </c>
      <c r="R152" s="24">
        <f>+[1]SANTILLANA!AD108</f>
        <v>-17.28119886</v>
      </c>
      <c r="S152" s="25">
        <f>IF(R152=0,"---",IF(OR(ABS((Q152-R152)/ABS(R152))&gt;2,(Q152*R152)&lt;0),"---",IF(R152="0","---",((Q152-R152)/ABS(R152))*100)))</f>
        <v>-9.3890183380482775</v>
      </c>
      <c r="U152" s="23">
        <f>+[1]SANTILLANA!AG108</f>
        <v>-0.18785427814577815</v>
      </c>
      <c r="V152" s="24">
        <f>+[1]SANTILLANA!AH108</f>
        <v>-3.967865989821302</v>
      </c>
      <c r="W152" s="25">
        <f>IF(V152=0,"---",IF(OR(ABS((U152-V152)/ABS(V152))&gt;2,(U152*V152)&lt;0),"---",IF(V152="0","---",((U152-V152)/ABS(V152))*100)))</f>
        <v>95.265609306673227</v>
      </c>
    </row>
    <row r="153" spans="15:23" ht="15" customHeight="1"/>
    <row r="154" spans="15:23" ht="15" customHeight="1">
      <c r="O154" s="22"/>
      <c r="Q154" s="24"/>
      <c r="R154" s="24"/>
      <c r="S154" s="25"/>
      <c r="U154" s="24"/>
      <c r="V154" s="24"/>
      <c r="W154" s="25"/>
    </row>
    <row r="155" spans="15:23">
      <c r="Q155" s="7" t="str">
        <f>+$Q$6</f>
        <v>JANUARY - DECEMBER</v>
      </c>
      <c r="R155" s="8"/>
      <c r="S155" s="8"/>
      <c r="U155" s="7" t="str">
        <f>+$U$6</f>
        <v>OCTOBER - DECEMBER</v>
      </c>
      <c r="V155" s="8"/>
      <c r="W155" s="8"/>
    </row>
    <row r="157" spans="15:23">
      <c r="O157" s="9"/>
      <c r="Q157" s="10">
        <v>2020</v>
      </c>
      <c r="R157" s="10">
        <v>2019</v>
      </c>
      <c r="S157" s="10" t="str">
        <f>+IF($B$3="esp","Var.%","% Chg.")</f>
        <v>% Chg.</v>
      </c>
      <c r="U157" s="10">
        <v>2020</v>
      </c>
      <c r="V157" s="10">
        <v>2019</v>
      </c>
      <c r="W157" s="10" t="str">
        <f>+IF($B$3="esp","Var.%","% Chg.")</f>
        <v>% Chg.</v>
      </c>
    </row>
    <row r="158" spans="15:23">
      <c r="O158" s="11" t="str">
        <f>+IF($B$3="esp","EBITDA a tipo constante"," EBITDA at constant currency")</f>
        <v xml:space="preserve"> EBITDA at constant currency</v>
      </c>
      <c r="Q158" s="13"/>
      <c r="R158" s="13"/>
      <c r="S158" s="13"/>
      <c r="U158" s="13"/>
      <c r="V158" s="13"/>
      <c r="W158" s="13"/>
    </row>
    <row r="159" spans="15:23">
      <c r="O159" s="14" t="str">
        <f>+IF($B$3="esp","Total Santillana","Total Santillana")</f>
        <v>Total Santillana</v>
      </c>
      <c r="P159" s="14"/>
      <c r="Q159" s="15">
        <f>+[1]SANTILLANA!AC114</f>
        <v>91.678128907549862</v>
      </c>
      <c r="R159" s="16">
        <f>+[1]SANTILLANA!AD114</f>
        <v>122.24710532397957</v>
      </c>
      <c r="S159" s="17">
        <f>IF(R159=0,"---",IF(OR(ABS((Q159-R159)/ABS(R159))&gt;2,(Q159*R159)&lt;0),"---",IF(R159="0","---",((Q159-R159)/ABS(R159))*100)))</f>
        <v>-25.00588977989764</v>
      </c>
      <c r="T159" s="14"/>
      <c r="U159" s="15">
        <f>+[1]SANTILLANA!AG114</f>
        <v>33.42488719063568</v>
      </c>
      <c r="V159" s="16">
        <f>+[1]SANTILLANA!AH114</f>
        <v>62.890882147929979</v>
      </c>
      <c r="W159" s="17">
        <f>IF(V159=0,"---",IF(OR(ABS((U159-V159)/ABS(V159))&gt;2,(U159*V159)&lt;0),"---",IF(V159="0","---",((U159-V159)/ABS(V159))*100)))</f>
        <v>-46.852570596776339</v>
      </c>
    </row>
    <row r="160" spans="15:23">
      <c r="O160" s="22" t="str">
        <f>+IF($B$3="esp","Campaña Sur","South Campaign")</f>
        <v>South Campaign</v>
      </c>
      <c r="Q160" s="23">
        <f>+[1]SANTILLANA!AC115</f>
        <v>93.234087555692639</v>
      </c>
      <c r="R160" s="24">
        <f>+[1]SANTILLANA!AD115</f>
        <v>96.107201244182491</v>
      </c>
      <c r="S160" s="25">
        <f>IF(R160=0,"---",IF(OR(ABS((Q160-R160)/ABS(R160))&gt;2,(Q160*R160)&lt;0),"---",IF(R160="0","---",((Q160-R160)/ABS(R160))*100)))</f>
        <v>-2.9894884579877052</v>
      </c>
      <c r="U160" s="23">
        <f>+[1]SANTILLANA!AG115</f>
        <v>39.400272599197507</v>
      </c>
      <c r="V160" s="24">
        <f>+[1]SANTILLANA!AH115</f>
        <v>71.465437430359245</v>
      </c>
      <c r="W160" s="25">
        <f>IF(V160=0,"---",IF(OR(ABS((U160-V160)/ABS(V160))&gt;2,(U160*V160)&lt;0),"---",IF(V160="0","---",((U160-V160)/ABS(V160))*100)))</f>
        <v>-44.868073273053426</v>
      </c>
    </row>
    <row r="161" spans="15:23">
      <c r="O161" s="27" t="str">
        <f>+IF($B$3="esp","Brasil","Brazil")</f>
        <v>Brazil</v>
      </c>
      <c r="Q161" s="23">
        <f>+[1]SANTILLANA!AC116</f>
        <v>56.061354236466819</v>
      </c>
      <c r="R161" s="24">
        <f>+[1]SANTILLANA!AD116</f>
        <v>51.217287537995261</v>
      </c>
      <c r="S161" s="25">
        <f t="shared" ref="S161:S163" si="26">IF(R161=0,"---",IF(OR(ABS((Q161-R161)/ABS(R161))&gt;2,(Q161*R161)&lt;0),"---",IF(R161="0","---",((Q161-R161)/ABS(R161))*100)))</f>
        <v>9.4578743454112324</v>
      </c>
      <c r="U161" s="23">
        <f>+[1]SANTILLANA!AG116</f>
        <v>31.567675652700348</v>
      </c>
      <c r="V161" s="24">
        <f>+[1]SANTILLANA!AH116</f>
        <v>58.334411460519647</v>
      </c>
      <c r="W161" s="25">
        <f t="shared" ref="W161:W163" si="27">IF(V161=0,"---",IF(OR(ABS((U161-V161)/ABS(V161))&gt;2,(U161*V161)&lt;0),"---",IF(V161="0","---",((U161-V161)/ABS(V161))*100)))</f>
        <v>-45.884984758841448</v>
      </c>
    </row>
    <row r="162" spans="15:23">
      <c r="O162" s="27" t="str">
        <f>+IF($B$3="esp","Otros países","Other countries")</f>
        <v>Other countries</v>
      </c>
      <c r="Q162" s="23">
        <f>+[1]SANTILLANA!AC117</f>
        <v>37.17273331922582</v>
      </c>
      <c r="R162" s="24">
        <f>+[1]SANTILLANA!AD117</f>
        <v>44.88991370618723</v>
      </c>
      <c r="S162" s="25">
        <f t="shared" si="26"/>
        <v>-17.191346005857305</v>
      </c>
      <c r="U162" s="23">
        <f>+[1]SANTILLANA!AG117</f>
        <v>7.8325969464971585</v>
      </c>
      <c r="V162" s="24">
        <f>+[1]SANTILLANA!AH117</f>
        <v>13.131025969839591</v>
      </c>
      <c r="W162" s="25">
        <f t="shared" si="27"/>
        <v>-40.350457272053951</v>
      </c>
    </row>
    <row r="163" spans="15:23">
      <c r="O163" s="22" t="str">
        <f>+IF($B$3="esp","Campaña Norte","North Campaign")</f>
        <v>North Campaign</v>
      </c>
      <c r="Q163" s="23">
        <f>+[1]SANTILLANA!AC118</f>
        <v>17.297710765371548</v>
      </c>
      <c r="R163" s="24">
        <f>+[1]SANTILLANA!AD118</f>
        <v>43.42195175429562</v>
      </c>
      <c r="S163" s="25">
        <f t="shared" si="26"/>
        <v>-60.163672827856409</v>
      </c>
      <c r="U163" s="23">
        <f>+[1]SANTILLANA!AG118</f>
        <v>-5.837595506901728</v>
      </c>
      <c r="V163" s="24">
        <f>+[1]SANTILLANA!AH118</f>
        <v>-4.605840478109414</v>
      </c>
      <c r="W163" s="25">
        <f t="shared" si="27"/>
        <v>-26.743328055901745</v>
      </c>
    </row>
    <row r="164" spans="15:23">
      <c r="O164" s="27" t="str">
        <f>+IF($B$3="esp","México","Mexico")</f>
        <v>Mexico</v>
      </c>
      <c r="Q164" s="23">
        <f>+[1]SANTILLANA!AC120</f>
        <v>18.361995706421336</v>
      </c>
      <c r="R164" s="24">
        <f>+[1]SANTILLANA!AD120</f>
        <v>26.46845336566069</v>
      </c>
      <c r="S164" s="25">
        <f>IF(R164=0,"---",IF(OR(ABS((Q164-R164)/ABS(R164))&gt;2,(Q164*R164)&lt;0),"---",IF(R164="0","---",((Q164-R164)/ABS(R164))*100)))</f>
        <v>-30.626865677600971</v>
      </c>
      <c r="U164" s="23">
        <f>+[1]SANTILLANA!AG120</f>
        <v>-3.0360434199778616</v>
      </c>
      <c r="V164" s="24">
        <f>+[1]SANTILLANA!AH120</f>
        <v>-2.0658530001974604</v>
      </c>
      <c r="W164" s="25">
        <f>IF(V164=0,"---",IF(OR(ABS((U164-V164)/ABS(V164))&gt;2,(U164*V164)&lt;0),"---",IF(V164="0","---",((U164-V164)/ABS(V164))*100)))</f>
        <v>-46.963187588258585</v>
      </c>
    </row>
    <row r="165" spans="15:23">
      <c r="O165" s="27" t="str">
        <f>+IF($B$3="esp","Otros países","Other countries")</f>
        <v>Other countries</v>
      </c>
      <c r="Q165" s="23">
        <f>+[1]SANTILLANA!AC121</f>
        <v>-1.0642849410497881</v>
      </c>
      <c r="R165" s="24">
        <f>+[1]SANTILLANA!AD121</f>
        <v>16.95349838863493</v>
      </c>
      <c r="S165" s="25" t="str">
        <f>IF(R165=0,"---",IF(OR(ABS((Q165-R165)/ABS(R165))&gt;2,(Q165*R165)&lt;0),"---",IF(R165="0","---",((Q165-R165)/ABS(R165))*100)))</f>
        <v>---</v>
      </c>
      <c r="U165" s="23">
        <f>+[1]SANTILLANA!AG121</f>
        <v>-2.8015520869238664</v>
      </c>
      <c r="V165" s="24">
        <f>+[1]SANTILLANA!AH121</f>
        <v>-2.5399874779119536</v>
      </c>
      <c r="W165" s="25">
        <f>IF(V165=0,"---",IF(OR(ABS((U165-V165)/ABS(V165))&gt;2,(U165*V165)&lt;0),"---",IF(V165="0","---",((U165-V165)/ABS(V165))*100)))</f>
        <v>-10.297870020482822</v>
      </c>
    </row>
    <row r="166" spans="15:23">
      <c r="O166" s="22" t="str">
        <f>+IF($B$3="esp","Tecnología Educativa global y Centro Corpor.","Global Educational IT &amp; HQ")</f>
        <v>Global Educational IT &amp; HQ</v>
      </c>
      <c r="Q166" s="23">
        <f>+[1]SANTILLANA!AC122</f>
        <v>-18.90373378999999</v>
      </c>
      <c r="R166" s="24">
        <f>+[1]SANTILLANA!AD122</f>
        <v>-17.28119886</v>
      </c>
      <c r="S166" s="25">
        <f>IF(R166=0,"---",IF(OR(ABS((Q166-R166)/ABS(R166))&gt;2,(Q166*R166)&lt;0),"---",IF(R166="0","---",((Q166-R166)/ABS(R166))*100)))</f>
        <v>-9.3890183380482775</v>
      </c>
      <c r="U166" s="23">
        <f>+[1]SANTILLANA!AG122</f>
        <v>-0.18785427814576394</v>
      </c>
      <c r="V166" s="24">
        <f>+[1]SANTILLANA!AH122</f>
        <v>-3.967865989821302</v>
      </c>
      <c r="W166" s="25">
        <f>IF(V166=0,"---",IF(OR(ABS((U166-V166)/ABS(V166))&gt;2,(U166*V166)&lt;0),"---",IF(V166="0","---",((U166-V166)/ABS(V166))*100)))</f>
        <v>95.265609306673582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Guelbenzu Robles, Belen</dc:creator>
  <cp:lastModifiedBy>Guelbenzu Robles, Belen</cp:lastModifiedBy>
  <dcterms:created xsi:type="dcterms:W3CDTF">2021-02-23T18:11:51Z</dcterms:created>
  <dcterms:modified xsi:type="dcterms:W3CDTF">2021-02-23T18:12:39Z</dcterms:modified>
</cp:coreProperties>
</file>