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21\1Q2021\DEF\"/>
    </mc:Choice>
  </mc:AlternateContent>
  <xr:revisionPtr revIDLastSave="0" documentId="8_{50C3E34F-E371-44A0-9EF7-7C5524797A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o Publish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2" i="1" l="1"/>
  <c r="P162" i="1" s="1"/>
  <c r="N162" i="1"/>
  <c r="L162" i="1"/>
  <c r="O161" i="1"/>
  <c r="P161" i="1" s="1"/>
  <c r="N161" i="1"/>
  <c r="L161" i="1"/>
  <c r="O160" i="1"/>
  <c r="P160" i="1" s="1"/>
  <c r="N160" i="1"/>
  <c r="L160" i="1"/>
  <c r="O159" i="1"/>
  <c r="N159" i="1"/>
  <c r="L159" i="1"/>
  <c r="O158" i="1"/>
  <c r="P158" i="1" s="1"/>
  <c r="N158" i="1"/>
  <c r="L158" i="1"/>
  <c r="O157" i="1"/>
  <c r="N157" i="1"/>
  <c r="L157" i="1"/>
  <c r="O156" i="1"/>
  <c r="N156" i="1"/>
  <c r="L156" i="1"/>
  <c r="G156" i="1"/>
  <c r="F156" i="1"/>
  <c r="D156" i="1"/>
  <c r="O155" i="1"/>
  <c r="N155" i="1"/>
  <c r="L155" i="1"/>
  <c r="H155" i="1"/>
  <c r="G155" i="1"/>
  <c r="F155" i="1"/>
  <c r="L154" i="1"/>
  <c r="G154" i="1"/>
  <c r="F154" i="1"/>
  <c r="G153" i="1"/>
  <c r="H153" i="1" s="1"/>
  <c r="F153" i="1"/>
  <c r="D153" i="1"/>
  <c r="O152" i="1"/>
  <c r="P152" i="1" s="1"/>
  <c r="N152" i="1"/>
  <c r="L152" i="1"/>
  <c r="G152" i="1"/>
  <c r="H152" i="1" s="1"/>
  <c r="F152" i="1"/>
  <c r="D152" i="1"/>
  <c r="O151" i="1"/>
  <c r="P151" i="1" s="1"/>
  <c r="N151" i="1"/>
  <c r="L151" i="1"/>
  <c r="G151" i="1"/>
  <c r="H151" i="1" s="1"/>
  <c r="F151" i="1"/>
  <c r="D151" i="1"/>
  <c r="O150" i="1"/>
  <c r="P150" i="1" s="1"/>
  <c r="N150" i="1"/>
  <c r="L150" i="1"/>
  <c r="D150" i="1"/>
  <c r="O149" i="1"/>
  <c r="N149" i="1"/>
  <c r="L149" i="1"/>
  <c r="O148" i="1"/>
  <c r="N148" i="1"/>
  <c r="L148" i="1"/>
  <c r="G148" i="1"/>
  <c r="H148" i="1" s="1"/>
  <c r="F148" i="1"/>
  <c r="D148" i="1"/>
  <c r="O147" i="1"/>
  <c r="P147" i="1" s="1"/>
  <c r="N147" i="1"/>
  <c r="L147" i="1"/>
  <c r="G147" i="1"/>
  <c r="F147" i="1"/>
  <c r="O146" i="1"/>
  <c r="P146" i="1" s="1"/>
  <c r="N146" i="1"/>
  <c r="L146" i="1"/>
  <c r="G146" i="1"/>
  <c r="F146" i="1"/>
  <c r="O145" i="1"/>
  <c r="N145" i="1"/>
  <c r="L145" i="1"/>
  <c r="G145" i="1"/>
  <c r="F145" i="1"/>
  <c r="D145" i="1"/>
  <c r="L144" i="1"/>
  <c r="H144" i="1"/>
  <c r="G144" i="1"/>
  <c r="F144" i="1"/>
  <c r="D144" i="1"/>
  <c r="G143" i="1"/>
  <c r="F143" i="1"/>
  <c r="H143" i="1" s="1"/>
  <c r="D143" i="1"/>
  <c r="O142" i="1"/>
  <c r="P142" i="1" s="1"/>
  <c r="N142" i="1"/>
  <c r="L142" i="1"/>
  <c r="D142" i="1"/>
  <c r="O141" i="1"/>
  <c r="N141" i="1"/>
  <c r="L141" i="1"/>
  <c r="O140" i="1"/>
  <c r="N140" i="1"/>
  <c r="L140" i="1"/>
  <c r="G140" i="1"/>
  <c r="H140" i="1" s="1"/>
  <c r="F140" i="1"/>
  <c r="D140" i="1"/>
  <c r="O139" i="1"/>
  <c r="P139" i="1" s="1"/>
  <c r="N139" i="1"/>
  <c r="L139" i="1"/>
  <c r="G139" i="1"/>
  <c r="F139" i="1"/>
  <c r="O138" i="1"/>
  <c r="P138" i="1" s="1"/>
  <c r="N138" i="1"/>
  <c r="L138" i="1"/>
  <c r="G138" i="1"/>
  <c r="H138" i="1" s="1"/>
  <c r="F138" i="1"/>
  <c r="O137" i="1"/>
  <c r="N137" i="1"/>
  <c r="L137" i="1"/>
  <c r="G137" i="1"/>
  <c r="H137" i="1" s="1"/>
  <c r="F137" i="1"/>
  <c r="D137" i="1"/>
  <c r="O136" i="1"/>
  <c r="P136" i="1" s="1"/>
  <c r="N136" i="1"/>
  <c r="L136" i="1"/>
  <c r="G136" i="1"/>
  <c r="F136" i="1"/>
  <c r="D136" i="1"/>
  <c r="O135" i="1"/>
  <c r="P135" i="1" s="1"/>
  <c r="N135" i="1"/>
  <c r="L135" i="1"/>
  <c r="G135" i="1"/>
  <c r="F135" i="1"/>
  <c r="D135" i="1"/>
  <c r="L134" i="1"/>
  <c r="D134" i="1"/>
  <c r="P133" i="1"/>
  <c r="L133" i="1"/>
  <c r="H133" i="1"/>
  <c r="D133" i="1"/>
  <c r="L131" i="1"/>
  <c r="D131" i="1"/>
  <c r="O128" i="1"/>
  <c r="N128" i="1"/>
  <c r="L128" i="1"/>
  <c r="O127" i="1"/>
  <c r="N127" i="1"/>
  <c r="L127" i="1"/>
  <c r="O126" i="1"/>
  <c r="N126" i="1"/>
  <c r="L126" i="1"/>
  <c r="P125" i="1"/>
  <c r="O125" i="1"/>
  <c r="N125" i="1"/>
  <c r="L125" i="1"/>
  <c r="O124" i="1"/>
  <c r="N124" i="1"/>
  <c r="L124" i="1"/>
  <c r="O123" i="1"/>
  <c r="N123" i="1"/>
  <c r="L123" i="1"/>
  <c r="O122" i="1"/>
  <c r="N122" i="1"/>
  <c r="L122" i="1"/>
  <c r="G122" i="1"/>
  <c r="H122" i="1" s="1"/>
  <c r="F122" i="1"/>
  <c r="D122" i="1"/>
  <c r="O121" i="1"/>
  <c r="P121" i="1" s="1"/>
  <c r="N121" i="1"/>
  <c r="L121" i="1"/>
  <c r="G121" i="1"/>
  <c r="F121" i="1"/>
  <c r="L120" i="1"/>
  <c r="G120" i="1"/>
  <c r="F120" i="1"/>
  <c r="G119" i="1"/>
  <c r="H119" i="1" s="1"/>
  <c r="F119" i="1"/>
  <c r="D119" i="1"/>
  <c r="O118" i="1"/>
  <c r="P118" i="1" s="1"/>
  <c r="N118" i="1"/>
  <c r="L118" i="1"/>
  <c r="G118" i="1"/>
  <c r="F118" i="1"/>
  <c r="D118" i="1"/>
  <c r="P117" i="1"/>
  <c r="O117" i="1"/>
  <c r="N117" i="1"/>
  <c r="L117" i="1"/>
  <c r="G117" i="1"/>
  <c r="F117" i="1"/>
  <c r="D117" i="1"/>
  <c r="O116" i="1"/>
  <c r="P116" i="1" s="1"/>
  <c r="N116" i="1"/>
  <c r="L116" i="1"/>
  <c r="D116" i="1"/>
  <c r="O115" i="1"/>
  <c r="N115" i="1"/>
  <c r="L115" i="1"/>
  <c r="O114" i="1"/>
  <c r="N114" i="1"/>
  <c r="L114" i="1"/>
  <c r="G114" i="1"/>
  <c r="F114" i="1"/>
  <c r="D114" i="1"/>
  <c r="O113" i="1"/>
  <c r="N113" i="1"/>
  <c r="L113" i="1"/>
  <c r="H113" i="1"/>
  <c r="G113" i="1"/>
  <c r="F113" i="1"/>
  <c r="O112" i="1"/>
  <c r="P112" i="1" s="1"/>
  <c r="N112" i="1"/>
  <c r="L112" i="1"/>
  <c r="G112" i="1"/>
  <c r="F112" i="1"/>
  <c r="O111" i="1"/>
  <c r="N111" i="1"/>
  <c r="L111" i="1"/>
  <c r="G111" i="1"/>
  <c r="F111" i="1"/>
  <c r="D111" i="1"/>
  <c r="L110" i="1"/>
  <c r="H110" i="1"/>
  <c r="G110" i="1"/>
  <c r="F110" i="1"/>
  <c r="D110" i="1"/>
  <c r="G109" i="1"/>
  <c r="F109" i="1"/>
  <c r="D109" i="1"/>
  <c r="O108" i="1"/>
  <c r="P108" i="1" s="1"/>
  <c r="N108" i="1"/>
  <c r="L108" i="1"/>
  <c r="D108" i="1"/>
  <c r="O107" i="1"/>
  <c r="P107" i="1" s="1"/>
  <c r="N107" i="1"/>
  <c r="L107" i="1"/>
  <c r="O106" i="1"/>
  <c r="P106" i="1" s="1"/>
  <c r="N106" i="1"/>
  <c r="L106" i="1"/>
  <c r="G106" i="1"/>
  <c r="F106" i="1"/>
  <c r="D106" i="1"/>
  <c r="O105" i="1"/>
  <c r="P105" i="1" s="1"/>
  <c r="N105" i="1"/>
  <c r="L105" i="1"/>
  <c r="G105" i="1"/>
  <c r="H105" i="1" s="1"/>
  <c r="F105" i="1"/>
  <c r="O104" i="1"/>
  <c r="P104" i="1" s="1"/>
  <c r="N104" i="1"/>
  <c r="L104" i="1"/>
  <c r="G104" i="1"/>
  <c r="H104" i="1" s="1"/>
  <c r="F104" i="1"/>
  <c r="O103" i="1"/>
  <c r="N103" i="1"/>
  <c r="L103" i="1"/>
  <c r="G103" i="1"/>
  <c r="F103" i="1"/>
  <c r="D103" i="1"/>
  <c r="O102" i="1"/>
  <c r="P102" i="1" s="1"/>
  <c r="N102" i="1"/>
  <c r="L102" i="1"/>
  <c r="G102" i="1"/>
  <c r="F102" i="1"/>
  <c r="D102" i="1"/>
  <c r="O101" i="1"/>
  <c r="P101" i="1" s="1"/>
  <c r="N101" i="1"/>
  <c r="L101" i="1"/>
  <c r="G101" i="1"/>
  <c r="F101" i="1"/>
  <c r="D101" i="1"/>
  <c r="L100" i="1"/>
  <c r="D100" i="1"/>
  <c r="P99" i="1"/>
  <c r="L99" i="1"/>
  <c r="H99" i="1"/>
  <c r="D99" i="1"/>
  <c r="AB98" i="1"/>
  <c r="AE97" i="1"/>
  <c r="AD97" i="1"/>
  <c r="AB97" i="1"/>
  <c r="N97" i="1"/>
  <c r="L97" i="1"/>
  <c r="D97" i="1"/>
  <c r="AE96" i="1"/>
  <c r="AD96" i="1"/>
  <c r="AB96" i="1"/>
  <c r="AE95" i="1"/>
  <c r="AD95" i="1"/>
  <c r="AB95" i="1"/>
  <c r="AE94" i="1"/>
  <c r="AD94" i="1"/>
  <c r="AB94" i="1"/>
  <c r="AE93" i="1"/>
  <c r="AD93" i="1"/>
  <c r="AB93" i="1"/>
  <c r="L93" i="1"/>
  <c r="D93" i="1"/>
  <c r="AE92" i="1"/>
  <c r="AD92" i="1"/>
  <c r="AD98" i="1" s="1"/>
  <c r="AB92" i="1"/>
  <c r="O92" i="1"/>
  <c r="P92" i="1" s="1"/>
  <c r="N92" i="1"/>
  <c r="L92" i="1"/>
  <c r="G92" i="1"/>
  <c r="H92" i="1" s="1"/>
  <c r="F92" i="1"/>
  <c r="D92" i="1"/>
  <c r="AB91" i="1"/>
  <c r="O91" i="1"/>
  <c r="N91" i="1"/>
  <c r="L91" i="1"/>
  <c r="G91" i="1"/>
  <c r="H91" i="1" s="1"/>
  <c r="F91" i="1"/>
  <c r="D91" i="1"/>
  <c r="AE90" i="1"/>
  <c r="AD90" i="1"/>
  <c r="AB90" i="1"/>
  <c r="O90" i="1"/>
  <c r="N90" i="1"/>
  <c r="L90" i="1"/>
  <c r="G90" i="1"/>
  <c r="F90" i="1"/>
  <c r="D90" i="1"/>
  <c r="AE89" i="1"/>
  <c r="AD89" i="1"/>
  <c r="AB89" i="1"/>
  <c r="O89" i="1"/>
  <c r="N89" i="1"/>
  <c r="L89" i="1"/>
  <c r="H89" i="1"/>
  <c r="G89" i="1"/>
  <c r="F89" i="1"/>
  <c r="D89" i="1"/>
  <c r="AE88" i="1"/>
  <c r="AD88" i="1"/>
  <c r="AB88" i="1"/>
  <c r="O88" i="1"/>
  <c r="N88" i="1"/>
  <c r="L88" i="1"/>
  <c r="G88" i="1"/>
  <c r="F88" i="1"/>
  <c r="D88" i="1"/>
  <c r="AE87" i="1"/>
  <c r="AF87" i="1" s="1"/>
  <c r="AD87" i="1"/>
  <c r="AB87" i="1"/>
  <c r="L87" i="1"/>
  <c r="D87" i="1"/>
  <c r="AE86" i="1"/>
  <c r="AD86" i="1"/>
  <c r="AB86" i="1"/>
  <c r="O86" i="1"/>
  <c r="N86" i="1"/>
  <c r="L86" i="1"/>
  <c r="G86" i="1"/>
  <c r="F86" i="1"/>
  <c r="D86" i="1"/>
  <c r="AE85" i="1"/>
  <c r="AF85" i="1" s="1"/>
  <c r="AD85" i="1"/>
  <c r="AB85" i="1"/>
  <c r="O85" i="1"/>
  <c r="N85" i="1"/>
  <c r="L85" i="1"/>
  <c r="G85" i="1"/>
  <c r="F85" i="1"/>
  <c r="D85" i="1"/>
  <c r="AB84" i="1"/>
  <c r="O84" i="1"/>
  <c r="P84" i="1" s="1"/>
  <c r="N84" i="1"/>
  <c r="L84" i="1"/>
  <c r="G84" i="1"/>
  <c r="F84" i="1"/>
  <c r="D84" i="1"/>
  <c r="AE83" i="1"/>
  <c r="AF83" i="1" s="1"/>
  <c r="AD83" i="1"/>
  <c r="AB83" i="1"/>
  <c r="T83" i="1"/>
  <c r="O83" i="1"/>
  <c r="P83" i="1" s="1"/>
  <c r="N83" i="1"/>
  <c r="L83" i="1"/>
  <c r="G83" i="1"/>
  <c r="H83" i="1" s="1"/>
  <c r="F83" i="1"/>
  <c r="D83" i="1"/>
  <c r="AE82" i="1"/>
  <c r="AD82" i="1"/>
  <c r="AB82" i="1"/>
  <c r="W82" i="1"/>
  <c r="V82" i="1"/>
  <c r="O82" i="1"/>
  <c r="N82" i="1"/>
  <c r="L82" i="1"/>
  <c r="G82" i="1"/>
  <c r="G87" i="1" s="1"/>
  <c r="F82" i="1"/>
  <c r="D82" i="1"/>
  <c r="AE81" i="1"/>
  <c r="AD81" i="1"/>
  <c r="AB81" i="1"/>
  <c r="X81" i="1"/>
  <c r="W81" i="1"/>
  <c r="V81" i="1"/>
  <c r="L81" i="1"/>
  <c r="D81" i="1"/>
  <c r="AE80" i="1"/>
  <c r="AD80" i="1"/>
  <c r="AB80" i="1"/>
  <c r="W80" i="1"/>
  <c r="V80" i="1"/>
  <c r="T80" i="1"/>
  <c r="O80" i="1"/>
  <c r="N80" i="1"/>
  <c r="L80" i="1"/>
  <c r="G80" i="1"/>
  <c r="F80" i="1"/>
  <c r="D80" i="1"/>
  <c r="AE79" i="1"/>
  <c r="AD79" i="1"/>
  <c r="AB79" i="1"/>
  <c r="T79" i="1"/>
  <c r="O79" i="1"/>
  <c r="N79" i="1"/>
  <c r="L79" i="1"/>
  <c r="G79" i="1"/>
  <c r="F79" i="1"/>
  <c r="D79" i="1"/>
  <c r="AE78" i="1"/>
  <c r="AE72" i="1" s="1"/>
  <c r="AD78" i="1"/>
  <c r="AB78" i="1"/>
  <c r="W78" i="1"/>
  <c r="X78" i="1" s="1"/>
  <c r="V78" i="1"/>
  <c r="O78" i="1"/>
  <c r="N78" i="1"/>
  <c r="P78" i="1" s="1"/>
  <c r="L78" i="1"/>
  <c r="G78" i="1"/>
  <c r="H78" i="1" s="1"/>
  <c r="F78" i="1"/>
  <c r="D78" i="1"/>
  <c r="AB77" i="1"/>
  <c r="W77" i="1"/>
  <c r="X77" i="1" s="1"/>
  <c r="V77" i="1"/>
  <c r="O77" i="1"/>
  <c r="P77" i="1" s="1"/>
  <c r="N77" i="1"/>
  <c r="L77" i="1"/>
  <c r="G77" i="1"/>
  <c r="H77" i="1" s="1"/>
  <c r="F77" i="1"/>
  <c r="D77" i="1"/>
  <c r="AB76" i="1"/>
  <c r="W76" i="1"/>
  <c r="V76" i="1"/>
  <c r="V79" i="1" s="1"/>
  <c r="T76" i="1"/>
  <c r="O76" i="1"/>
  <c r="P76" i="1" s="1"/>
  <c r="N76" i="1"/>
  <c r="L76" i="1"/>
  <c r="G76" i="1"/>
  <c r="G81" i="1" s="1"/>
  <c r="F76" i="1"/>
  <c r="F81" i="1" s="1"/>
  <c r="D76" i="1"/>
  <c r="AB75" i="1"/>
  <c r="T75" i="1"/>
  <c r="O75" i="1"/>
  <c r="N75" i="1"/>
  <c r="L75" i="1"/>
  <c r="G75" i="1"/>
  <c r="F75" i="1"/>
  <c r="D75" i="1"/>
  <c r="AB74" i="1"/>
  <c r="W74" i="1"/>
  <c r="V74" i="1"/>
  <c r="X74" i="1" s="1"/>
  <c r="O74" i="1"/>
  <c r="P74" i="1" s="1"/>
  <c r="N74" i="1"/>
  <c r="L74" i="1"/>
  <c r="G74" i="1"/>
  <c r="H74" i="1" s="1"/>
  <c r="F74" i="1"/>
  <c r="D74" i="1"/>
  <c r="AB73" i="1"/>
  <c r="W73" i="1"/>
  <c r="W70" i="1" s="1"/>
  <c r="V73" i="1"/>
  <c r="V70" i="1" s="1"/>
  <c r="O73" i="1"/>
  <c r="P73" i="1" s="1"/>
  <c r="N73" i="1"/>
  <c r="L73" i="1"/>
  <c r="G73" i="1"/>
  <c r="F73" i="1"/>
  <c r="D73" i="1"/>
  <c r="AB72" i="1"/>
  <c r="W72" i="1"/>
  <c r="X72" i="1" s="1"/>
  <c r="V72" i="1"/>
  <c r="T72" i="1"/>
  <c r="O72" i="1"/>
  <c r="P72" i="1" s="1"/>
  <c r="N72" i="1"/>
  <c r="L72" i="1"/>
  <c r="G72" i="1"/>
  <c r="F72" i="1"/>
  <c r="D72" i="1"/>
  <c r="AE71" i="1"/>
  <c r="AD71" i="1"/>
  <c r="AD77" i="1" s="1"/>
  <c r="AB71" i="1"/>
  <c r="O71" i="1"/>
  <c r="P71" i="1" s="1"/>
  <c r="N71" i="1"/>
  <c r="L71" i="1"/>
  <c r="G71" i="1"/>
  <c r="F71" i="1"/>
  <c r="D71" i="1"/>
  <c r="AE70" i="1"/>
  <c r="AF70" i="1" s="1"/>
  <c r="AD70" i="1"/>
  <c r="AD76" i="1" s="1"/>
  <c r="AB70" i="1"/>
  <c r="O70" i="1"/>
  <c r="P70" i="1" s="1"/>
  <c r="N70" i="1"/>
  <c r="L70" i="1"/>
  <c r="G70" i="1"/>
  <c r="F70" i="1"/>
  <c r="D70" i="1"/>
  <c r="AE69" i="1"/>
  <c r="AD69" i="1"/>
  <c r="AB69" i="1"/>
  <c r="T69" i="1"/>
  <c r="O69" i="1"/>
  <c r="P69" i="1" s="1"/>
  <c r="N69" i="1"/>
  <c r="L69" i="1"/>
  <c r="G69" i="1"/>
  <c r="H69" i="1" s="1"/>
  <c r="F69" i="1"/>
  <c r="D69" i="1"/>
  <c r="AE68" i="1"/>
  <c r="AD68" i="1"/>
  <c r="AB68" i="1"/>
  <c r="W68" i="1"/>
  <c r="V68" i="1"/>
  <c r="V71" i="1" s="1"/>
  <c r="O68" i="1"/>
  <c r="P68" i="1" s="1"/>
  <c r="N68" i="1"/>
  <c r="L68" i="1"/>
  <c r="G68" i="1"/>
  <c r="F68" i="1"/>
  <c r="H68" i="1" s="1"/>
  <c r="D68" i="1"/>
  <c r="AE67" i="1"/>
  <c r="AD67" i="1"/>
  <c r="AB67" i="1"/>
  <c r="X67" i="1"/>
  <c r="W67" i="1"/>
  <c r="V67" i="1"/>
  <c r="O67" i="1"/>
  <c r="N67" i="1"/>
  <c r="L67" i="1"/>
  <c r="G67" i="1"/>
  <c r="H67" i="1" s="1"/>
  <c r="F67" i="1"/>
  <c r="D67" i="1"/>
  <c r="AE66" i="1"/>
  <c r="AF66" i="1" s="1"/>
  <c r="AD66" i="1"/>
  <c r="AB66" i="1"/>
  <c r="W66" i="1"/>
  <c r="V66" i="1"/>
  <c r="V83" i="1" s="1"/>
  <c r="T66" i="1"/>
  <c r="O66" i="1"/>
  <c r="N66" i="1"/>
  <c r="N93" i="1" s="1"/>
  <c r="L66" i="1"/>
  <c r="G66" i="1"/>
  <c r="F66" i="1"/>
  <c r="D66" i="1"/>
  <c r="AB65" i="1"/>
  <c r="T65" i="1"/>
  <c r="L65" i="1"/>
  <c r="D65" i="1"/>
  <c r="AF64" i="1"/>
  <c r="AB64" i="1"/>
  <c r="X64" i="1"/>
  <c r="T64" i="1"/>
  <c r="P64" i="1"/>
  <c r="L64" i="1"/>
  <c r="H64" i="1"/>
  <c r="D64" i="1"/>
  <c r="D53" i="1"/>
  <c r="D52" i="1"/>
  <c r="H51" i="1"/>
  <c r="D51" i="1"/>
  <c r="H50" i="1"/>
  <c r="D50" i="1"/>
  <c r="G49" i="1"/>
  <c r="H49" i="1" s="1"/>
  <c r="D49" i="1"/>
  <c r="H48" i="1"/>
  <c r="D48" i="1"/>
  <c r="O46" i="1"/>
  <c r="N46" i="1"/>
  <c r="L46" i="1"/>
  <c r="G46" i="1"/>
  <c r="F46" i="1"/>
  <c r="F53" i="1" s="1"/>
  <c r="D46" i="1"/>
  <c r="O45" i="1"/>
  <c r="N45" i="1"/>
  <c r="L45" i="1"/>
  <c r="G45" i="1"/>
  <c r="F45" i="1"/>
  <c r="D45" i="1"/>
  <c r="AJ44" i="1"/>
  <c r="O44" i="1"/>
  <c r="P44" i="1" s="1"/>
  <c r="N44" i="1"/>
  <c r="L44" i="1"/>
  <c r="G44" i="1"/>
  <c r="F44" i="1"/>
  <c r="D44" i="1"/>
  <c r="AJ43" i="1"/>
  <c r="O43" i="1"/>
  <c r="P43" i="1" s="1"/>
  <c r="N43" i="1"/>
  <c r="L43" i="1"/>
  <c r="G43" i="1"/>
  <c r="F43" i="1"/>
  <c r="D43" i="1"/>
  <c r="AM42" i="1"/>
  <c r="AN42" i="1" s="1"/>
  <c r="AL42" i="1"/>
  <c r="AJ42" i="1"/>
  <c r="AB42" i="1"/>
  <c r="O42" i="1"/>
  <c r="N42" i="1"/>
  <c r="L42" i="1"/>
  <c r="G42" i="1"/>
  <c r="F42" i="1"/>
  <c r="D42" i="1"/>
  <c r="AM41" i="1"/>
  <c r="AL41" i="1"/>
  <c r="AL44" i="1" s="1"/>
  <c r="AJ41" i="1"/>
  <c r="AE41" i="1"/>
  <c r="AF41" i="1" s="1"/>
  <c r="AD41" i="1"/>
  <c r="AB41" i="1"/>
  <c r="O41" i="1"/>
  <c r="P41" i="1" s="1"/>
  <c r="N41" i="1"/>
  <c r="L41" i="1"/>
  <c r="G41" i="1"/>
  <c r="F41" i="1"/>
  <c r="D41" i="1"/>
  <c r="AE40" i="1"/>
  <c r="AD40" i="1"/>
  <c r="AB40" i="1"/>
  <c r="P40" i="1"/>
  <c r="O40" i="1"/>
  <c r="N40" i="1"/>
  <c r="L40" i="1"/>
  <c r="G40" i="1"/>
  <c r="F40" i="1"/>
  <c r="D40" i="1"/>
  <c r="AJ39" i="1"/>
  <c r="AE39" i="1"/>
  <c r="AD39" i="1"/>
  <c r="AB39" i="1"/>
  <c r="O39" i="1"/>
  <c r="N39" i="1"/>
  <c r="L39" i="1"/>
  <c r="G39" i="1"/>
  <c r="F39" i="1"/>
  <c r="D39" i="1"/>
  <c r="AL38" i="1"/>
  <c r="AJ38" i="1"/>
  <c r="AE38" i="1"/>
  <c r="AD38" i="1"/>
  <c r="AB38" i="1"/>
  <c r="O38" i="1"/>
  <c r="P38" i="1" s="1"/>
  <c r="N38" i="1"/>
  <c r="L38" i="1"/>
  <c r="G38" i="1"/>
  <c r="F38" i="1"/>
  <c r="D38" i="1"/>
  <c r="AM37" i="1"/>
  <c r="AN37" i="1" s="1"/>
  <c r="AL37" i="1"/>
  <c r="AJ37" i="1"/>
  <c r="AE37" i="1"/>
  <c r="AD37" i="1"/>
  <c r="AB37" i="1"/>
  <c r="L37" i="1"/>
  <c r="G37" i="1"/>
  <c r="F37" i="1"/>
  <c r="D37" i="1"/>
  <c r="AM36" i="1"/>
  <c r="AN36" i="1" s="1"/>
  <c r="AL36" i="1"/>
  <c r="AL39" i="1" s="1"/>
  <c r="AJ36" i="1"/>
  <c r="AE36" i="1"/>
  <c r="AD36" i="1"/>
  <c r="AD42" i="1" s="1"/>
  <c r="AB36" i="1"/>
  <c r="X36" i="1"/>
  <c r="W36" i="1"/>
  <c r="V36" i="1"/>
  <c r="T36" i="1"/>
  <c r="O36" i="1"/>
  <c r="N36" i="1"/>
  <c r="L36" i="1"/>
  <c r="G36" i="1"/>
  <c r="F36" i="1"/>
  <c r="D36" i="1"/>
  <c r="AB35" i="1"/>
  <c r="W35" i="1"/>
  <c r="X35" i="1" s="1"/>
  <c r="V35" i="1"/>
  <c r="T35" i="1"/>
  <c r="O35" i="1"/>
  <c r="N35" i="1"/>
  <c r="L35" i="1"/>
  <c r="G35" i="1"/>
  <c r="F35" i="1"/>
  <c r="D35" i="1"/>
  <c r="AJ34" i="1"/>
  <c r="AE34" i="1"/>
  <c r="AD34" i="1"/>
  <c r="AB34" i="1"/>
  <c r="W34" i="1"/>
  <c r="X34" i="1" s="1"/>
  <c r="V34" i="1"/>
  <c r="T34" i="1"/>
  <c r="O34" i="1"/>
  <c r="P34" i="1" s="1"/>
  <c r="N34" i="1"/>
  <c r="L34" i="1"/>
  <c r="G34" i="1"/>
  <c r="F34" i="1"/>
  <c r="D34" i="1"/>
  <c r="AJ33" i="1"/>
  <c r="AE33" i="1"/>
  <c r="AD33" i="1"/>
  <c r="AB33" i="1"/>
  <c r="W33" i="1"/>
  <c r="V33" i="1"/>
  <c r="T33" i="1"/>
  <c r="O33" i="1"/>
  <c r="N33" i="1"/>
  <c r="L33" i="1"/>
  <c r="G33" i="1"/>
  <c r="F33" i="1"/>
  <c r="H33" i="1" s="1"/>
  <c r="D33" i="1"/>
  <c r="AM32" i="1"/>
  <c r="AL32" i="1"/>
  <c r="AL33" i="1" s="1"/>
  <c r="AJ32" i="1"/>
  <c r="AE32" i="1"/>
  <c r="AF32" i="1" s="1"/>
  <c r="AD32" i="1"/>
  <c r="AB32" i="1"/>
  <c r="W32" i="1"/>
  <c r="V32" i="1"/>
  <c r="T32" i="1"/>
  <c r="O32" i="1"/>
  <c r="O37" i="1" s="1"/>
  <c r="N32" i="1"/>
  <c r="L32" i="1"/>
  <c r="G32" i="1"/>
  <c r="H32" i="1" s="1"/>
  <c r="F32" i="1"/>
  <c r="D32" i="1"/>
  <c r="AM31" i="1"/>
  <c r="AL31" i="1"/>
  <c r="AJ31" i="1"/>
  <c r="AE31" i="1"/>
  <c r="AD31" i="1"/>
  <c r="AB31" i="1"/>
  <c r="W31" i="1"/>
  <c r="V31" i="1"/>
  <c r="T31" i="1"/>
  <c r="L31" i="1"/>
  <c r="G31" i="1"/>
  <c r="H31" i="1" s="1"/>
  <c r="F31" i="1"/>
  <c r="D31" i="1"/>
  <c r="AE30" i="1"/>
  <c r="AF30" i="1" s="1"/>
  <c r="AD30" i="1"/>
  <c r="AB30" i="1"/>
  <c r="W30" i="1"/>
  <c r="V30" i="1"/>
  <c r="T30" i="1"/>
  <c r="O30" i="1"/>
  <c r="N30" i="1"/>
  <c r="L30" i="1"/>
  <c r="G30" i="1"/>
  <c r="F30" i="1"/>
  <c r="D30" i="1"/>
  <c r="AJ29" i="1"/>
  <c r="AE29" i="1"/>
  <c r="AE35" i="1" s="1"/>
  <c r="AD29" i="1"/>
  <c r="AB29" i="1"/>
  <c r="W29" i="1"/>
  <c r="X29" i="1" s="1"/>
  <c r="V29" i="1"/>
  <c r="T29" i="1"/>
  <c r="O29" i="1"/>
  <c r="N29" i="1"/>
  <c r="L29" i="1"/>
  <c r="G29" i="1"/>
  <c r="F29" i="1"/>
  <c r="D29" i="1"/>
  <c r="AJ28" i="1"/>
  <c r="AB28" i="1"/>
  <c r="W28" i="1"/>
  <c r="X28" i="1" s="1"/>
  <c r="V28" i="1"/>
  <c r="T28" i="1"/>
  <c r="O28" i="1"/>
  <c r="P28" i="1" s="1"/>
  <c r="N28" i="1"/>
  <c r="L28" i="1"/>
  <c r="G28" i="1"/>
  <c r="F28" i="1"/>
  <c r="D28" i="1"/>
  <c r="AJ27" i="1"/>
  <c r="AE27" i="1"/>
  <c r="AF27" i="1" s="1"/>
  <c r="AD27" i="1"/>
  <c r="AB27" i="1"/>
  <c r="T27" i="1"/>
  <c r="O27" i="1"/>
  <c r="N27" i="1"/>
  <c r="L27" i="1"/>
  <c r="G27" i="1"/>
  <c r="H27" i="1" s="1"/>
  <c r="F27" i="1"/>
  <c r="D27" i="1"/>
  <c r="AE26" i="1"/>
  <c r="AD26" i="1"/>
  <c r="AB26" i="1"/>
  <c r="W26" i="1"/>
  <c r="X26" i="1" s="1"/>
  <c r="V26" i="1"/>
  <c r="O26" i="1"/>
  <c r="N26" i="1"/>
  <c r="L26" i="1"/>
  <c r="G26" i="1"/>
  <c r="H26" i="1" s="1"/>
  <c r="F26" i="1"/>
  <c r="D26" i="1"/>
  <c r="AM25" i="1"/>
  <c r="AL25" i="1"/>
  <c r="AN25" i="1" s="1"/>
  <c r="AJ25" i="1"/>
  <c r="AE25" i="1"/>
  <c r="AF25" i="1" s="1"/>
  <c r="AD25" i="1"/>
  <c r="AB25" i="1"/>
  <c r="W25" i="1"/>
  <c r="V25" i="1"/>
  <c r="L25" i="1"/>
  <c r="G25" i="1"/>
  <c r="H25" i="1" s="1"/>
  <c r="F25" i="1"/>
  <c r="D25" i="1"/>
  <c r="AM24" i="1"/>
  <c r="AL24" i="1"/>
  <c r="AJ24" i="1"/>
  <c r="AE24" i="1"/>
  <c r="AD24" i="1"/>
  <c r="AB24" i="1"/>
  <c r="W24" i="1"/>
  <c r="V24" i="1"/>
  <c r="T24" i="1"/>
  <c r="O24" i="1"/>
  <c r="N24" i="1"/>
  <c r="L24" i="1"/>
  <c r="G24" i="1"/>
  <c r="H24" i="1" s="1"/>
  <c r="F24" i="1"/>
  <c r="D24" i="1"/>
  <c r="AM23" i="1"/>
  <c r="AL23" i="1"/>
  <c r="AJ23" i="1"/>
  <c r="AE23" i="1"/>
  <c r="AF23" i="1" s="1"/>
  <c r="AD23" i="1"/>
  <c r="AB23" i="1"/>
  <c r="T23" i="1"/>
  <c r="O23" i="1"/>
  <c r="N23" i="1"/>
  <c r="L23" i="1"/>
  <c r="G23" i="1"/>
  <c r="F23" i="1"/>
  <c r="D23" i="1"/>
  <c r="AM22" i="1"/>
  <c r="AN22" i="1" s="1"/>
  <c r="AL22" i="1"/>
  <c r="AJ22" i="1"/>
  <c r="AE22" i="1"/>
  <c r="AD22" i="1"/>
  <c r="AD28" i="1" s="1"/>
  <c r="AB22" i="1"/>
  <c r="W22" i="1"/>
  <c r="X22" i="1" s="1"/>
  <c r="V22" i="1"/>
  <c r="P22" i="1"/>
  <c r="O22" i="1"/>
  <c r="N22" i="1"/>
  <c r="L22" i="1"/>
  <c r="G22" i="1"/>
  <c r="F22" i="1"/>
  <c r="D22" i="1"/>
  <c r="AM21" i="1"/>
  <c r="AN21" i="1" s="1"/>
  <c r="AL21" i="1"/>
  <c r="AJ21" i="1"/>
  <c r="AB21" i="1"/>
  <c r="X21" i="1"/>
  <c r="W21" i="1"/>
  <c r="V21" i="1"/>
  <c r="O21" i="1"/>
  <c r="P21" i="1" s="1"/>
  <c r="N21" i="1"/>
  <c r="L21" i="1"/>
  <c r="G21" i="1"/>
  <c r="F21" i="1"/>
  <c r="D21" i="1"/>
  <c r="AM20" i="1"/>
  <c r="AL20" i="1"/>
  <c r="AJ20" i="1"/>
  <c r="AB20" i="1"/>
  <c r="W20" i="1"/>
  <c r="V20" i="1"/>
  <c r="T20" i="1"/>
  <c r="O20" i="1"/>
  <c r="N20" i="1"/>
  <c r="N25" i="1" s="1"/>
  <c r="L20" i="1"/>
  <c r="G20" i="1"/>
  <c r="F20" i="1"/>
  <c r="D20" i="1"/>
  <c r="AM19" i="1"/>
  <c r="AL19" i="1"/>
  <c r="AB19" i="1"/>
  <c r="T19" i="1"/>
  <c r="O19" i="1"/>
  <c r="N19" i="1"/>
  <c r="P19" i="1" s="1"/>
  <c r="L19" i="1"/>
  <c r="G19" i="1"/>
  <c r="H19" i="1" s="1"/>
  <c r="F19" i="1"/>
  <c r="D19" i="1"/>
  <c r="AM18" i="1"/>
  <c r="AL18" i="1"/>
  <c r="AB18" i="1"/>
  <c r="W18" i="1"/>
  <c r="V18" i="1"/>
  <c r="O18" i="1"/>
  <c r="N18" i="1"/>
  <c r="L18" i="1"/>
  <c r="G18" i="1"/>
  <c r="H18" i="1" s="1"/>
  <c r="F18" i="1"/>
  <c r="D18" i="1"/>
  <c r="AM17" i="1"/>
  <c r="AN17" i="1" s="1"/>
  <c r="AL17" i="1"/>
  <c r="AJ17" i="1"/>
  <c r="AB17" i="1"/>
  <c r="W17" i="1"/>
  <c r="V17" i="1"/>
  <c r="O17" i="1"/>
  <c r="N17" i="1"/>
  <c r="L17" i="1"/>
  <c r="G17" i="1"/>
  <c r="F17" i="1"/>
  <c r="D17" i="1"/>
  <c r="AM16" i="1"/>
  <c r="AL16" i="1"/>
  <c r="AJ16" i="1"/>
  <c r="AD16" i="1"/>
  <c r="AB16" i="1"/>
  <c r="W16" i="1"/>
  <c r="V16" i="1"/>
  <c r="V19" i="1" s="1"/>
  <c r="T16" i="1"/>
  <c r="O16" i="1"/>
  <c r="N16" i="1"/>
  <c r="L16" i="1"/>
  <c r="G16" i="1"/>
  <c r="F16" i="1"/>
  <c r="D16" i="1"/>
  <c r="AM15" i="1"/>
  <c r="AN15" i="1" s="1"/>
  <c r="AL15" i="1"/>
  <c r="AE15" i="1"/>
  <c r="AF15" i="1" s="1"/>
  <c r="AD15" i="1"/>
  <c r="AD21" i="1" s="1"/>
  <c r="AB15" i="1"/>
  <c r="O15" i="1"/>
  <c r="P15" i="1" s="1"/>
  <c r="N15" i="1"/>
  <c r="L15" i="1"/>
  <c r="G15" i="1"/>
  <c r="H15" i="1" s="1"/>
  <c r="F15" i="1"/>
  <c r="D15" i="1"/>
  <c r="AM14" i="1"/>
  <c r="AL14" i="1"/>
  <c r="AF14" i="1"/>
  <c r="AE14" i="1"/>
  <c r="AE20" i="1" s="1"/>
  <c r="AF20" i="1" s="1"/>
  <c r="AD14" i="1"/>
  <c r="AD20" i="1" s="1"/>
  <c r="AB14" i="1"/>
  <c r="O14" i="1"/>
  <c r="N14" i="1"/>
  <c r="L14" i="1"/>
  <c r="G14" i="1"/>
  <c r="F14" i="1"/>
  <c r="D14" i="1"/>
  <c r="AM13" i="1"/>
  <c r="AL13" i="1"/>
  <c r="AJ13" i="1"/>
  <c r="AE13" i="1"/>
  <c r="AE19" i="1" s="1"/>
  <c r="AD13" i="1"/>
  <c r="AD19" i="1" s="1"/>
  <c r="AB13" i="1"/>
  <c r="T13" i="1"/>
  <c r="O13" i="1"/>
  <c r="N13" i="1"/>
  <c r="L13" i="1"/>
  <c r="G13" i="1"/>
  <c r="F13" i="1"/>
  <c r="D13" i="1"/>
  <c r="AM12" i="1"/>
  <c r="AN12" i="1" s="1"/>
  <c r="AL12" i="1"/>
  <c r="AJ12" i="1"/>
  <c r="AE12" i="1"/>
  <c r="AD12" i="1"/>
  <c r="AD18" i="1" s="1"/>
  <c r="AB12" i="1"/>
  <c r="W12" i="1"/>
  <c r="W15" i="1" s="1"/>
  <c r="V12" i="1"/>
  <c r="P12" i="1"/>
  <c r="O12" i="1"/>
  <c r="N12" i="1"/>
  <c r="L12" i="1"/>
  <c r="G12" i="1"/>
  <c r="F12" i="1"/>
  <c r="H12" i="1" s="1"/>
  <c r="D12" i="1"/>
  <c r="AM11" i="1"/>
  <c r="AM28" i="1" s="1"/>
  <c r="AL11" i="1"/>
  <c r="AJ11" i="1"/>
  <c r="AE11" i="1"/>
  <c r="AD11" i="1"/>
  <c r="AD17" i="1" s="1"/>
  <c r="AB11" i="1"/>
  <c r="X11" i="1"/>
  <c r="W11" i="1"/>
  <c r="W14" i="1" s="1"/>
  <c r="V11" i="1"/>
  <c r="V14" i="1" s="1"/>
  <c r="O11" i="1"/>
  <c r="P11" i="1" s="1"/>
  <c r="N11" i="1"/>
  <c r="L11" i="1"/>
  <c r="G11" i="1"/>
  <c r="F11" i="1"/>
  <c r="D11" i="1"/>
  <c r="AM10" i="1"/>
  <c r="AL10" i="1"/>
  <c r="AJ10" i="1"/>
  <c r="AE10" i="1"/>
  <c r="AD10" i="1"/>
  <c r="AB10" i="1"/>
  <c r="W10" i="1"/>
  <c r="V10" i="1"/>
  <c r="V27" i="1" s="1"/>
  <c r="T10" i="1"/>
  <c r="O10" i="1"/>
  <c r="P10" i="1" s="1"/>
  <c r="N10" i="1"/>
  <c r="L10" i="1"/>
  <c r="G10" i="1"/>
  <c r="F10" i="1"/>
  <c r="D10" i="1"/>
  <c r="AJ9" i="1"/>
  <c r="AB9" i="1"/>
  <c r="T9" i="1"/>
  <c r="L9" i="1"/>
  <c r="D9" i="1"/>
  <c r="AN8" i="1"/>
  <c r="AJ8" i="1"/>
  <c r="AF8" i="1"/>
  <c r="AB8" i="1"/>
  <c r="X8" i="1"/>
  <c r="T8" i="1"/>
  <c r="P8" i="1"/>
  <c r="L8" i="1"/>
  <c r="H8" i="1"/>
  <c r="D8" i="1"/>
  <c r="AL6" i="1"/>
  <c r="AD6" i="1"/>
  <c r="V6" i="1"/>
  <c r="N6" i="1"/>
  <c r="F6" i="1"/>
  <c r="L3" i="1"/>
  <c r="D3" i="1"/>
  <c r="X14" i="1" l="1"/>
  <c r="H13" i="1"/>
  <c r="H16" i="1"/>
  <c r="X18" i="1"/>
  <c r="P24" i="1"/>
  <c r="H11" i="1"/>
  <c r="P14" i="1"/>
  <c r="P17" i="1"/>
  <c r="H21" i="1"/>
  <c r="H22" i="1"/>
  <c r="AN31" i="1"/>
  <c r="P35" i="1"/>
  <c r="P39" i="1"/>
  <c r="P46" i="1"/>
  <c r="X68" i="1"/>
  <c r="X70" i="1"/>
  <c r="AF88" i="1"/>
  <c r="P90" i="1"/>
  <c r="AF95" i="1"/>
  <c r="H117" i="1"/>
  <c r="H120" i="1"/>
  <c r="P128" i="1"/>
  <c r="P141" i="1"/>
  <c r="H145" i="1"/>
  <c r="P149" i="1"/>
  <c r="H10" i="1"/>
  <c r="AE17" i="1"/>
  <c r="AF17" i="1" s="1"/>
  <c r="AE21" i="1"/>
  <c r="AF21" i="1" s="1"/>
  <c r="AF22" i="1"/>
  <c r="AN23" i="1"/>
  <c r="AF26" i="1"/>
  <c r="H38" i="1"/>
  <c r="H43" i="1"/>
  <c r="H70" i="1"/>
  <c r="H76" i="1"/>
  <c r="N81" i="1"/>
  <c r="F87" i="1"/>
  <c r="H87" i="1" s="1"/>
  <c r="H84" i="1"/>
  <c r="P91" i="1"/>
  <c r="AF97" i="1"/>
  <c r="N31" i="1"/>
  <c r="AE74" i="1"/>
  <c r="H71" i="1"/>
  <c r="H82" i="1"/>
  <c r="AE76" i="1"/>
  <c r="AF76" i="1" s="1"/>
  <c r="P85" i="1"/>
  <c r="AF90" i="1"/>
  <c r="AE91" i="1"/>
  <c r="AF96" i="1"/>
  <c r="P111" i="1"/>
  <c r="H121" i="1"/>
  <c r="P124" i="1"/>
  <c r="H135" i="1"/>
  <c r="H139" i="1"/>
  <c r="P145" i="1"/>
  <c r="H147" i="1"/>
  <c r="H154" i="1"/>
  <c r="P157" i="1"/>
  <c r="X10" i="1"/>
  <c r="H42" i="1"/>
  <c r="H45" i="1"/>
  <c r="AF67" i="1"/>
  <c r="AL27" i="1"/>
  <c r="W13" i="1"/>
  <c r="W75" i="1"/>
  <c r="AN10" i="1"/>
  <c r="AN11" i="1"/>
  <c r="V15" i="1"/>
  <c r="X15" i="1" s="1"/>
  <c r="H14" i="1"/>
  <c r="W19" i="1"/>
  <c r="X19" i="1" s="1"/>
  <c r="H17" i="1"/>
  <c r="P18" i="1"/>
  <c r="P20" i="1"/>
  <c r="AN20" i="1"/>
  <c r="AF24" i="1"/>
  <c r="X25" i="1"/>
  <c r="AM27" i="1"/>
  <c r="AN27" i="1" s="1"/>
  <c r="H29" i="1"/>
  <c r="AD35" i="1"/>
  <c r="P30" i="1"/>
  <c r="AF31" i="1"/>
  <c r="N37" i="1"/>
  <c r="H35" i="1"/>
  <c r="H39" i="1"/>
  <c r="AM39" i="1"/>
  <c r="AN39" i="1" s="1"/>
  <c r="G53" i="1"/>
  <c r="H53" i="1" s="1"/>
  <c r="P66" i="1"/>
  <c r="AD75" i="1"/>
  <c r="H80" i="1"/>
  <c r="AD91" i="1"/>
  <c r="P86" i="1"/>
  <c r="H90" i="1"/>
  <c r="AF92" i="1"/>
  <c r="AF94" i="1"/>
  <c r="H112" i="1"/>
  <c r="P114" i="1"/>
  <c r="P122" i="1"/>
  <c r="P127" i="1"/>
  <c r="P140" i="1"/>
  <c r="H146" i="1"/>
  <c r="P148" i="1"/>
  <c r="H156" i="1"/>
  <c r="AN19" i="1"/>
  <c r="H23" i="1"/>
  <c r="H75" i="1"/>
  <c r="X76" i="1"/>
  <c r="W79" i="1"/>
  <c r="X79" i="1" s="1"/>
  <c r="AF81" i="1"/>
  <c r="P89" i="1"/>
  <c r="P113" i="1"/>
  <c r="H118" i="1"/>
  <c r="P156" i="1"/>
  <c r="P27" i="1"/>
  <c r="P159" i="1"/>
  <c r="V23" i="1"/>
  <c r="X23" i="1" s="1"/>
  <c r="AL34" i="1"/>
  <c r="H36" i="1"/>
  <c r="AN14" i="1"/>
  <c r="W23" i="1"/>
  <c r="AN24" i="1"/>
  <c r="H28" i="1"/>
  <c r="P29" i="1"/>
  <c r="X30" i="1"/>
  <c r="H44" i="1"/>
  <c r="H72" i="1"/>
  <c r="H81" i="1"/>
  <c r="X82" i="1"/>
  <c r="H85" i="1"/>
  <c r="AF86" i="1"/>
  <c r="H109" i="1"/>
  <c r="P115" i="1"/>
  <c r="P123" i="1"/>
  <c r="AF12" i="1"/>
  <c r="AE18" i="1"/>
  <c r="AF18" i="1" s="1"/>
  <c r="AL28" i="1"/>
  <c r="AN28" i="1" s="1"/>
  <c r="X33" i="1"/>
  <c r="AF34" i="1"/>
  <c r="F93" i="1"/>
  <c r="H106" i="1"/>
  <c r="AE42" i="1"/>
  <c r="AF42" i="1" s="1"/>
  <c r="P13" i="1"/>
  <c r="AN13" i="1"/>
  <c r="P16" i="1"/>
  <c r="AN16" i="1"/>
  <c r="X17" i="1"/>
  <c r="AN18" i="1"/>
  <c r="H20" i="1"/>
  <c r="P23" i="1"/>
  <c r="X24" i="1"/>
  <c r="H30" i="1"/>
  <c r="X31" i="1"/>
  <c r="AM38" i="1"/>
  <c r="AN38" i="1" s="1"/>
  <c r="H41" i="1"/>
  <c r="P42" i="1"/>
  <c r="P45" i="1"/>
  <c r="H66" i="1"/>
  <c r="AD72" i="1"/>
  <c r="AF72" i="1" s="1"/>
  <c r="W71" i="1"/>
  <c r="P75" i="1"/>
  <c r="H79" i="1"/>
  <c r="H86" i="1"/>
  <c r="H88" i="1"/>
  <c r="AF89" i="1"/>
  <c r="AF93" i="1"/>
  <c r="P103" i="1"/>
  <c r="H114" i="1"/>
  <c r="P126" i="1"/>
  <c r="P137" i="1"/>
  <c r="P155" i="1"/>
  <c r="AF35" i="1"/>
  <c r="AF19" i="1"/>
  <c r="X75" i="1"/>
  <c r="P37" i="1"/>
  <c r="N62" i="1"/>
  <c r="F131" i="1"/>
  <c r="F97" i="1"/>
  <c r="AD62" i="1"/>
  <c r="W27" i="1"/>
  <c r="X27" i="1" s="1"/>
  <c r="AE28" i="1"/>
  <c r="AF28" i="1" s="1"/>
  <c r="O31" i="1"/>
  <c r="P31" i="1" s="1"/>
  <c r="V62" i="1"/>
  <c r="AE84" i="1"/>
  <c r="AF78" i="1"/>
  <c r="O93" i="1"/>
  <c r="P93" i="1" s="1"/>
  <c r="X16" i="1"/>
  <c r="AM34" i="1"/>
  <c r="AF38" i="1"/>
  <c r="AM43" i="1"/>
  <c r="AD74" i="1"/>
  <c r="P80" i="1"/>
  <c r="N87" i="1"/>
  <c r="AF82" i="1"/>
  <c r="P88" i="1"/>
  <c r="H101" i="1"/>
  <c r="H111" i="1"/>
  <c r="O25" i="1"/>
  <c r="P25" i="1" s="1"/>
  <c r="O87" i="1"/>
  <c r="AF10" i="1"/>
  <c r="AN41" i="1"/>
  <c r="AM44" i="1"/>
  <c r="AN44" i="1" s="1"/>
  <c r="AF79" i="1"/>
  <c r="W83" i="1"/>
  <c r="X83" i="1" s="1"/>
  <c r="X80" i="1"/>
  <c r="X12" i="1"/>
  <c r="AF13" i="1"/>
  <c r="X20" i="1"/>
  <c r="AF29" i="1"/>
  <c r="P33" i="1"/>
  <c r="AF36" i="1"/>
  <c r="AF40" i="1"/>
  <c r="W69" i="1"/>
  <c r="X66" i="1"/>
  <c r="H73" i="1"/>
  <c r="H103" i="1"/>
  <c r="N131" i="1"/>
  <c r="AF74" i="1"/>
  <c r="AF37" i="1"/>
  <c r="AD73" i="1"/>
  <c r="AF68" i="1"/>
  <c r="X73" i="1"/>
  <c r="P32" i="1"/>
  <c r="AE73" i="1"/>
  <c r="AF73" i="1" s="1"/>
  <c r="AF11" i="1"/>
  <c r="P26" i="1"/>
  <c r="AN32" i="1"/>
  <c r="P36" i="1"/>
  <c r="H40" i="1"/>
  <c r="H46" i="1"/>
  <c r="P67" i="1"/>
  <c r="AE75" i="1"/>
  <c r="AF75" i="1" s="1"/>
  <c r="P79" i="1"/>
  <c r="H34" i="1"/>
  <c r="P82" i="1"/>
  <c r="AE16" i="1"/>
  <c r="AF16" i="1" s="1"/>
  <c r="AF33" i="1"/>
  <c r="H37" i="1"/>
  <c r="X71" i="1"/>
  <c r="O81" i="1"/>
  <c r="P81" i="1" s="1"/>
  <c r="H136" i="1"/>
  <c r="V13" i="1"/>
  <c r="X13" i="1" s="1"/>
  <c r="X32" i="1"/>
  <c r="AM33" i="1"/>
  <c r="AN33" i="1" s="1"/>
  <c r="AF39" i="1"/>
  <c r="AL43" i="1"/>
  <c r="F62" i="1"/>
  <c r="AF69" i="1"/>
  <c r="AE77" i="1"/>
  <c r="AF77" i="1" s="1"/>
  <c r="AF71" i="1"/>
  <c r="V69" i="1"/>
  <c r="V75" i="1"/>
  <c r="AD84" i="1"/>
  <c r="AF80" i="1"/>
  <c r="G93" i="1"/>
  <c r="H93" i="1" s="1"/>
  <c r="AE98" i="1"/>
  <c r="AF98" i="1" s="1"/>
  <c r="H102" i="1"/>
  <c r="AM29" i="1" l="1"/>
  <c r="AF91" i="1"/>
  <c r="AN34" i="1"/>
  <c r="AL29" i="1"/>
  <c r="X69" i="1"/>
  <c r="AF84" i="1"/>
  <c r="P87" i="1"/>
  <c r="AN43" i="1"/>
  <c r="AN29" i="1" l="1"/>
</calcChain>
</file>

<file path=xl/sharedStrings.xml><?xml version="1.0" encoding="utf-8"?>
<sst xmlns="http://schemas.openxmlformats.org/spreadsheetml/2006/main" count="45" uniqueCount="12">
  <si>
    <t>Español</t>
  </si>
  <si>
    <t>esp</t>
  </si>
  <si>
    <t>English</t>
  </si>
  <si>
    <t>eng</t>
  </si>
  <si>
    <t>idioma</t>
  </si>
  <si>
    <t>PRISA MEDIA</t>
  </si>
  <si>
    <t>PRISA RADIO</t>
  </si>
  <si>
    <t>PRISA NOTICIAS</t>
  </si>
  <si>
    <t>Prisa Radio</t>
  </si>
  <si>
    <t>Prisa Noticias</t>
  </si>
  <si>
    <t>El País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</si>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</sst>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b/>
      <sz val="11"/>
      <color rgb="FF03678B"/>
      <name val="Neo Sans Pro"/>
      <family val="2"/>
    </font>
    <font>
      <b/>
      <sz val="11"/>
      <color theme="1"/>
      <name val="Neo Sans Pro"/>
      <family val="2"/>
    </font>
    <font>
      <i/>
      <sz val="11"/>
      <color theme="1"/>
      <name val="Neo Sans Pro"/>
      <family val="2"/>
    </font>
    <font>
      <sz val="11"/>
      <color rgb="FFFF0000"/>
      <name val="Neo Sans Pro"/>
      <family val="2"/>
    </font>
    <font>
      <sz val="8"/>
      <color rgb="FFFF0000"/>
      <name val="Neo Sans Pro"/>
      <family val="2"/>
    </font>
    <font>
      <b/>
      <sz val="10"/>
      <color theme="1"/>
      <name val="Neo Sans Pro"/>
      <family val="2"/>
    </font>
    <font>
      <sz val="9"/>
      <color rgb="FFFF0000"/>
      <name val="Neo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/>
      <right/>
      <top style="thin">
        <color rgb="FF03678B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3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5" borderId="0" xfId="1" applyNumberFormat="1" applyFont="1" applyFill="1" applyAlignment="1">
      <alignment horizontal="right" vertical="center" indent="1"/>
    </xf>
    <xf numFmtId="0" fontId="8" fillId="2" borderId="7" xfId="0" applyFont="1" applyFill="1" applyBorder="1" applyAlignment="1">
      <alignment vertical="center"/>
    </xf>
    <xf numFmtId="165" fontId="8" fillId="4" borderId="7" xfId="0" applyNumberFormat="1" applyFont="1" applyFill="1" applyBorder="1" applyAlignment="1">
      <alignment horizontal="right" vertical="center" indent="1"/>
    </xf>
    <xf numFmtId="165" fontId="8" fillId="2" borderId="7" xfId="0" applyNumberFormat="1" applyFont="1" applyFill="1" applyBorder="1" applyAlignment="1">
      <alignment horizontal="right" vertical="center" indent="1"/>
    </xf>
    <xf numFmtId="164" fontId="8" fillId="5" borderId="7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4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Alignment="1">
      <alignment horizontal="right" vertical="center" indent="1"/>
    </xf>
    <xf numFmtId="0" fontId="8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3"/>
    </xf>
    <xf numFmtId="165" fontId="4" fillId="4" borderId="0" xfId="0" applyNumberFormat="1" applyFont="1" applyFill="1" applyAlignment="1">
      <alignment horizontal="right" vertical="center" indent="1"/>
    </xf>
    <xf numFmtId="165" fontId="4" fillId="2" borderId="0" xfId="0" applyNumberFormat="1" applyFont="1" applyFill="1" applyAlignment="1">
      <alignment horizontal="right" vertical="center" indent="1"/>
    </xf>
    <xf numFmtId="164" fontId="4" fillId="5" borderId="0" xfId="1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 indent="3"/>
    </xf>
    <xf numFmtId="0" fontId="4" fillId="2" borderId="0" xfId="0" applyFont="1" applyFill="1" applyAlignment="1">
      <alignment horizontal="left" vertical="center" indent="5"/>
    </xf>
    <xf numFmtId="0" fontId="9" fillId="2" borderId="0" xfId="0" applyFont="1" applyFill="1"/>
    <xf numFmtId="0" fontId="9" fillId="2" borderId="0" xfId="0" applyFont="1" applyFill="1" applyAlignment="1">
      <alignment horizontal="left" vertical="center" indent="1"/>
    </xf>
    <xf numFmtId="164" fontId="9" fillId="4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4" fontId="9" fillId="5" borderId="0" xfId="1" applyNumberFormat="1" applyFont="1" applyFill="1" applyAlignment="1">
      <alignment horizontal="right" vertical="center" indent="1"/>
    </xf>
    <xf numFmtId="0" fontId="8" fillId="2" borderId="0" xfId="0" applyFont="1" applyFill="1" applyBorder="1" applyAlignment="1">
      <alignment horizontal="left" vertical="center" indent="1"/>
    </xf>
    <xf numFmtId="0" fontId="8" fillId="2" borderId="0" xfId="0" applyFont="1" applyFill="1" applyBorder="1"/>
    <xf numFmtId="165" fontId="8" fillId="4" borderId="0" xfId="0" applyNumberFormat="1" applyFont="1" applyFill="1" applyBorder="1" applyAlignment="1">
      <alignment horizontal="right" vertical="center" indent="1"/>
    </xf>
    <xf numFmtId="165" fontId="8" fillId="2" borderId="0" xfId="0" applyNumberFormat="1" applyFont="1" applyFill="1" applyBorder="1" applyAlignment="1">
      <alignment horizontal="right" vertical="center" indent="1"/>
    </xf>
    <xf numFmtId="164" fontId="8" fillId="5" borderId="0" xfId="1" applyNumberFormat="1" applyFont="1" applyFill="1" applyBorder="1" applyAlignment="1">
      <alignment horizontal="right" vertical="center" indent="1"/>
    </xf>
    <xf numFmtId="0" fontId="8" fillId="2" borderId="8" xfId="0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right" vertical="center" indent="1"/>
    </xf>
    <xf numFmtId="165" fontId="8" fillId="2" borderId="8" xfId="0" applyNumberFormat="1" applyFont="1" applyFill="1" applyBorder="1" applyAlignment="1">
      <alignment horizontal="right" vertical="center" indent="1"/>
    </xf>
    <xf numFmtId="164" fontId="8" fillId="5" borderId="8" xfId="1" applyNumberFormat="1" applyFont="1" applyFill="1" applyBorder="1" applyAlignment="1">
      <alignment horizontal="right" vertical="center" indent="1"/>
    </xf>
    <xf numFmtId="164" fontId="4" fillId="2" borderId="0" xfId="1" applyNumberFormat="1" applyFont="1" applyFill="1" applyAlignment="1">
      <alignment horizontal="righ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/>
    <xf numFmtId="165" fontId="3" fillId="4" borderId="0" xfId="0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 applyBorder="1" applyAlignment="1">
      <alignment horizontal="right" vertical="center" indent="1"/>
    </xf>
    <xf numFmtId="164" fontId="3" fillId="5" borderId="0" xfId="1" applyNumberFormat="1" applyFont="1" applyFill="1" applyBorder="1" applyAlignment="1">
      <alignment horizontal="right" vertical="center" indent="1"/>
    </xf>
    <xf numFmtId="0" fontId="8" fillId="2" borderId="0" xfId="0" applyFont="1" applyFill="1" applyBorder="1" applyAlignment="1">
      <alignment vertical="center"/>
    </xf>
    <xf numFmtId="0" fontId="3" fillId="6" borderId="0" xfId="0" applyFont="1" applyFill="1"/>
    <xf numFmtId="0" fontId="10" fillId="2" borderId="0" xfId="0" applyFont="1" applyFill="1" applyBorder="1"/>
    <xf numFmtId="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21/3.%20Marzo/Nota%20IR/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GRUPO DIGITAL"/>
      <sheetName val="EDUCACIÓN"/>
      <sheetName val="MEDIA"/>
      <sheetName val="RADIO"/>
      <sheetName val="NOTICIAS"/>
      <sheetName val="To Publish"/>
    </sheetNames>
    <sheetDataSet>
      <sheetData sheetId="0">
        <row r="10">
          <cell r="F10">
            <v>158.51658144846473</v>
          </cell>
          <cell r="G10">
            <v>261.19907899086581</v>
          </cell>
        </row>
        <row r="11">
          <cell r="F11">
            <v>65.21368741000002</v>
          </cell>
          <cell r="G11">
            <v>70.972200090000257</v>
          </cell>
        </row>
        <row r="12">
          <cell r="F12">
            <v>93.302894038464729</v>
          </cell>
          <cell r="G12">
            <v>190.22687890086556</v>
          </cell>
        </row>
        <row r="13">
          <cell r="F13">
            <v>93.29376403846473</v>
          </cell>
          <cell r="G13">
            <v>190.21611390086554</v>
          </cell>
        </row>
        <row r="14">
          <cell r="F14">
            <v>9.1299999999999992E-3</v>
          </cell>
          <cell r="G14">
            <v>1.0765000000000328E-2</v>
          </cell>
        </row>
        <row r="15">
          <cell r="F15">
            <v>146.21046737362451</v>
          </cell>
          <cell r="G15">
            <v>197.1307994085567</v>
          </cell>
        </row>
        <row r="16">
          <cell r="F16">
            <v>82.257625590000217</v>
          </cell>
          <cell r="G16">
            <v>81.7046375299999</v>
          </cell>
        </row>
        <row r="17">
          <cell r="F17">
            <v>63.952841783624294</v>
          </cell>
          <cell r="G17">
            <v>115.42616187855681</v>
          </cell>
        </row>
        <row r="18">
          <cell r="F18">
            <v>63.720771123624289</v>
          </cell>
          <cell r="G18">
            <v>115.20491319855678</v>
          </cell>
        </row>
        <row r="19">
          <cell r="F19">
            <v>0.23207066000000004</v>
          </cell>
          <cell r="G19">
            <v>0.22124868000000111</v>
          </cell>
        </row>
        <row r="20">
          <cell r="F20">
            <v>12.306114074840236</v>
          </cell>
          <cell r="G20">
            <v>64.068279582309103</v>
          </cell>
        </row>
        <row r="21">
          <cell r="F21">
            <v>-17.0439381800002</v>
          </cell>
          <cell r="G21">
            <v>-10.732437439999645</v>
          </cell>
        </row>
        <row r="22">
          <cell r="F22">
            <v>29.350052254840438</v>
          </cell>
          <cell r="G22">
            <v>74.800717022308746</v>
          </cell>
        </row>
        <row r="23">
          <cell r="F23">
            <v>29.572992914840437</v>
          </cell>
          <cell r="G23">
            <v>75.011200702308756</v>
          </cell>
        </row>
        <row r="24">
          <cell r="F24">
            <v>-0.22294066000000004</v>
          </cell>
          <cell r="G24">
            <v>-0.21048368000000078</v>
          </cell>
        </row>
        <row r="25">
          <cell r="F25">
            <v>7.7632976704339746E-2</v>
          </cell>
          <cell r="G25">
            <v>0.24528524307909058</v>
          </cell>
        </row>
        <row r="26">
          <cell r="F26">
            <v>17.08371216388354</v>
          </cell>
          <cell r="G26">
            <v>66.246658934930124</v>
          </cell>
        </row>
        <row r="27">
          <cell r="F27">
            <v>-13.756565780000201</v>
          </cell>
          <cell r="G27">
            <v>-9.4244134099996479</v>
          </cell>
        </row>
        <row r="28">
          <cell r="F28">
            <v>30.840277943883741</v>
          </cell>
          <cell r="G28">
            <v>75.671072344929769</v>
          </cell>
        </row>
        <row r="29">
          <cell r="F29">
            <v>31.053218603883742</v>
          </cell>
          <cell r="G29">
            <v>75.881556024929765</v>
          </cell>
        </row>
        <row r="30">
          <cell r="F30">
            <v>-0.21294066000000003</v>
          </cell>
          <cell r="G30">
            <v>-0.21048368000000078</v>
          </cell>
        </row>
        <row r="31">
          <cell r="F31">
            <v>0.10777239836854303</v>
          </cell>
          <cell r="G31">
            <v>0.25362516281019037</v>
          </cell>
        </row>
        <row r="32">
          <cell r="F32">
            <v>-4.5422962159075864</v>
          </cell>
          <cell r="G32">
            <v>41.499516463561697</v>
          </cell>
        </row>
        <row r="33">
          <cell r="F33">
            <v>-22.939316960000163</v>
          </cell>
          <cell r="G33">
            <v>-17.430049139999625</v>
          </cell>
        </row>
        <row r="34">
          <cell r="F34">
            <v>18.397020744092575</v>
          </cell>
          <cell r="G34">
            <v>58.929565603561322</v>
          </cell>
        </row>
        <row r="35">
          <cell r="F35">
            <v>18.624102404092575</v>
          </cell>
          <cell r="G35">
            <v>59.144194283561326</v>
          </cell>
        </row>
        <row r="36">
          <cell r="F36">
            <v>-0.22708165999999999</v>
          </cell>
          <cell r="G36">
            <v>-0.21462868000000304</v>
          </cell>
        </row>
        <row r="37">
          <cell r="F37">
            <v>-2.8655022549702983E-2</v>
          </cell>
          <cell r="G37">
            <v>0.15888079170835417</v>
          </cell>
        </row>
        <row r="38">
          <cell r="F38">
            <v>-7.139595696873557</v>
          </cell>
          <cell r="G38">
            <v>-15.087088290659748</v>
          </cell>
        </row>
        <row r="39">
          <cell r="F39">
            <v>-12.749603917566901</v>
          </cell>
          <cell r="G39">
            <v>-14.8010302940241</v>
          </cell>
        </row>
        <row r="40">
          <cell r="F40">
            <v>5.6100082206933441</v>
          </cell>
          <cell r="G40">
            <v>-0.28605799663564824</v>
          </cell>
        </row>
        <row r="41">
          <cell r="F41">
            <v>-0.37289308740165872</v>
          </cell>
          <cell r="G41">
            <v>1.5009225349023869</v>
          </cell>
        </row>
        <row r="42">
          <cell r="F42">
            <v>-12.054785000182802</v>
          </cell>
          <cell r="G42">
            <v>27.913350707804334</v>
          </cell>
        </row>
        <row r="43">
          <cell r="F43">
            <v>3.6694249003337247</v>
          </cell>
          <cell r="G43">
            <v>24.992844512806542</v>
          </cell>
        </row>
        <row r="44">
          <cell r="F44">
            <v>-1.9180000000005749E-5</v>
          </cell>
          <cell r="G44">
            <v>-30.304709971246499</v>
          </cell>
        </row>
        <row r="45">
          <cell r="F45">
            <v>-1.948006584721351</v>
          </cell>
          <cell r="G45">
            <v>-1.2481050697074199</v>
          </cell>
        </row>
        <row r="46">
          <cell r="F46">
            <v>-13.776222495795086</v>
          </cell>
          <cell r="G46">
            <v>-26.136098706541286</v>
          </cell>
        </row>
        <row r="49">
          <cell r="G49">
            <v>28.768000000000001</v>
          </cell>
        </row>
        <row r="66">
          <cell r="F66">
            <v>178.59112042110573</v>
          </cell>
          <cell r="G66">
            <v>261.19907899086581</v>
          </cell>
        </row>
        <row r="67">
          <cell r="F67">
            <v>65.21368741000002</v>
          </cell>
          <cell r="G67">
            <v>70.972200090000257</v>
          </cell>
        </row>
        <row r="68">
          <cell r="F68">
            <v>113.37743301110572</v>
          </cell>
          <cell r="G68">
            <v>190.22687890086556</v>
          </cell>
        </row>
        <row r="69">
          <cell r="F69">
            <v>113.36830301110571</v>
          </cell>
          <cell r="G69">
            <v>190.21611390086554</v>
          </cell>
        </row>
        <row r="70">
          <cell r="F70">
            <v>9.1299999999999992E-3</v>
          </cell>
          <cell r="G70">
            <v>1.0765000000000328E-2</v>
          </cell>
        </row>
        <row r="71">
          <cell r="F71">
            <v>159.82920402821327</v>
          </cell>
          <cell r="G71">
            <v>197.1307994085567</v>
          </cell>
        </row>
        <row r="72">
          <cell r="F72">
            <v>82.257625590000231</v>
          </cell>
          <cell r="G72">
            <v>81.7046375299999</v>
          </cell>
        </row>
        <row r="73">
          <cell r="F73">
            <v>77.571578438213066</v>
          </cell>
          <cell r="G73">
            <v>115.42616187855681</v>
          </cell>
        </row>
        <row r="74">
          <cell r="F74">
            <v>77.339507778213061</v>
          </cell>
          <cell r="G74">
            <v>115.20491319855678</v>
          </cell>
        </row>
        <row r="75">
          <cell r="F75">
            <v>0.23207066000000004</v>
          </cell>
          <cell r="G75">
            <v>0.22124868000000111</v>
          </cell>
        </row>
        <row r="76">
          <cell r="F76">
            <v>18.761916392892445</v>
          </cell>
          <cell r="G76">
            <v>64.068279582309103</v>
          </cell>
        </row>
        <row r="77">
          <cell r="F77">
            <v>-17.043938180000207</v>
          </cell>
          <cell r="G77">
            <v>-10.732437439999645</v>
          </cell>
        </row>
        <row r="78">
          <cell r="F78">
            <v>35.805854572892656</v>
          </cell>
          <cell r="G78">
            <v>74.800717022308746</v>
          </cell>
        </row>
        <row r="79">
          <cell r="F79">
            <v>36.028795232892648</v>
          </cell>
          <cell r="G79">
            <v>75.011200702308756</v>
          </cell>
        </row>
        <row r="80">
          <cell r="F80">
            <v>-0.22294066000000004</v>
          </cell>
          <cell r="G80">
            <v>-0.21048368000000078</v>
          </cell>
        </row>
        <row r="82">
          <cell r="F82">
            <v>23.668986682606018</v>
          </cell>
          <cell r="G82">
            <v>66.246658934930124</v>
          </cell>
        </row>
        <row r="83">
          <cell r="F83">
            <v>-13.756565780000201</v>
          </cell>
          <cell r="G83">
            <v>-9.4244134099996479</v>
          </cell>
        </row>
        <row r="84">
          <cell r="F84">
            <v>37.42555246260622</v>
          </cell>
          <cell r="G84">
            <v>75.671072344929769</v>
          </cell>
        </row>
        <row r="85">
          <cell r="F85">
            <v>37.638493122606221</v>
          </cell>
          <cell r="G85">
            <v>75.881556024929765</v>
          </cell>
        </row>
        <row r="86">
          <cell r="F86">
            <v>-0.21294066000000003</v>
          </cell>
          <cell r="G86">
            <v>-0.21048368000000078</v>
          </cell>
        </row>
        <row r="88">
          <cell r="F88">
            <v>-0.235855776065584</v>
          </cell>
          <cell r="G88">
            <v>41.499516463561697</v>
          </cell>
        </row>
        <row r="89">
          <cell r="F89">
            <v>-22.939316960000163</v>
          </cell>
          <cell r="G89">
            <v>-17.430049139999625</v>
          </cell>
        </row>
        <row r="90">
          <cell r="F90">
            <v>22.703461183934579</v>
          </cell>
          <cell r="G90">
            <v>58.929565603561322</v>
          </cell>
        </row>
        <row r="91">
          <cell r="F91">
            <v>22.930542843934578</v>
          </cell>
          <cell r="G91">
            <v>59.144194283561326</v>
          </cell>
        </row>
        <row r="92">
          <cell r="F92">
            <v>-0.22708165999999999</v>
          </cell>
          <cell r="G92">
            <v>-0.21462868000000304</v>
          </cell>
        </row>
        <row r="101">
          <cell r="F101">
            <v>158.51658144846473</v>
          </cell>
          <cell r="G101">
            <v>261.19907899086581</v>
          </cell>
        </row>
        <row r="102">
          <cell r="F102">
            <v>81.973272202614567</v>
          </cell>
          <cell r="G102">
            <v>176.5828878332112</v>
          </cell>
        </row>
        <row r="103">
          <cell r="F103">
            <v>76.994704155209462</v>
          </cell>
          <cell r="G103">
            <v>84.859654484298744</v>
          </cell>
        </row>
        <row r="104">
          <cell r="F104">
            <v>41.277071328214191</v>
          </cell>
          <cell r="G104">
            <v>47.354662346819083</v>
          </cell>
        </row>
        <row r="105">
          <cell r="F105">
            <v>39.95309610522029</v>
          </cell>
          <cell r="G105">
            <v>41.695034774625768</v>
          </cell>
        </row>
        <row r="106">
          <cell r="F106">
            <v>-0.45139490935929416</v>
          </cell>
          <cell r="G106">
            <v>-0.24346332664413239</v>
          </cell>
        </row>
        <row r="109">
          <cell r="F109">
            <v>12.306114074840236</v>
          </cell>
          <cell r="G109">
            <v>64.068279582309103</v>
          </cell>
        </row>
        <row r="110">
          <cell r="F110">
            <v>23.239009985863333</v>
          </cell>
          <cell r="G110">
            <v>70.406173505081398</v>
          </cell>
        </row>
        <row r="111">
          <cell r="F111">
            <v>-7.4751540810229002</v>
          </cell>
          <cell r="G111">
            <v>-5.2946700227722374</v>
          </cell>
        </row>
        <row r="112">
          <cell r="F112">
            <v>-4.4917523685174734</v>
          </cell>
          <cell r="G112">
            <v>0.67236373096305901</v>
          </cell>
        </row>
        <row r="113">
          <cell r="F113">
            <v>-2.9834017125054126</v>
          </cell>
          <cell r="G113">
            <v>-5.967033753735322</v>
          </cell>
        </row>
        <row r="114">
          <cell r="F114">
            <v>-3.457741830000197</v>
          </cell>
          <cell r="G114">
            <v>-1.0432239000000578</v>
          </cell>
        </row>
        <row r="117">
          <cell r="F117">
            <v>17.08371216388354</v>
          </cell>
          <cell r="G117">
            <v>66.246658934930124</v>
          </cell>
        </row>
        <row r="118">
          <cell r="F118">
            <v>24.540263168747227</v>
          </cell>
          <cell r="G118">
            <v>71.097754165420838</v>
          </cell>
        </row>
        <row r="119">
          <cell r="F119">
            <v>-4.7590224848634897</v>
          </cell>
          <cell r="G119">
            <v>-4.2626351804906513</v>
          </cell>
        </row>
        <row r="120">
          <cell r="F120">
            <v>-3.3255692219018642</v>
          </cell>
          <cell r="G120">
            <v>0.89070439190165562</v>
          </cell>
        </row>
        <row r="121">
          <cell r="F121">
            <v>-1.1838094929616128</v>
          </cell>
          <cell r="G121">
            <v>-5.1533395723923316</v>
          </cell>
        </row>
        <row r="122">
          <cell r="F122">
            <v>-2.6975285200001977</v>
          </cell>
          <cell r="G122">
            <v>-0.5884600500000623</v>
          </cell>
        </row>
        <row r="129">
          <cell r="F129">
            <v>178.59112042110573</v>
          </cell>
          <cell r="G129">
            <v>261.19907899086581</v>
          </cell>
        </row>
        <row r="130">
          <cell r="F130">
            <v>101.50351165607286</v>
          </cell>
          <cell r="G130">
            <v>176.5828878332112</v>
          </cell>
        </row>
        <row r="131">
          <cell r="F131">
            <v>77.539003674392134</v>
          </cell>
          <cell r="G131">
            <v>84.859654484298744</v>
          </cell>
        </row>
        <row r="132">
          <cell r="F132">
            <v>41.757643405448981</v>
          </cell>
          <cell r="G132">
            <v>47.354662346819083</v>
          </cell>
        </row>
        <row r="133">
          <cell r="F133">
            <v>40.01682354716818</v>
          </cell>
          <cell r="G133">
            <v>41.695034774625768</v>
          </cell>
        </row>
        <row r="134">
          <cell r="F134">
            <v>-0.45139490935926574</v>
          </cell>
          <cell r="G134">
            <v>-0.24346332664413239</v>
          </cell>
        </row>
        <row r="137">
          <cell r="F137">
            <v>18.761916392892445</v>
          </cell>
          <cell r="G137">
            <v>64.068279582309103</v>
          </cell>
        </row>
        <row r="138">
          <cell r="F138">
            <v>30.016583952717475</v>
          </cell>
          <cell r="G138">
            <v>70.406173505081398</v>
          </cell>
        </row>
        <row r="139">
          <cell r="F139">
            <v>-7.7969257298248307</v>
          </cell>
          <cell r="G139">
            <v>-5.2946700227722374</v>
          </cell>
        </row>
        <row r="140">
          <cell r="F140">
            <v>-4.8655863833245627</v>
          </cell>
          <cell r="G140">
            <v>0.67236373096305901</v>
          </cell>
        </row>
        <row r="141">
          <cell r="F141">
            <v>-2.9313393465002533</v>
          </cell>
          <cell r="G141">
            <v>-5.967033753735322</v>
          </cell>
        </row>
        <row r="142">
          <cell r="F142">
            <v>-3.4577418300001996</v>
          </cell>
          <cell r="G142">
            <v>-1.0432239000000578</v>
          </cell>
        </row>
        <row r="145">
          <cell r="F145">
            <v>23.668986682606018</v>
          </cell>
          <cell r="G145">
            <v>66.246658934930124</v>
          </cell>
        </row>
        <row r="146">
          <cell r="F146">
            <v>31.439803070763404</v>
          </cell>
          <cell r="G146">
            <v>71.097754165420838</v>
          </cell>
        </row>
        <row r="147">
          <cell r="F147">
            <v>-5.0732878681571911</v>
          </cell>
          <cell r="G147">
            <v>-4.2626351804906513</v>
          </cell>
        </row>
        <row r="148">
          <cell r="F148">
            <v>-3.6923697906013029</v>
          </cell>
          <cell r="G148">
            <v>0.89070439190165562</v>
          </cell>
        </row>
        <row r="149">
          <cell r="F149">
            <v>-1.1312743075558749</v>
          </cell>
          <cell r="G149">
            <v>-5.1533395723923316</v>
          </cell>
        </row>
        <row r="150">
          <cell r="F150">
            <v>-2.6975285200001942</v>
          </cell>
          <cell r="G150">
            <v>-0.5884600500000623</v>
          </cell>
        </row>
      </sheetData>
      <sheetData sheetId="1"/>
      <sheetData sheetId="2">
        <row r="10">
          <cell r="F10">
            <v>81.973272202614567</v>
          </cell>
          <cell r="G10">
            <v>176.5828878332112</v>
          </cell>
        </row>
        <row r="11">
          <cell r="F11">
            <v>80.640593482614563</v>
          </cell>
          <cell r="G11">
            <v>176.3009401532112</v>
          </cell>
        </row>
        <row r="12">
          <cell r="F12">
            <v>22.836535194300652</v>
          </cell>
          <cell r="G12">
            <v>68.393471026145093</v>
          </cell>
        </row>
        <row r="13">
          <cell r="F13">
            <v>57.804058288313911</v>
          </cell>
          <cell r="G13">
            <v>107.90746912706611</v>
          </cell>
        </row>
        <row r="14">
          <cell r="F14">
            <v>1.3326787200000001</v>
          </cell>
          <cell r="G14">
            <v>0.28194768000000009</v>
          </cell>
        </row>
        <row r="15">
          <cell r="F15">
            <v>58.734262216751233</v>
          </cell>
          <cell r="G15">
            <v>106.1767143281298</v>
          </cell>
        </row>
        <row r="16">
          <cell r="F16">
            <v>51.679502236751233</v>
          </cell>
          <cell r="G16">
            <v>99.976439138129805</v>
          </cell>
        </row>
        <row r="17">
          <cell r="F17">
            <v>18.5916602359395</v>
          </cell>
          <cell r="G17">
            <v>36.436842668354615</v>
          </cell>
        </row>
        <row r="18">
          <cell r="F18">
            <v>33.087842000811733</v>
          </cell>
          <cell r="G18">
            <v>63.539596469775191</v>
          </cell>
        </row>
        <row r="19">
          <cell r="F19">
            <v>7.0547599799999983</v>
          </cell>
          <cell r="G19">
            <v>6.2002751900000002</v>
          </cell>
        </row>
        <row r="20">
          <cell r="F20">
            <v>23.239009985863333</v>
          </cell>
          <cell r="G20">
            <v>70.406173505081398</v>
          </cell>
        </row>
        <row r="21">
          <cell r="F21">
            <v>28.961091245863333</v>
          </cell>
          <cell r="G21">
            <v>76.324501015081395</v>
          </cell>
        </row>
        <row r="22">
          <cell r="F22">
            <v>4.2448749583611507</v>
          </cell>
          <cell r="G22">
            <v>31.956628357790478</v>
          </cell>
        </row>
        <row r="23">
          <cell r="F23">
            <v>24.716216287502181</v>
          </cell>
          <cell r="G23">
            <v>44.367872657290917</v>
          </cell>
        </row>
        <row r="24">
          <cell r="F24">
            <v>-5.7220812599999986</v>
          </cell>
          <cell r="G24">
            <v>-5.9183275100000001</v>
          </cell>
        </row>
        <row r="26">
          <cell r="F26">
            <v>24.540263168747227</v>
          </cell>
          <cell r="G26">
            <v>71.097754165420838</v>
          </cell>
        </row>
        <row r="27">
          <cell r="F27">
            <v>30.261825568747227</v>
          </cell>
          <cell r="G27">
            <v>77.016081675420835</v>
          </cell>
        </row>
        <row r="28">
          <cell r="F28">
            <v>4.4989553089565222</v>
          </cell>
          <cell r="G28">
            <v>32.438351011919984</v>
          </cell>
        </row>
        <row r="29">
          <cell r="F29">
            <v>25.762870259790706</v>
          </cell>
          <cell r="G29">
            <v>44.577730663500851</v>
          </cell>
        </row>
        <row r="30">
          <cell r="F30">
            <v>-5.7215623999999989</v>
          </cell>
          <cell r="G30">
            <v>-5.9183275100000001</v>
          </cell>
        </row>
        <row r="32">
          <cell r="F32">
            <v>12.875162207788966</v>
          </cell>
          <cell r="G32">
            <v>55.478387590088829</v>
          </cell>
        </row>
        <row r="33">
          <cell r="F33">
            <v>19.437515987788966</v>
          </cell>
          <cell r="G33">
            <v>62.250317240046371</v>
          </cell>
        </row>
        <row r="34">
          <cell r="F34">
            <v>0.98257938126424416</v>
          </cell>
          <cell r="G34">
            <v>25.178893160138728</v>
          </cell>
        </row>
        <row r="35">
          <cell r="F35">
            <v>18.454936606524722</v>
          </cell>
          <cell r="G35">
            <v>37.071424079907644</v>
          </cell>
        </row>
        <row r="36">
          <cell r="F36">
            <v>-6.5623537799999996</v>
          </cell>
          <cell r="G36">
            <v>-6.7719296499575456</v>
          </cell>
        </row>
        <row r="38">
          <cell r="F38">
            <v>0.28028948361040618</v>
          </cell>
          <cell r="G38">
            <v>-3.0942805447422918E-2</v>
          </cell>
        </row>
        <row r="39">
          <cell r="F39">
            <v>-2.0814268588007674</v>
          </cell>
          <cell r="G39">
            <v>-2.09898728720629</v>
          </cell>
        </row>
        <row r="40">
          <cell r="F40">
            <v>2.3617163424111736</v>
          </cell>
          <cell r="G40">
            <v>2.068044481758867</v>
          </cell>
        </row>
        <row r="41">
          <cell r="F41">
            <v>0</v>
          </cell>
          <cell r="G41">
            <v>0</v>
          </cell>
        </row>
        <row r="42">
          <cell r="F42">
            <v>13.155451691399373</v>
          </cell>
          <cell r="G42">
            <v>55.447444784641405</v>
          </cell>
        </row>
        <row r="43">
          <cell r="F43">
            <v>4.2475967554266081</v>
          </cell>
          <cell r="G43">
            <v>20.729003090763459</v>
          </cell>
        </row>
        <row r="44">
          <cell r="F44">
            <v>0</v>
          </cell>
          <cell r="G44">
            <v>-5.3024434600000001</v>
          </cell>
        </row>
        <row r="45">
          <cell r="F45">
            <v>8.8860721739601342E-2</v>
          </cell>
          <cell r="G45">
            <v>0.27884530230982002</v>
          </cell>
        </row>
        <row r="46">
          <cell r="F46">
            <v>8.8189942142331823</v>
          </cell>
          <cell r="G46">
            <v>29.137152931568139</v>
          </cell>
        </row>
        <row r="55">
          <cell r="F55">
            <v>101.50351165607286</v>
          </cell>
          <cell r="G55">
            <v>176.5828878332112</v>
          </cell>
        </row>
        <row r="56">
          <cell r="F56">
            <v>100.17083293607286</v>
          </cell>
          <cell r="G56">
            <v>176.3009401532112</v>
          </cell>
        </row>
        <row r="57">
          <cell r="F57">
            <v>31.823898888755956</v>
          </cell>
          <cell r="G57">
            <v>68.393471026145093</v>
          </cell>
        </row>
        <row r="58">
          <cell r="F58">
            <v>68.346934047316893</v>
          </cell>
          <cell r="G58">
            <v>107.90746912706611</v>
          </cell>
        </row>
        <row r="59">
          <cell r="F59">
            <v>1.3326787200000001</v>
          </cell>
          <cell r="G59">
            <v>0.28194768000000009</v>
          </cell>
        </row>
        <row r="60">
          <cell r="F60">
            <v>71.486927703355377</v>
          </cell>
          <cell r="G60">
            <v>106.1767143281298</v>
          </cell>
        </row>
        <row r="61">
          <cell r="F61">
            <v>64.432167723355377</v>
          </cell>
          <cell r="G61">
            <v>99.976439138129805</v>
          </cell>
        </row>
        <row r="62">
          <cell r="F62">
            <v>25.865857293192832</v>
          </cell>
          <cell r="G62">
            <v>36.436842668354615</v>
          </cell>
        </row>
        <row r="63">
          <cell r="F63">
            <v>38.566310430162545</v>
          </cell>
          <cell r="G63">
            <v>63.539596469775191</v>
          </cell>
        </row>
        <row r="64">
          <cell r="F64">
            <v>7.0547599799999983</v>
          </cell>
          <cell r="G64">
            <v>6.2002751900000002</v>
          </cell>
        </row>
        <row r="65">
          <cell r="F65">
            <v>30.016583952717475</v>
          </cell>
          <cell r="G65">
            <v>70.406173505081398</v>
          </cell>
        </row>
        <row r="66">
          <cell r="F66">
            <v>35.738665212717471</v>
          </cell>
          <cell r="G66">
            <v>76.324501015081395</v>
          </cell>
        </row>
        <row r="67">
          <cell r="F67">
            <v>5.9580415955631247</v>
          </cell>
          <cell r="G67">
            <v>31.956628357790478</v>
          </cell>
        </row>
        <row r="68">
          <cell r="F68">
            <v>29.780623617154347</v>
          </cell>
          <cell r="G68">
            <v>44.367872657290917</v>
          </cell>
        </row>
        <row r="69">
          <cell r="F69">
            <v>-5.7220812599999986</v>
          </cell>
          <cell r="G69">
            <v>-5.9183275100000001</v>
          </cell>
        </row>
        <row r="71">
          <cell r="F71">
            <v>31.439803070763404</v>
          </cell>
          <cell r="G71">
            <v>71.097754165420838</v>
          </cell>
        </row>
        <row r="72">
          <cell r="F72">
            <v>37.1613654707634</v>
          </cell>
          <cell r="G72">
            <v>77.016081675420835</v>
          </cell>
        </row>
        <row r="73">
          <cell r="F73">
            <v>6.2862698337620682</v>
          </cell>
          <cell r="G73">
            <v>32.438351011919984</v>
          </cell>
        </row>
        <row r="74">
          <cell r="F74">
            <v>30.87509563700133</v>
          </cell>
          <cell r="G74">
            <v>44.577730663500851</v>
          </cell>
        </row>
        <row r="75">
          <cell r="F75">
            <v>-5.7215623999999989</v>
          </cell>
          <cell r="G75">
            <v>-5.9183275100000001</v>
          </cell>
        </row>
        <row r="77">
          <cell r="F77">
            <v>17.633535277430404</v>
          </cell>
          <cell r="G77">
            <v>55.478387590088829</v>
          </cell>
        </row>
        <row r="78">
          <cell r="F78">
            <v>24.195889057430403</v>
          </cell>
          <cell r="G78">
            <v>62.250317240046371</v>
          </cell>
        </row>
        <row r="79">
          <cell r="F79">
            <v>1.4548147728441554</v>
          </cell>
          <cell r="G79">
            <v>25.178893160138728</v>
          </cell>
        </row>
        <row r="80">
          <cell r="F80">
            <v>22.741074284586247</v>
          </cell>
          <cell r="G80">
            <v>37.071424079907644</v>
          </cell>
        </row>
        <row r="81">
          <cell r="F81">
            <v>-6.5623537799999996</v>
          </cell>
          <cell r="G81">
            <v>-6.7719296499575456</v>
          </cell>
        </row>
        <row r="90">
          <cell r="F90">
            <v>81.973272202614567</v>
          </cell>
          <cell r="G90">
            <v>176.5828878332112</v>
          </cell>
        </row>
        <row r="91">
          <cell r="F91">
            <v>74.079016626709205</v>
          </cell>
          <cell r="G91">
            <v>162.07996587334992</v>
          </cell>
        </row>
        <row r="92">
          <cell r="F92">
            <v>22.836535194300652</v>
          </cell>
          <cell r="G92">
            <v>68.393471026145093</v>
          </cell>
        </row>
        <row r="93">
          <cell r="F93">
            <v>51.242481432408553</v>
          </cell>
          <cell r="G93">
            <v>93.686494847204827</v>
          </cell>
        </row>
        <row r="94">
          <cell r="F94">
            <v>6.561927561747841</v>
          </cell>
          <cell r="G94">
            <v>14.235675611701637</v>
          </cell>
        </row>
        <row r="95">
          <cell r="F95">
            <v>5.7725292125455079</v>
          </cell>
          <cell r="G95">
            <v>7.446241874649302</v>
          </cell>
        </row>
        <row r="96">
          <cell r="F96">
            <v>0.78939834920233309</v>
          </cell>
          <cell r="G96">
            <v>6.7894337370523354</v>
          </cell>
        </row>
        <row r="97">
          <cell r="F97">
            <v>1.3326787200000001</v>
          </cell>
          <cell r="G97">
            <v>0.28194768000000009</v>
          </cell>
        </row>
        <row r="100">
          <cell r="F100">
            <v>23.239009985863333</v>
          </cell>
          <cell r="G100">
            <v>70.406173505081398</v>
          </cell>
        </row>
        <row r="101">
          <cell r="F101">
            <v>32.216883118917288</v>
          </cell>
          <cell r="G101">
            <v>86.269386014034055</v>
          </cell>
        </row>
        <row r="102">
          <cell r="F102">
            <v>4.2448749583611507</v>
          </cell>
          <cell r="G102">
            <v>31.956628357790478</v>
          </cell>
        </row>
        <row r="103">
          <cell r="F103">
            <v>27.972008160556136</v>
          </cell>
          <cell r="G103">
            <v>54.312757656243576</v>
          </cell>
        </row>
        <row r="104">
          <cell r="F104">
            <v>-3.9545193032982482</v>
          </cell>
          <cell r="G104">
            <v>-4.1395167187283688</v>
          </cell>
        </row>
        <row r="105">
          <cell r="F105">
            <v>-2.1061937203303116</v>
          </cell>
          <cell r="G105">
            <v>-3.6579748690459235</v>
          </cell>
        </row>
        <row r="106">
          <cell r="F106">
            <v>-1.8483255829679366</v>
          </cell>
          <cell r="G106">
            <v>-0.48154184968244529</v>
          </cell>
        </row>
        <row r="107">
          <cell r="F107">
            <v>-5.7220812599999986</v>
          </cell>
          <cell r="G107">
            <v>-5.9183275100000001</v>
          </cell>
        </row>
        <row r="110">
          <cell r="F110">
            <v>24.540263168747227</v>
          </cell>
          <cell r="G110">
            <v>71.097754165420838</v>
          </cell>
        </row>
        <row r="111">
          <cell r="F111">
            <v>32.961059019088005</v>
          </cell>
          <cell r="G111">
            <v>86.907547078354142</v>
          </cell>
        </row>
        <row r="112">
          <cell r="F112">
            <v>4.4989553089565222</v>
          </cell>
          <cell r="G112">
            <v>32.438351011919984</v>
          </cell>
        </row>
        <row r="113">
          <cell r="F113">
            <v>28.462103710131483</v>
          </cell>
          <cell r="G113">
            <v>54.469196066434158</v>
          </cell>
        </row>
        <row r="114">
          <cell r="F114">
            <v>-3.3953149549080948</v>
          </cell>
          <cell r="G114">
            <v>-4.0860775108249436</v>
          </cell>
        </row>
        <row r="115">
          <cell r="F115">
            <v>-2.0082596437293474</v>
          </cell>
          <cell r="G115">
            <v>-3.6044807032483868</v>
          </cell>
        </row>
        <row r="116">
          <cell r="F116">
            <v>-1.3870553111787474</v>
          </cell>
          <cell r="G116">
            <v>-0.48159680757655687</v>
          </cell>
        </row>
        <row r="117">
          <cell r="F117">
            <v>-5.7215623999999989</v>
          </cell>
          <cell r="G117">
            <v>-5.9183275100000001</v>
          </cell>
        </row>
        <row r="124">
          <cell r="F124">
            <v>101.50351165607286</v>
          </cell>
          <cell r="G124">
            <v>176.5828878332112</v>
          </cell>
        </row>
        <row r="125">
          <cell r="F125">
            <v>92.860199907264189</v>
          </cell>
          <cell r="G125">
            <v>162.07996587334992</v>
          </cell>
        </row>
        <row r="126">
          <cell r="F126">
            <v>31.823898888755956</v>
          </cell>
          <cell r="G126">
            <v>68.393471026145093</v>
          </cell>
        </row>
        <row r="127">
          <cell r="F127">
            <v>61.036301018508233</v>
          </cell>
          <cell r="G127">
            <v>93.686494847204827</v>
          </cell>
        </row>
        <row r="128">
          <cell r="F128">
            <v>7.3109837346511446</v>
          </cell>
          <cell r="G128">
            <v>14.235675611701637</v>
          </cell>
        </row>
        <row r="129">
          <cell r="F129">
            <v>6.4414647387923374</v>
          </cell>
          <cell r="G129">
            <v>7.446241874649302</v>
          </cell>
        </row>
        <row r="130">
          <cell r="F130">
            <v>0.86951899585880721</v>
          </cell>
          <cell r="G130">
            <v>6.7894337370523354</v>
          </cell>
        </row>
        <row r="131">
          <cell r="F131">
            <v>1.3326787200000001</v>
          </cell>
          <cell r="G131">
            <v>0.28194768000000009</v>
          </cell>
        </row>
        <row r="134">
          <cell r="F134">
            <v>30.016583952717475</v>
          </cell>
          <cell r="G134">
            <v>70.406173505081398</v>
          </cell>
        </row>
        <row r="135">
          <cell r="F135">
            <v>39.453516832759838</v>
          </cell>
          <cell r="G135">
            <v>86.269386014034055</v>
          </cell>
        </row>
        <row r="136">
          <cell r="F136">
            <v>5.9580415955631247</v>
          </cell>
          <cell r="G136">
            <v>31.956628357790478</v>
          </cell>
        </row>
        <row r="137">
          <cell r="F137">
            <v>33.495475237196715</v>
          </cell>
          <cell r="G137">
            <v>54.312757656243576</v>
          </cell>
        </row>
        <row r="138">
          <cell r="F138">
            <v>-4.413579050286649</v>
          </cell>
          <cell r="G138">
            <v>-4.1395167187283688</v>
          </cell>
        </row>
        <row r="139">
          <cell r="F139">
            <v>-2.3376047965527333</v>
          </cell>
          <cell r="G139">
            <v>-3.6579748690459235</v>
          </cell>
        </row>
        <row r="140">
          <cell r="F140">
            <v>-2.0759742537339156</v>
          </cell>
          <cell r="G140">
            <v>-0.48154184968244529</v>
          </cell>
        </row>
        <row r="141">
          <cell r="F141">
            <v>-5.7220812599999986</v>
          </cell>
          <cell r="G141">
            <v>-5.9183275100000001</v>
          </cell>
        </row>
        <row r="144">
          <cell r="F144">
            <v>31.439803070763404</v>
          </cell>
          <cell r="G144">
            <v>71.097754165420838</v>
          </cell>
        </row>
        <row r="145">
          <cell r="F145">
            <v>40.287481853966682</v>
          </cell>
          <cell r="G145">
            <v>86.907547078354142</v>
          </cell>
        </row>
        <row r="146">
          <cell r="F146">
            <v>6.2862698337620682</v>
          </cell>
          <cell r="G146">
            <v>32.438351011919984</v>
          </cell>
        </row>
        <row r="147">
          <cell r="F147">
            <v>34.001212020204612</v>
          </cell>
          <cell r="G147">
            <v>54.469196066434158</v>
          </cell>
        </row>
        <row r="148">
          <cell r="F148">
            <v>-3.8221978877705887</v>
          </cell>
          <cell r="G148">
            <v>-4.0860775108249436</v>
          </cell>
        </row>
        <row r="149">
          <cell r="F149">
            <v>-2.2254177217653019</v>
          </cell>
          <cell r="G149">
            <v>-3.6044807032483868</v>
          </cell>
        </row>
        <row r="150">
          <cell r="F150">
            <v>-1.5967801660052867</v>
          </cell>
          <cell r="G150">
            <v>-0.48159680757655687</v>
          </cell>
        </row>
        <row r="151">
          <cell r="F151">
            <v>-5.7215623999999989</v>
          </cell>
          <cell r="G151">
            <v>-5.9183275100000001</v>
          </cell>
        </row>
      </sheetData>
      <sheetData sheetId="3">
        <row r="10">
          <cell r="F10">
            <v>76.994704155209462</v>
          </cell>
          <cell r="G10">
            <v>84.859654484298744</v>
          </cell>
        </row>
        <row r="11">
          <cell r="F11">
            <v>41.277071328214191</v>
          </cell>
          <cell r="G11">
            <v>47.354662346819083</v>
          </cell>
        </row>
        <row r="14">
          <cell r="F14">
            <v>39.95309610522029</v>
          </cell>
          <cell r="G14">
            <v>41.695034774625768</v>
          </cell>
        </row>
        <row r="24">
          <cell r="F24">
            <v>-7.4751540810229002</v>
          </cell>
          <cell r="G24">
            <v>-5.2946700227722374</v>
          </cell>
        </row>
        <row r="25">
          <cell r="F25">
            <v>-4.4917523685174734</v>
          </cell>
          <cell r="G25">
            <v>0.67236373096305901</v>
          </cell>
        </row>
        <row r="28">
          <cell r="F28">
            <v>-2.9834017125054126</v>
          </cell>
          <cell r="G28">
            <v>-5.967033753735322</v>
          </cell>
        </row>
        <row r="32">
          <cell r="F32">
            <v>-4.7590224848634897</v>
          </cell>
          <cell r="G32">
            <v>-4.2626351804906513</v>
          </cell>
        </row>
        <row r="33">
          <cell r="F33">
            <v>-3.3255692219018642</v>
          </cell>
          <cell r="G33">
            <v>0.89070439190165562</v>
          </cell>
        </row>
        <row r="36">
          <cell r="F36">
            <v>-1.1838094929616128</v>
          </cell>
          <cell r="G36">
            <v>-5.1533395723923316</v>
          </cell>
        </row>
        <row r="40">
          <cell r="F40">
            <v>-13.734996033696341</v>
          </cell>
          <cell r="G40">
            <v>-12.501998686527141</v>
          </cell>
        </row>
        <row r="41">
          <cell r="F41">
            <v>-8.3586836392392563</v>
          </cell>
          <cell r="G41">
            <v>-4.0749751270621779</v>
          </cell>
        </row>
        <row r="44">
          <cell r="F44">
            <v>-5.3763123944570577</v>
          </cell>
          <cell r="G44">
            <v>-8.4270235594650256</v>
          </cell>
        </row>
        <row r="48">
          <cell r="F48">
            <v>-1.3653987404839611</v>
          </cell>
          <cell r="G48">
            <v>-0.51184292521230901</v>
          </cell>
        </row>
        <row r="49">
          <cell r="F49">
            <v>-1.2785197487661342</v>
          </cell>
          <cell r="G49">
            <v>-1.3717672968178587</v>
          </cell>
        </row>
        <row r="50">
          <cell r="F50">
            <v>-8.6878991717826981E-2</v>
          </cell>
          <cell r="G50">
            <v>0.85992437160554969</v>
          </cell>
        </row>
        <row r="51">
          <cell r="F51">
            <v>-0.38089046490165868</v>
          </cell>
          <cell r="G51">
            <v>1.5070316624023887</v>
          </cell>
        </row>
        <row r="52">
          <cell r="F52">
            <v>-15.481285239081961</v>
          </cell>
          <cell r="G52">
            <v>-11.506809949337061</v>
          </cell>
        </row>
        <row r="53">
          <cell r="F53">
            <v>-0.58977485509288496</v>
          </cell>
          <cell r="G53">
            <v>0.11667897204311085</v>
          </cell>
        </row>
        <row r="54">
          <cell r="F54">
            <v>0</v>
          </cell>
          <cell r="G54">
            <v>0</v>
          </cell>
        </row>
        <row r="55">
          <cell r="F55">
            <v>-0.63961965949523569</v>
          </cell>
          <cell r="G55">
            <v>-0.72313990178991527</v>
          </cell>
        </row>
        <row r="56">
          <cell r="F56">
            <v>-14.251890724493901</v>
          </cell>
          <cell r="G56">
            <v>-10.900349019590198</v>
          </cell>
        </row>
        <row r="66">
          <cell r="F66">
            <v>77.539003674392134</v>
          </cell>
          <cell r="G66">
            <v>84.859654484298744</v>
          </cell>
        </row>
        <row r="67">
          <cell r="F67">
            <v>41.757643405448981</v>
          </cell>
          <cell r="G67">
            <v>47.354662346819083</v>
          </cell>
        </row>
        <row r="70">
          <cell r="F70">
            <v>40.01682354716818</v>
          </cell>
          <cell r="G70">
            <v>41.695034774625768</v>
          </cell>
        </row>
        <row r="80">
          <cell r="F80">
            <v>-7.7969257298248307</v>
          </cell>
          <cell r="G80">
            <v>-5.2946700227722374</v>
          </cell>
        </row>
        <row r="81">
          <cell r="F81">
            <v>-4.8655863833245627</v>
          </cell>
          <cell r="G81">
            <v>0.67236373096305901</v>
          </cell>
        </row>
        <row r="84">
          <cell r="F84">
            <v>-2.9313393465002533</v>
          </cell>
          <cell r="G84">
            <v>-5.967033753735322</v>
          </cell>
        </row>
        <row r="88">
          <cell r="F88">
            <v>-5.0732878681571911</v>
          </cell>
          <cell r="G88">
            <v>-4.2626351804906513</v>
          </cell>
        </row>
        <row r="89">
          <cell r="F89">
            <v>-3.6923697906013029</v>
          </cell>
          <cell r="G89">
            <v>0.89070439190165562</v>
          </cell>
        </row>
        <row r="92">
          <cell r="F92">
            <v>-1.1312743075558749</v>
          </cell>
          <cell r="G92">
            <v>-5.1533395723923316</v>
          </cell>
        </row>
        <row r="96">
          <cell r="F96">
            <v>-14.186928663495779</v>
          </cell>
          <cell r="G96">
            <v>-12.501998686527141</v>
          </cell>
        </row>
        <row r="97">
          <cell r="F97">
            <v>-8.8553222633558129</v>
          </cell>
          <cell r="G97">
            <v>-4.0749751270621779</v>
          </cell>
        </row>
        <row r="100">
          <cell r="F100">
            <v>-5.3316064001399397</v>
          </cell>
          <cell r="G100">
            <v>-8.4270235594650256</v>
          </cell>
        </row>
      </sheetData>
      <sheetData sheetId="4">
        <row r="10">
          <cell r="F10">
            <v>41.277071328214191</v>
          </cell>
          <cell r="G10">
            <v>47.354662346819083</v>
          </cell>
        </row>
        <row r="11">
          <cell r="F11">
            <v>30.71397717</v>
          </cell>
          <cell r="G11">
            <v>34.51399351000002</v>
          </cell>
        </row>
        <row r="12">
          <cell r="F12">
            <v>29.660418920000001</v>
          </cell>
          <cell r="G12">
            <v>33.414268440000022</v>
          </cell>
        </row>
        <row r="13">
          <cell r="F13">
            <v>1.05355825</v>
          </cell>
          <cell r="G13">
            <v>1.0997250699999999</v>
          </cell>
        </row>
        <row r="14">
          <cell r="F14">
            <v>11.198626828393206</v>
          </cell>
          <cell r="G14">
            <v>13.846692374959458</v>
          </cell>
        </row>
        <row r="15">
          <cell r="F15">
            <v>-0.63553267017901405</v>
          </cell>
          <cell r="G15">
            <v>-1.0060235381403952</v>
          </cell>
        </row>
        <row r="22">
          <cell r="F22">
            <v>-4.4917523685174734</v>
          </cell>
          <cell r="G22">
            <v>0.67236373096305901</v>
          </cell>
        </row>
        <row r="23">
          <cell r="F23">
            <v>-3.5167355999999654</v>
          </cell>
          <cell r="G23">
            <v>1.3762368200000226</v>
          </cell>
        </row>
        <row r="24">
          <cell r="F24">
            <v>-0.66932086999996654</v>
          </cell>
          <cell r="G24">
            <v>2.3089509800000227</v>
          </cell>
        </row>
        <row r="25">
          <cell r="F25">
            <v>-2.8474147299999992</v>
          </cell>
          <cell r="G25">
            <v>-0.93271416000000018</v>
          </cell>
        </row>
        <row r="26">
          <cell r="F26">
            <v>-1.0247128043154732</v>
          </cell>
          <cell r="G26">
            <v>-1.0492065590369735</v>
          </cell>
        </row>
        <row r="27">
          <cell r="F27">
            <v>4.9696035797965221E-2</v>
          </cell>
          <cell r="G27">
            <v>0.34533347000000991</v>
          </cell>
        </row>
        <row r="29">
          <cell r="F29">
            <v>-3.3255692219018642</v>
          </cell>
          <cell r="G29">
            <v>0.89070439190165562</v>
          </cell>
        </row>
        <row r="30">
          <cell r="F30">
            <v>-2.5359095199999655</v>
          </cell>
          <cell r="G30">
            <v>1.5343508300000226</v>
          </cell>
        </row>
        <row r="31">
          <cell r="F31">
            <v>0.40232621000003338</v>
          </cell>
          <cell r="G31">
            <v>2.4669726400000225</v>
          </cell>
        </row>
        <row r="32">
          <cell r="F32">
            <v>-2.9382357299999988</v>
          </cell>
          <cell r="G32">
            <v>-0.93262181000000022</v>
          </cell>
        </row>
        <row r="33">
          <cell r="F33">
            <v>-0.8393557376998636</v>
          </cell>
          <cell r="G33">
            <v>-0.98897990809837677</v>
          </cell>
        </row>
        <row r="34">
          <cell r="F34">
            <v>4.9696035797964888E-2</v>
          </cell>
          <cell r="G34">
            <v>0.3453334700000098</v>
          </cell>
        </row>
        <row r="36">
          <cell r="F36">
            <v>-8.3586836392392563</v>
          </cell>
          <cell r="G36">
            <v>-4.0749751270621779</v>
          </cell>
        </row>
        <row r="37">
          <cell r="F37">
            <v>-6.014404749999974</v>
          </cell>
          <cell r="G37">
            <v>-1.6456389699999667</v>
          </cell>
        </row>
        <row r="38">
          <cell r="F38">
            <v>-2.8754480299999741</v>
          </cell>
          <cell r="G38">
            <v>-0.35902940999996669</v>
          </cell>
        </row>
        <row r="39">
          <cell r="F39">
            <v>-3.1389567199999995</v>
          </cell>
          <cell r="G39">
            <v>-1.28660956</v>
          </cell>
        </row>
        <row r="40">
          <cell r="F40">
            <v>-2.394523079239244</v>
          </cell>
          <cell r="G40">
            <v>-2.774669627062142</v>
          </cell>
        </row>
        <row r="41">
          <cell r="F41">
            <v>5.0244189999961719E-2</v>
          </cell>
          <cell r="G41">
            <v>0.34533346999993064</v>
          </cell>
        </row>
        <row r="49">
          <cell r="F49">
            <v>41.757643405448981</v>
          </cell>
          <cell r="G49">
            <v>47.354662346819083</v>
          </cell>
        </row>
        <row r="50">
          <cell r="F50">
            <v>30.71397717</v>
          </cell>
          <cell r="G50">
            <v>34.51399351000002</v>
          </cell>
        </row>
        <row r="51">
          <cell r="F51">
            <v>29.660418920000001</v>
          </cell>
          <cell r="G51">
            <v>33.414268440000022</v>
          </cell>
        </row>
        <row r="52">
          <cell r="F52">
            <v>1.05355825</v>
          </cell>
          <cell r="G52">
            <v>1.0997250699999999</v>
          </cell>
        </row>
        <row r="53">
          <cell r="F53">
            <v>11.695831273018909</v>
          </cell>
          <cell r="G53">
            <v>13.846692374959458</v>
          </cell>
        </row>
        <row r="54">
          <cell r="F54">
            <v>-0.65216503756992772</v>
          </cell>
          <cell r="G54">
            <v>-1.0060235381403952</v>
          </cell>
        </row>
        <row r="61">
          <cell r="F61">
            <v>-4.8655863833245627</v>
          </cell>
          <cell r="G61">
            <v>0.67236373096305901</v>
          </cell>
        </row>
        <row r="62">
          <cell r="F62">
            <v>-3.5167355999999654</v>
          </cell>
          <cell r="G62">
            <v>1.3762368200000226</v>
          </cell>
        </row>
        <row r="63">
          <cell r="F63">
            <v>-0.66932086999996654</v>
          </cell>
          <cell r="G63">
            <v>2.3089509800000227</v>
          </cell>
        </row>
        <row r="64">
          <cell r="F64">
            <v>-2.8474147299999992</v>
          </cell>
          <cell r="G64">
            <v>-0.93271416000000018</v>
          </cell>
        </row>
        <row r="65">
          <cell r="F65">
            <v>-1.3985468191226142</v>
          </cell>
          <cell r="G65">
            <v>-1.0492065590369735</v>
          </cell>
        </row>
        <row r="66">
          <cell r="F66">
            <v>4.9696035798016958E-2</v>
          </cell>
          <cell r="G66">
            <v>0.34533347000000991</v>
          </cell>
        </row>
        <row r="68">
          <cell r="F68">
            <v>-3.6923697906013029</v>
          </cell>
          <cell r="G68">
            <v>0.89070439190165562</v>
          </cell>
        </row>
        <row r="69">
          <cell r="F69">
            <v>-2.5359095199999655</v>
          </cell>
          <cell r="G69">
            <v>1.5343508300000226</v>
          </cell>
        </row>
        <row r="70">
          <cell r="F70">
            <v>0.40232621000003338</v>
          </cell>
          <cell r="G70">
            <v>2.4669726400000225</v>
          </cell>
        </row>
        <row r="71">
          <cell r="F71">
            <v>-2.9382357299999988</v>
          </cell>
          <cell r="G71">
            <v>-0.93262181000000022</v>
          </cell>
        </row>
        <row r="72">
          <cell r="F72">
            <v>-1.2061563063993546</v>
          </cell>
          <cell r="G72">
            <v>-0.98897990809837677</v>
          </cell>
        </row>
        <row r="73">
          <cell r="F73">
            <v>4.969603579801718E-2</v>
          </cell>
          <cell r="G73">
            <v>0.3453334700000098</v>
          </cell>
        </row>
        <row r="75">
          <cell r="F75">
            <v>-8.8553222633558129</v>
          </cell>
          <cell r="G75">
            <v>-4.0749751270621779</v>
          </cell>
        </row>
        <row r="76">
          <cell r="F76">
            <v>-6.014404749999974</v>
          </cell>
          <cell r="G76">
            <v>-1.6456389699999667</v>
          </cell>
        </row>
        <row r="77">
          <cell r="F77">
            <v>-2.8754480299999741</v>
          </cell>
          <cell r="G77">
            <v>-0.35902940999996669</v>
          </cell>
        </row>
        <row r="78">
          <cell r="F78">
            <v>-3.1389567199999995</v>
          </cell>
          <cell r="G78">
            <v>-1.28660956</v>
          </cell>
        </row>
        <row r="79">
          <cell r="F79">
            <v>-2.8911617033558312</v>
          </cell>
          <cell r="G79">
            <v>-2.774669627062142</v>
          </cell>
        </row>
        <row r="80">
          <cell r="F80">
            <v>5.0244189999992361E-2</v>
          </cell>
          <cell r="G80">
            <v>0.34533346999993064</v>
          </cell>
        </row>
      </sheetData>
      <sheetData sheetId="5">
        <row r="10">
          <cell r="F10">
            <v>39.95309610522029</v>
          </cell>
          <cell r="G10">
            <v>41.695034774625768</v>
          </cell>
        </row>
        <row r="11">
          <cell r="F11">
            <v>35.817662163862693</v>
          </cell>
          <cell r="G11">
            <v>37.170955345763545</v>
          </cell>
        </row>
        <row r="12">
          <cell r="F12">
            <v>18.0088882511516</v>
          </cell>
          <cell r="G12">
            <v>19.268559162735134</v>
          </cell>
        </row>
        <row r="13">
          <cell r="F13">
            <v>12.840411913687349</v>
          </cell>
          <cell r="G13">
            <v>12.76178109081042</v>
          </cell>
        </row>
        <row r="14">
          <cell r="F14">
            <v>6.9223157899999999</v>
          </cell>
          <cell r="G14">
            <v>7.9779499600000001</v>
          </cell>
        </row>
        <row r="15">
          <cell r="F15">
            <v>5.6483688936873477</v>
          </cell>
          <cell r="G15">
            <v>4.3342186545673442</v>
          </cell>
        </row>
        <row r="16">
          <cell r="F16">
            <v>0.26972723000000176</v>
          </cell>
          <cell r="G16">
            <v>0.44961247624307532</v>
          </cell>
        </row>
        <row r="17">
          <cell r="F17">
            <v>5.1684763374642504</v>
          </cell>
          <cell r="G17">
            <v>6.5067780719247139</v>
          </cell>
        </row>
        <row r="18">
          <cell r="F18">
            <v>4.0278864636480742</v>
          </cell>
          <cell r="G18">
            <v>5.150015415444825</v>
          </cell>
        </row>
        <row r="19">
          <cell r="F19">
            <v>0.55102334381615936</v>
          </cell>
          <cell r="G19">
            <v>0.83537635272297095</v>
          </cell>
        </row>
        <row r="20">
          <cell r="F20">
            <v>0.5895665300000168</v>
          </cell>
          <cell r="G20">
            <v>0.52138630375691797</v>
          </cell>
        </row>
        <row r="21">
          <cell r="F21">
            <v>12.843609089999999</v>
          </cell>
          <cell r="G21">
            <v>13.221754343415428</v>
          </cell>
        </row>
        <row r="22">
          <cell r="F22">
            <v>10.507835629999999</v>
          </cell>
          <cell r="G22">
            <v>13.054523123415429</v>
          </cell>
        </row>
        <row r="23">
          <cell r="F23">
            <v>2.33577346</v>
          </cell>
          <cell r="G23">
            <v>0.16723121999999999</v>
          </cell>
        </row>
        <row r="24">
          <cell r="F24">
            <v>4.9651648227110936</v>
          </cell>
          <cell r="G24">
            <v>4.6806418396129832</v>
          </cell>
        </row>
        <row r="25">
          <cell r="F25">
            <v>4.1354339413575971</v>
          </cell>
          <cell r="G25">
            <v>4.5240794288622226</v>
          </cell>
        </row>
        <row r="31">
          <cell r="F31">
            <v>-2.9834017125054126</v>
          </cell>
          <cell r="G31">
            <v>-5.967033753735322</v>
          </cell>
        </row>
        <row r="32">
          <cell r="F32">
            <v>-2.7801717247119591</v>
          </cell>
          <cell r="G32">
            <v>-5.5435125086276944</v>
          </cell>
        </row>
        <row r="36">
          <cell r="F36">
            <v>-1.1838094929616128</v>
          </cell>
          <cell r="G36">
            <v>-5.1533395723923316</v>
          </cell>
        </row>
        <row r="37">
          <cell r="F37">
            <v>-1.3012549314623225</v>
          </cell>
          <cell r="G37">
            <v>-4.729818327284705</v>
          </cell>
        </row>
        <row r="41">
          <cell r="F41">
            <v>-5.3763123944570577</v>
          </cell>
          <cell r="G41">
            <v>-8.4270235594650256</v>
          </cell>
        </row>
        <row r="42">
          <cell r="F42">
            <v>-4.7609816400173797</v>
          </cell>
          <cell r="G42">
            <v>-7.5163011050523094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00076"/>
  </sheetPr>
  <dimension ref="A1:AN162"/>
  <sheetViews>
    <sheetView tabSelected="1" zoomScale="50" zoomScaleNormal="50" workbookViewId="0">
      <selection activeCell="N38" sqref="N38"/>
    </sheetView>
  </sheetViews>
  <sheetFormatPr baseColWidth="10" defaultColWidth="11.44140625" defaultRowHeight="13.8"/>
  <cols>
    <col min="1" max="1" width="7.5546875" style="3" customWidth="1"/>
    <col min="2" max="2" width="8" style="3" customWidth="1"/>
    <col min="3" max="3" width="11.44140625" style="3"/>
    <col min="4" max="4" width="47.44140625" style="3" customWidth="1"/>
    <col min="5" max="5" width="1" style="3" customWidth="1"/>
    <col min="6" max="7" width="11.44140625" style="3"/>
    <col min="8" max="8" width="11.33203125" style="3" customWidth="1"/>
    <col min="9" max="10" width="11.44140625" style="3"/>
    <col min="11" max="11" width="2" style="3" customWidth="1"/>
    <col min="12" max="12" width="47.109375" style="3" customWidth="1"/>
    <col min="13" max="13" width="1" style="3" customWidth="1"/>
    <col min="14" max="18" width="11.44140625" style="3"/>
    <col min="19" max="19" width="2" style="3" customWidth="1"/>
    <col min="20" max="20" width="47.109375" style="3" customWidth="1"/>
    <col min="21" max="21" width="0.6640625" style="3" customWidth="1"/>
    <col min="22" max="26" width="11.44140625" style="3"/>
    <col min="27" max="27" width="2" style="3" customWidth="1"/>
    <col min="28" max="28" width="47" style="3" customWidth="1"/>
    <col min="29" max="29" width="0.6640625" style="3" customWidth="1"/>
    <col min="30" max="34" width="11.44140625" style="3"/>
    <col min="35" max="35" width="2" style="3" customWidth="1"/>
    <col min="36" max="36" width="47.5546875" style="3" customWidth="1"/>
    <col min="37" max="37" width="1.33203125" style="3" customWidth="1"/>
    <col min="38" max="16384" width="11.44140625" style="3"/>
  </cols>
  <sheetData>
    <row r="1" spans="1:40">
      <c r="A1" s="1" t="s">
        <v>0</v>
      </c>
      <c r="B1" s="2" t="s">
        <v>1</v>
      </c>
      <c r="D1" s="1"/>
    </row>
    <row r="2" spans="1:40" ht="14.4" thickBot="1">
      <c r="A2" s="1" t="s">
        <v>2</v>
      </c>
      <c r="B2" s="4" t="s">
        <v>3</v>
      </c>
      <c r="D2" s="1"/>
    </row>
    <row r="3" spans="1:40" ht="16.2" thickBot="1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L3" s="7" t="str">
        <f>+IF($B$3="esp","EDUCACIÓN","EDUCATION")</f>
        <v>EDUCATION</v>
      </c>
      <c r="M3" s="8"/>
      <c r="N3" s="8"/>
      <c r="O3" s="9"/>
      <c r="P3" s="8"/>
      <c r="T3" s="7" t="s">
        <v>5</v>
      </c>
      <c r="U3" s="8"/>
      <c r="V3" s="8"/>
      <c r="W3" s="9"/>
      <c r="X3" s="8"/>
      <c r="AB3" s="7" t="s">
        <v>6</v>
      </c>
      <c r="AC3" s="8"/>
      <c r="AD3" s="8"/>
      <c r="AE3" s="9"/>
      <c r="AF3" s="8"/>
      <c r="AJ3" s="7" t="s">
        <v>7</v>
      </c>
      <c r="AK3" s="8"/>
      <c r="AL3" s="8"/>
      <c r="AM3" s="9"/>
      <c r="AN3" s="8"/>
    </row>
    <row r="6" spans="1:40" ht="15" customHeight="1">
      <c r="D6" s="10"/>
      <c r="E6" s="10"/>
      <c r="F6" s="11" t="str">
        <f>+IF($B$3="esp","ENERO - MARZO","JANUARY - MARCH")</f>
        <v>JANUARY - MARCH</v>
      </c>
      <c r="G6" s="12"/>
      <c r="H6" s="12"/>
      <c r="L6" s="10"/>
      <c r="M6" s="10"/>
      <c r="N6" s="11" t="str">
        <f>+IF($B$3="esp","ENERO - MARZO","JANUARY - MARCH")</f>
        <v>JANUARY - MARCH</v>
      </c>
      <c r="O6" s="12"/>
      <c r="P6" s="12"/>
      <c r="T6" s="10"/>
      <c r="U6" s="10"/>
      <c r="V6" s="11" t="str">
        <f>+IF($B$3="esp","ENERO - MARZO","JANUARY - MARCH")</f>
        <v>JANUARY - MARCH</v>
      </c>
      <c r="W6" s="12"/>
      <c r="X6" s="12"/>
      <c r="AB6" s="10"/>
      <c r="AC6" s="10"/>
      <c r="AD6" s="11" t="str">
        <f>+IF($B$3="esp","ENERO - MARZO","JANUARY - MARCH")</f>
        <v>JANUARY - MARCH</v>
      </c>
      <c r="AE6" s="12"/>
      <c r="AF6" s="12"/>
      <c r="AJ6" s="10"/>
      <c r="AK6" s="10"/>
      <c r="AL6" s="11" t="str">
        <f>+IF($B$3="esp","ENERO - MARZO","JANUARY - MARCH")</f>
        <v>JANUARY - MARCH</v>
      </c>
      <c r="AM6" s="12"/>
      <c r="AN6" s="12"/>
    </row>
    <row r="7" spans="1:40">
      <c r="D7" s="10"/>
      <c r="E7" s="10"/>
      <c r="F7" s="10"/>
      <c r="G7" s="10"/>
      <c r="H7" s="10"/>
      <c r="L7" s="10"/>
      <c r="M7" s="10"/>
      <c r="N7" s="10"/>
      <c r="O7" s="10"/>
      <c r="P7" s="10"/>
      <c r="T7" s="10"/>
      <c r="U7" s="10"/>
      <c r="V7" s="10"/>
      <c r="W7" s="10"/>
      <c r="X7" s="10"/>
      <c r="AB7" s="10"/>
      <c r="AC7" s="10"/>
      <c r="AD7" s="10"/>
      <c r="AE7" s="10"/>
      <c r="AF7" s="10"/>
      <c r="AJ7" s="10"/>
      <c r="AK7" s="10"/>
      <c r="AL7" s="10"/>
      <c r="AM7" s="10"/>
      <c r="AN7" s="10"/>
    </row>
    <row r="8" spans="1:40">
      <c r="D8" s="13" t="str">
        <f>+IF($B$3="esp","Millones de €","€ Millions")</f>
        <v>€ Millions</v>
      </c>
      <c r="E8" s="10"/>
      <c r="F8" s="14">
        <v>2021</v>
      </c>
      <c r="G8" s="14">
        <v>2020</v>
      </c>
      <c r="H8" s="14" t="str">
        <f>+IF($B$3="esp","Var.","Chg.")</f>
        <v>Chg.</v>
      </c>
      <c r="L8" s="13" t="str">
        <f>+IF($B$3="esp","Millones de €","€ Millions")</f>
        <v>€ Millions</v>
      </c>
      <c r="M8" s="10"/>
      <c r="N8" s="14">
        <v>2021</v>
      </c>
      <c r="O8" s="14">
        <v>2020</v>
      </c>
      <c r="P8" s="14" t="str">
        <f>+IF($B$3="esp","Var.","Chg.")</f>
        <v>Chg.</v>
      </c>
      <c r="T8" s="13" t="str">
        <f>+IF($B$3="esp","Millones de €","€ Millions")</f>
        <v>€ Millions</v>
      </c>
      <c r="U8" s="10"/>
      <c r="V8" s="14">
        <v>2021</v>
      </c>
      <c r="W8" s="14">
        <v>2020</v>
      </c>
      <c r="X8" s="14" t="str">
        <f>+IF($B$3="esp","Var.","Chg.")</f>
        <v>Chg.</v>
      </c>
      <c r="AB8" s="13" t="str">
        <f>+IF($B$3="esp","Millones de €","€ Millions")</f>
        <v>€ Millions</v>
      </c>
      <c r="AC8" s="10"/>
      <c r="AD8" s="14">
        <v>2021</v>
      </c>
      <c r="AE8" s="14">
        <v>2020</v>
      </c>
      <c r="AF8" s="14" t="str">
        <f>+IF($B$3="esp","Var.","Chg.")</f>
        <v>Chg.</v>
      </c>
      <c r="AJ8" s="13" t="str">
        <f>+IF($B$3="esp","Millones de €","€ Millions")</f>
        <v>€ Millions</v>
      </c>
      <c r="AK8" s="10"/>
      <c r="AL8" s="14">
        <v>2021</v>
      </c>
      <c r="AM8" s="14">
        <v>2020</v>
      </c>
      <c r="AN8" s="14" t="str">
        <f>+IF($B$3="esp","Var.","Chg.")</f>
        <v>Chg.</v>
      </c>
    </row>
    <row r="9" spans="1:40">
      <c r="D9" s="15" t="str">
        <f>+IF($B$3="esp","Resultados Reportados","Reported Results")</f>
        <v>Reported Results</v>
      </c>
      <c r="F9" s="16"/>
      <c r="G9" s="16"/>
      <c r="H9" s="16"/>
      <c r="L9" s="15" t="str">
        <f>+IF($B$3="esp","Resultados Reportados","Reported Results")</f>
        <v>Reported Results</v>
      </c>
      <c r="N9" s="16"/>
      <c r="O9" s="16"/>
      <c r="P9" s="16"/>
      <c r="T9" s="15" t="str">
        <f>+IF($B$3="esp","Resultados Reportados","Reported Results")</f>
        <v>Reported Results</v>
      </c>
      <c r="V9" s="16"/>
      <c r="W9" s="16"/>
      <c r="X9" s="16"/>
      <c r="AB9" s="15" t="str">
        <f>+IF($B$3="esp","Resultados Reportados","Reported Results")</f>
        <v>Reported Results</v>
      </c>
      <c r="AD9" s="16"/>
      <c r="AE9" s="16"/>
      <c r="AF9" s="16"/>
      <c r="AJ9" s="15" t="str">
        <f>+IF($B$3="esp","Resultados Reportados","Reported Results")</f>
        <v>Reported Results</v>
      </c>
      <c r="AL9" s="16"/>
      <c r="AM9" s="16"/>
      <c r="AN9" s="16"/>
    </row>
    <row r="10" spans="1:40" s="17" customFormat="1" ht="17.25" customHeight="1" thickBot="1">
      <c r="D10" s="18" t="str">
        <f>+IF($B$3="esp","Ingresos de Explotación","Operating Revenues")</f>
        <v>Operating Revenues</v>
      </c>
      <c r="F10" s="19">
        <f>+[1]GRUPO!F10</f>
        <v>158.51658144846473</v>
      </c>
      <c r="G10" s="20">
        <f>+[1]GRUPO!G10</f>
        <v>261.19907899086581</v>
      </c>
      <c r="H10" s="21">
        <f>IF(G10=0,"---",IF(OR(ABS((F10-G10)/ABS(G10))&gt;9,(F10*G10)&lt;0),"---",IF(G10="0","---",((F10-G10)/ABS(G10)))))</f>
        <v>-0.39311967691123406</v>
      </c>
      <c r="L10" s="18" t="str">
        <f>+IF($B$3="esp","Ingresos de Explotación","Operating Revenues")</f>
        <v>Operating Revenues</v>
      </c>
      <c r="N10" s="19">
        <f>+[1]EDUCACIÓN!F10</f>
        <v>81.973272202614567</v>
      </c>
      <c r="O10" s="20">
        <f>+[1]EDUCACIÓN!G10</f>
        <v>176.5828878332112</v>
      </c>
      <c r="P10" s="21">
        <f>IF(O10=0,"---",IF(OR(ABS((N10-O10)/ABS(O10))&gt;9,(N10*O10)&lt;0),"---",IF(O10="0","---",((N10-O10)/ABS(O10)))))</f>
        <v>-0.53578020379844948</v>
      </c>
      <c r="T10" s="18" t="str">
        <f>+IF($B$3="esp","Ingresos de Explotación","Operating Revenues")</f>
        <v>Operating Revenues</v>
      </c>
      <c r="V10" s="19">
        <f>+[1]MEDIA!F10</f>
        <v>76.994704155209462</v>
      </c>
      <c r="W10" s="20">
        <f>+[1]MEDIA!G10</f>
        <v>84.859654484298744</v>
      </c>
      <c r="X10" s="21">
        <f>IF(W10=0,"---",IF(OR(ABS((V10-W10)/ABS(W10))&gt;9,(V10*W10)&lt;0),"---",IF(W10="0","---",((V10-W10)/ABS(W10)))))</f>
        <v>-9.2681856612372895E-2</v>
      </c>
      <c r="AB10" s="18" t="str">
        <f>+IF($B$3="esp","Ingresos de Explotación","Operating Revenues")</f>
        <v>Operating Revenues</v>
      </c>
      <c r="AD10" s="19">
        <f>+[1]RADIO!F10</f>
        <v>41.277071328214191</v>
      </c>
      <c r="AE10" s="20">
        <f>+[1]RADIO!G10</f>
        <v>47.354662346819083</v>
      </c>
      <c r="AF10" s="21">
        <f>IF(AE10=0,"---",IF(OR(ABS((AD10-AE10)/ABS(AE10))&gt;9,(AD10*AE10)&lt;0),"---",IF(AE10="0","---",((AD10-AE10)/ABS(AE10)))))</f>
        <v>-0.1283419776936312</v>
      </c>
      <c r="AJ10" s="22" t="str">
        <f>+IF($B$3="esp","Ingresos de Explotación","Operating Revenues")</f>
        <v>Operating Revenues</v>
      </c>
      <c r="AL10" s="23">
        <f>+[1]NOTICIAS!F10</f>
        <v>39.95309610522029</v>
      </c>
      <c r="AM10" s="24">
        <f>+[1]NOTICIAS!G10</f>
        <v>41.695034774625768</v>
      </c>
      <c r="AN10" s="25">
        <f>IF(AM10=0,"---",IF(OR(ABS((AL10-AM10)/ABS(AM10))&gt;9,(AL10*AM10)&lt;0),"---",IF(AM10="0","---",((AL10-AM10)/ABS(AM10)))))</f>
        <v>-4.1778084100929078E-2</v>
      </c>
    </row>
    <row r="11" spans="1:40" ht="17.25" customHeight="1" thickTop="1">
      <c r="D11" s="26" t="str">
        <f>+IF($B$3="esp","España","Spain")</f>
        <v>Spain</v>
      </c>
      <c r="F11" s="27">
        <f>+[1]GRUPO!F11</f>
        <v>65.21368741000002</v>
      </c>
      <c r="G11" s="28">
        <f>+[1]GRUPO!G11</f>
        <v>70.972200090000257</v>
      </c>
      <c r="H11" s="29">
        <f t="shared" ref="H11:H51" si="0">IF(G11=0,"---",IF(OR(ABS((F11-G11)/ABS(G11))&gt;9,(F11*G11)&lt;0),"---",IF(G11="0","---",((F11-G11)/ABS(G11)))))</f>
        <v>-8.1137581654476459E-2</v>
      </c>
      <c r="L11" s="26" t="str">
        <f>+IF($B$3="esp","Negocio Internacional","International business")</f>
        <v>International business</v>
      </c>
      <c r="N11" s="27">
        <f>+[1]EDUCACIÓN!F11</f>
        <v>80.640593482614563</v>
      </c>
      <c r="O11" s="28">
        <f>+[1]EDUCACIÓN!G11</f>
        <v>176.3009401532112</v>
      </c>
      <c r="P11" s="29">
        <f t="shared" ref="P11:P46" si="1">IF(O11=0,"---",IF(OR(ABS((N11-O11)/ABS(O11))&gt;9,(N11*O11)&lt;0),"---",IF(O11="0","---",((N11-O11)/ABS(O11)))))</f>
        <v>-0.54259691744958771</v>
      </c>
      <c r="T11" s="26" t="s">
        <v>8</v>
      </c>
      <c r="V11" s="27">
        <f>+[1]MEDIA!F11</f>
        <v>41.277071328214191</v>
      </c>
      <c r="W11" s="28">
        <f>+[1]MEDIA!G11</f>
        <v>47.354662346819083</v>
      </c>
      <c r="X11" s="29">
        <f t="shared" ref="X11" si="2">IF(W11=0,"---",IF(OR(ABS((V11-W11)/ABS(W11))&gt;9,(V11*W11)&lt;0),"---",IF(W11="0","---",((V11-W11)/ABS(W11)))))</f>
        <v>-0.1283419776936312</v>
      </c>
      <c r="AB11" s="26" t="str">
        <f>+IF($B$3="esp","España","Spain")</f>
        <v>Spain</v>
      </c>
      <c r="AD11" s="27">
        <f>+[1]RADIO!F11</f>
        <v>30.71397717</v>
      </c>
      <c r="AE11" s="28">
        <f>+[1]RADIO!G11</f>
        <v>34.51399351000002</v>
      </c>
      <c r="AF11" s="29">
        <f t="shared" ref="AF11:AF42" si="3">IF(AE11=0,"---",IF(OR(ABS((AD11-AE11)/ABS(AE11))&gt;9,(AD11*AE11)&lt;0),"---",IF(AE11="0","---",((AD11-AE11)/ABS(AE11)))))</f>
        <v>-0.11010074330862381</v>
      </c>
      <c r="AJ11" s="30" t="str">
        <f>+IF($B$3="esp","Ingresos Prensa","Operating Revenues Press")</f>
        <v>Operating Revenues Press</v>
      </c>
      <c r="AK11" s="17"/>
      <c r="AL11" s="19">
        <f>+[1]NOTICIAS!F11</f>
        <v>35.817662163862693</v>
      </c>
      <c r="AM11" s="20">
        <f>+[1]NOTICIAS!G11</f>
        <v>37.170955345763545</v>
      </c>
      <c r="AN11" s="21">
        <f>IF(AM11=0,"---",IF(OR(ABS((AL11-AM11)/ABS(AM11))&gt;9,(AL11*AM11)&lt;0),"---",IF(AM11="0","---",((AL11-AM11)/ABS(AM11)))))</f>
        <v>-3.6407274693710294E-2</v>
      </c>
    </row>
    <row r="12" spans="1:40" ht="17.25" customHeight="1">
      <c r="D12" s="26" t="str">
        <f>+IF($B$3="esp","Internacional","International")</f>
        <v>International</v>
      </c>
      <c r="F12" s="27">
        <f>+[1]GRUPO!F12</f>
        <v>93.302894038464729</v>
      </c>
      <c r="G12" s="28">
        <f>+[1]GRUPO!G12</f>
        <v>190.22687890086556</v>
      </c>
      <c r="H12" s="29">
        <f t="shared" si="0"/>
        <v>-0.50951782115350586</v>
      </c>
      <c r="L12" s="31" t="str">
        <f>+IF($B$3="esp","Brasil","Brazil")</f>
        <v>Brazil</v>
      </c>
      <c r="N12" s="32">
        <f>+[1]EDUCACIÓN!F12</f>
        <v>22.836535194300652</v>
      </c>
      <c r="O12" s="33">
        <f>+[1]EDUCACIÓN!G12</f>
        <v>68.393471026145093</v>
      </c>
      <c r="P12" s="34">
        <f>IF(O12=0,"---",IF(OR(ABS((N12-O12)/ABS(O12))&gt;9,(N12*O12)&lt;0),"---",IF(O12="0","---",((N12-O12)/ABS(O12)))))</f>
        <v>-0.66610065476029401</v>
      </c>
      <c r="T12" s="26" t="s">
        <v>9</v>
      </c>
      <c r="U12" s="10"/>
      <c r="V12" s="27">
        <f>+[1]MEDIA!F14</f>
        <v>39.95309610522029</v>
      </c>
      <c r="W12" s="28">
        <f>+[1]MEDIA!G14</f>
        <v>41.695034774625768</v>
      </c>
      <c r="X12" s="29">
        <f t="shared" ref="X12:X36" si="4">IF(W12=0,"---",IF(OR(ABS((V12-W12)/ABS(W12))&gt;9,(V12*W12)&lt;0),"---",IF(W12="0","---",((V12-W12)/ABS(W12)))))</f>
        <v>-4.1778084100929078E-2</v>
      </c>
      <c r="AB12" s="31" t="str">
        <f>+IF($B$3="esp","España sin SSCC","Spain ex HQ")</f>
        <v>Spain ex HQ</v>
      </c>
      <c r="AC12" s="10"/>
      <c r="AD12" s="32">
        <f>+[1]RADIO!F12</f>
        <v>29.660418920000001</v>
      </c>
      <c r="AE12" s="33">
        <f>+[1]RADIO!G12</f>
        <v>33.414268440000022</v>
      </c>
      <c r="AF12" s="34">
        <f>IF(AE12=0,"---",IF(OR(ABS((AD12-AE12)/ABS(AE12))&gt;9,(AD12*AE12)&lt;0),"---",IF(AE12="0","---",((AD12-AE12)/ABS(AE12)))))</f>
        <v>-0.11234271151979822</v>
      </c>
      <c r="AJ12" s="35" t="str">
        <f>+IF($B$3="esp","Publicidad Neta","Net Advertising")</f>
        <v>Net Advertising</v>
      </c>
      <c r="AL12" s="27">
        <f>+[1]NOTICIAS!F12</f>
        <v>18.0088882511516</v>
      </c>
      <c r="AM12" s="28">
        <f>+[1]NOTICIAS!G12</f>
        <v>19.268559162735134</v>
      </c>
      <c r="AN12" s="29">
        <f t="shared" ref="AN12:AN42" si="5">IF(AM12=0,"---",IF(OR(ABS((AL12-AM12)/ABS(AM12))&gt;9,(AL12*AM12)&lt;0),"---",IF(AM12="0","---",((AL12-AM12)/ABS(AM12)))))</f>
        <v>-6.5374421665097979E-2</v>
      </c>
    </row>
    <row r="13" spans="1:40" s="10" customFormat="1" ht="17.25" customHeight="1">
      <c r="D13" s="31" t="str">
        <f>+IF($B$3="esp","Latam","Latam")</f>
        <v>Latam</v>
      </c>
      <c r="F13" s="32">
        <f>+[1]GRUPO!F13</f>
        <v>93.29376403846473</v>
      </c>
      <c r="G13" s="33">
        <f>+[1]GRUPO!G13</f>
        <v>190.21611390086554</v>
      </c>
      <c r="H13" s="34">
        <f t="shared" si="0"/>
        <v>-0.50953806107569621</v>
      </c>
      <c r="L13" s="31" t="str">
        <f>+IF($B$3="esp","Otros","Other")</f>
        <v>Other</v>
      </c>
      <c r="N13" s="32">
        <f>+[1]EDUCACIÓN!F13</f>
        <v>57.804058288313911</v>
      </c>
      <c r="O13" s="33">
        <f>+[1]EDUCACIÓN!G13</f>
        <v>107.90746912706611</v>
      </c>
      <c r="P13" s="34">
        <f>IF(O13=0,"---",IF(OR(ABS((N13-O13)/ABS(O13))&gt;9,(N13*O13)&lt;0),"---",IF(O13="0","---",((N13-O13)/ABS(O13)))))</f>
        <v>-0.46431828347074916</v>
      </c>
      <c r="T13" s="18" t="str">
        <f>+IF($B$3="esp","Gastos de Explotación Contables","Reported Expenses")</f>
        <v>Reported Expenses</v>
      </c>
      <c r="U13" s="3"/>
      <c r="V13" s="19">
        <f t="shared" ref="V13:W15" si="6">+V10-V16</f>
        <v>84.469858236232369</v>
      </c>
      <c r="W13" s="20">
        <f t="shared" si="6"/>
        <v>90.154324507070982</v>
      </c>
      <c r="X13" s="21">
        <f t="shared" si="4"/>
        <v>-6.3052618961087867E-2</v>
      </c>
      <c r="AB13" s="31" t="str">
        <f>+IF($B$3="esp","Servicios Centrales","HQ")</f>
        <v>HQ</v>
      </c>
      <c r="AD13" s="32">
        <f>+[1]RADIO!F13</f>
        <v>1.05355825</v>
      </c>
      <c r="AE13" s="33">
        <f>+[1]RADIO!G13</f>
        <v>1.0997250699999999</v>
      </c>
      <c r="AF13" s="34">
        <f>IF(AE13=0,"---",IF(OR(ABS((AD13-AE13)/ABS(AE13))&gt;9,(AD13*AE13)&lt;0),"---",IF(AE13="0","---",((AD13-AE13)/ABS(AE13)))))</f>
        <v>-4.1980328774354335E-2</v>
      </c>
      <c r="AJ13" s="36" t="str">
        <f>+IF($B$3="esp","Digital","Online")</f>
        <v>Online</v>
      </c>
      <c r="AK13" s="3"/>
      <c r="AL13" s="27">
        <f>+[1]NOTICIAS!F13</f>
        <v>12.840411913687349</v>
      </c>
      <c r="AM13" s="28">
        <f>+[1]NOTICIAS!G13</f>
        <v>12.76178109081042</v>
      </c>
      <c r="AN13" s="29">
        <f t="shared" si="5"/>
        <v>6.1614301575467897E-3</v>
      </c>
    </row>
    <row r="14" spans="1:40" s="10" customFormat="1" ht="17.25" customHeight="1">
      <c r="D14" s="31" t="str">
        <f>+IF($B$3="esp","Portugal","Portugal")</f>
        <v>Portugal</v>
      </c>
      <c r="F14" s="32">
        <f>+[1]GRUPO!F14</f>
        <v>9.1299999999999992E-3</v>
      </c>
      <c r="G14" s="33">
        <f>+[1]GRUPO!G14</f>
        <v>1.0765000000000328E-2</v>
      </c>
      <c r="H14" s="34">
        <f t="shared" si="0"/>
        <v>-0.15188109614494</v>
      </c>
      <c r="L14" s="26" t="str">
        <f>+IF($B$3="esp","Tecnología Educativa global y Centro Corpor.","Global Educational IT &amp; HQ")</f>
        <v>Global Educational IT &amp; HQ</v>
      </c>
      <c r="N14" s="27">
        <f>+[1]EDUCACIÓN!F14</f>
        <v>1.3326787200000001</v>
      </c>
      <c r="O14" s="28">
        <f>+[1]EDUCACIÓN!G14</f>
        <v>0.28194768000000009</v>
      </c>
      <c r="P14" s="29">
        <f t="shared" si="1"/>
        <v>3.7266880153083712</v>
      </c>
      <c r="T14" s="26" t="s">
        <v>8</v>
      </c>
      <c r="U14" s="3"/>
      <c r="V14" s="27">
        <f t="shared" si="6"/>
        <v>45.768823696731666</v>
      </c>
      <c r="W14" s="28">
        <f t="shared" si="6"/>
        <v>46.682298615856027</v>
      </c>
      <c r="X14" s="29">
        <f t="shared" si="4"/>
        <v>-1.9567907883912387E-2</v>
      </c>
      <c r="AB14" s="26" t="str">
        <f>+IF($B$3="esp","Latam","Latam")</f>
        <v>Latam</v>
      </c>
      <c r="AC14" s="3"/>
      <c r="AD14" s="27">
        <f>+[1]RADIO!F14</f>
        <v>11.198626828393206</v>
      </c>
      <c r="AE14" s="28">
        <f>+[1]RADIO!G14</f>
        <v>13.846692374959458</v>
      </c>
      <c r="AF14" s="29">
        <f t="shared" si="3"/>
        <v>-0.19124174025524315</v>
      </c>
      <c r="AJ14" s="37" t="s">
        <v>10</v>
      </c>
      <c r="AL14" s="32">
        <f>+[1]NOTICIAS!F14</f>
        <v>6.9223157899999999</v>
      </c>
      <c r="AM14" s="33">
        <f>+[1]NOTICIAS!G14</f>
        <v>7.9779499600000001</v>
      </c>
      <c r="AN14" s="34">
        <f t="shared" si="5"/>
        <v>-0.13231897608944143</v>
      </c>
    </row>
    <row r="15" spans="1:40" s="17" customFormat="1" ht="17.25" customHeight="1">
      <c r="D15" s="18" t="str">
        <f>+IF($B$3="esp","Gastos de Explotación Contables","Reported Expenses")</f>
        <v>Reported Expenses</v>
      </c>
      <c r="F15" s="19">
        <f>+[1]GRUPO!F15</f>
        <v>146.21046737362451</v>
      </c>
      <c r="G15" s="20">
        <f>+[1]GRUPO!G15</f>
        <v>197.1307994085567</v>
      </c>
      <c r="H15" s="21">
        <f t="shared" si="0"/>
        <v>-0.25830733800961764</v>
      </c>
      <c r="L15" s="18" t="str">
        <f>+IF($B$3="esp","Gastos de Explotación Contables","Reported Expenses")</f>
        <v>Reported Expenses</v>
      </c>
      <c r="N15" s="19">
        <f>+[1]EDUCACIÓN!F15</f>
        <v>58.734262216751233</v>
      </c>
      <c r="O15" s="20">
        <f>+[1]EDUCACIÓN!G15</f>
        <v>106.1767143281298</v>
      </c>
      <c r="P15" s="21">
        <f t="shared" si="1"/>
        <v>-0.44682539304015229</v>
      </c>
      <c r="T15" s="26" t="s">
        <v>9</v>
      </c>
      <c r="U15" s="3"/>
      <c r="V15" s="27">
        <f t="shared" si="6"/>
        <v>42.936497817725702</v>
      </c>
      <c r="W15" s="28">
        <f t="shared" si="6"/>
        <v>47.66206852836109</v>
      </c>
      <c r="X15" s="29">
        <f t="shared" si="4"/>
        <v>-9.9147411275770786E-2</v>
      </c>
      <c r="AB15" s="26" t="str">
        <f>+IF($B$3="esp","Otros","Other")</f>
        <v>Other</v>
      </c>
      <c r="AC15" s="3"/>
      <c r="AD15" s="27">
        <f>+[1]RADIO!F15</f>
        <v>-0.63553267017901405</v>
      </c>
      <c r="AE15" s="28">
        <f>+[1]RADIO!G15</f>
        <v>-1.0060235381403952</v>
      </c>
      <c r="AF15" s="29">
        <f t="shared" si="3"/>
        <v>0.36827256412531123</v>
      </c>
      <c r="AJ15" s="37" t="s">
        <v>11</v>
      </c>
      <c r="AK15" s="10"/>
      <c r="AL15" s="32">
        <f>+[1]NOTICIAS!F15</f>
        <v>5.6483688936873477</v>
      </c>
      <c r="AM15" s="33">
        <f>+[1]NOTICIAS!G15</f>
        <v>4.3342186545673442</v>
      </c>
      <c r="AN15" s="34">
        <f t="shared" si="5"/>
        <v>0.30320349383738837</v>
      </c>
    </row>
    <row r="16" spans="1:40" ht="17.25" customHeight="1">
      <c r="D16" s="26" t="str">
        <f>+IF($B$3="esp","España","Spain")</f>
        <v>Spain</v>
      </c>
      <c r="F16" s="27">
        <f>+[1]GRUPO!F16</f>
        <v>82.257625590000217</v>
      </c>
      <c r="G16" s="28">
        <f>+[1]GRUPO!G16</f>
        <v>81.7046375299999</v>
      </c>
      <c r="H16" s="29">
        <f t="shared" si="0"/>
        <v>6.7681355271574806E-3</v>
      </c>
      <c r="L16" s="26" t="str">
        <f>+IF($B$3="esp","Negocio Internacional","International business")</f>
        <v>International business</v>
      </c>
      <c r="N16" s="27">
        <f>+[1]EDUCACIÓN!F16</f>
        <v>51.679502236751233</v>
      </c>
      <c r="O16" s="28">
        <f>+[1]EDUCACIÓN!G16</f>
        <v>99.976439138129805</v>
      </c>
      <c r="P16" s="29">
        <f t="shared" si="1"/>
        <v>-0.48308318757632873</v>
      </c>
      <c r="T16" s="18" t="str">
        <f>+IF($B$3="esp","EBITDA Contable","Reported EBITDA")</f>
        <v>Reported EBITDA</v>
      </c>
      <c r="V16" s="19">
        <f>+[1]MEDIA!F24</f>
        <v>-7.4751540810229002</v>
      </c>
      <c r="W16" s="20">
        <f>+[1]MEDIA!G24</f>
        <v>-5.2946700227722374</v>
      </c>
      <c r="X16" s="21">
        <f t="shared" si="4"/>
        <v>-0.41182624202687945</v>
      </c>
      <c r="AB16" s="18" t="str">
        <f>+IF($B$3="esp","Gastos de Explotación Contables","Reported Expenses")</f>
        <v>Reported Expenses</v>
      </c>
      <c r="AC16" s="17"/>
      <c r="AD16" s="19">
        <f>+AD10-AD22</f>
        <v>45.768823696731666</v>
      </c>
      <c r="AE16" s="20">
        <f>+AE10-AE22</f>
        <v>46.682298615856027</v>
      </c>
      <c r="AF16" s="21">
        <f t="shared" si="3"/>
        <v>-1.9567907883912387E-2</v>
      </c>
      <c r="AJ16" s="37" t="str">
        <f>+IF($B$3="esp","Otros","Other")</f>
        <v>Other</v>
      </c>
      <c r="AK16" s="10"/>
      <c r="AL16" s="32">
        <f>+[1]NOTICIAS!F16</f>
        <v>0.26972723000000176</v>
      </c>
      <c r="AM16" s="33">
        <f>+[1]NOTICIAS!G16</f>
        <v>0.44961247624307532</v>
      </c>
      <c r="AN16" s="34">
        <f t="shared" si="5"/>
        <v>-0.40008953431670713</v>
      </c>
    </row>
    <row r="17" spans="4:40" ht="17.25" customHeight="1">
      <c r="D17" s="26" t="str">
        <f>+IF($B$3="esp","Internacional","International")</f>
        <v>International</v>
      </c>
      <c r="F17" s="27">
        <f>+[1]GRUPO!F17</f>
        <v>63.952841783624294</v>
      </c>
      <c r="G17" s="28">
        <f>+[1]GRUPO!G17</f>
        <v>115.42616187855681</v>
      </c>
      <c r="H17" s="29">
        <f t="shared" si="0"/>
        <v>-0.44594153749207288</v>
      </c>
      <c r="L17" s="31" t="str">
        <f>+IF($B$3="esp","Brasil","Brazil")</f>
        <v>Brazil</v>
      </c>
      <c r="N17" s="32">
        <f>+[1]EDUCACIÓN!F17</f>
        <v>18.5916602359395</v>
      </c>
      <c r="O17" s="33">
        <f>+[1]EDUCACIÓN!G17</f>
        <v>36.436842668354615</v>
      </c>
      <c r="P17" s="34">
        <f>IF(O17=0,"---",IF(OR(ABS((N17-O17)/ABS(O17))&gt;9,(N17*O17)&lt;0),"---",IF(O17="0","---",((N17-O17)/ABS(O17)))))</f>
        <v>-0.4897565520382931</v>
      </c>
      <c r="T17" s="26" t="s">
        <v>8</v>
      </c>
      <c r="U17" s="38"/>
      <c r="V17" s="27">
        <f>+[1]MEDIA!F25</f>
        <v>-4.4917523685174734</v>
      </c>
      <c r="W17" s="28">
        <f>+[1]MEDIA!G25</f>
        <v>0.67236373096305901</v>
      </c>
      <c r="X17" s="29" t="str">
        <f t="shared" si="4"/>
        <v>---</v>
      </c>
      <c r="AB17" s="26" t="str">
        <f>+IF($B$3="esp","España","Spain")</f>
        <v>Spain</v>
      </c>
      <c r="AD17" s="27">
        <f>+AD11-AD23</f>
        <v>34.230712769999968</v>
      </c>
      <c r="AE17" s="28">
        <f>+AE11-AE23</f>
        <v>33.137756689999996</v>
      </c>
      <c r="AF17" s="29">
        <f t="shared" si="3"/>
        <v>3.2982198832119322E-2</v>
      </c>
      <c r="AJ17" s="36" t="str">
        <f>+IF($B$3="esp","Papel","Offline")</f>
        <v>Offline</v>
      </c>
      <c r="AL17" s="27">
        <f>+[1]NOTICIAS!F17</f>
        <v>5.1684763374642504</v>
      </c>
      <c r="AM17" s="28">
        <f>+[1]NOTICIAS!G17</f>
        <v>6.5067780719247139</v>
      </c>
      <c r="AN17" s="29">
        <f t="shared" si="5"/>
        <v>-0.20567809746500115</v>
      </c>
    </row>
    <row r="18" spans="4:40" ht="17.25" customHeight="1">
      <c r="D18" s="31" t="str">
        <f>+IF($B$3="esp","Latam","Latam")</f>
        <v>Latam</v>
      </c>
      <c r="F18" s="32">
        <f>+[1]GRUPO!F18</f>
        <v>63.720771123624289</v>
      </c>
      <c r="G18" s="33">
        <f>+[1]GRUPO!G18</f>
        <v>115.20491319855678</v>
      </c>
      <c r="H18" s="34">
        <f t="shared" si="0"/>
        <v>-0.44689189588814737</v>
      </c>
      <c r="L18" s="31" t="str">
        <f>+IF($B$3="esp","Otros","Other")</f>
        <v>Other</v>
      </c>
      <c r="N18" s="32">
        <f>+[1]EDUCACIÓN!F18</f>
        <v>33.087842000811733</v>
      </c>
      <c r="O18" s="33">
        <f>+[1]EDUCACIÓN!G18</f>
        <v>63.539596469775191</v>
      </c>
      <c r="P18" s="34">
        <f>IF(O18=0,"---",IF(OR(ABS((N18-O18)/ABS(O18))&gt;9,(N18*O18)&lt;0),"---",IF(O18="0","---",((N18-O18)/ABS(O18)))))</f>
        <v>-0.47925634031133468</v>
      </c>
      <c r="T18" s="26" t="s">
        <v>9</v>
      </c>
      <c r="V18" s="27">
        <f>+[1]MEDIA!F28</f>
        <v>-2.9834017125054126</v>
      </c>
      <c r="W18" s="28">
        <f>+[1]MEDIA!G28</f>
        <v>-5.967033753735322</v>
      </c>
      <c r="X18" s="29">
        <f t="shared" si="4"/>
        <v>0.50001930010236262</v>
      </c>
      <c r="AB18" s="31" t="str">
        <f>+IF($B$3="esp","España sin SSCC","Spain ex HQ")</f>
        <v>Spain ex HQ</v>
      </c>
      <c r="AC18" s="10"/>
      <c r="AD18" s="32">
        <f t="shared" ref="AD18:AE19" si="7">+AD12-AD24</f>
        <v>30.329739789999969</v>
      </c>
      <c r="AE18" s="33">
        <f t="shared" si="7"/>
        <v>31.105317459999998</v>
      </c>
      <c r="AF18" s="34">
        <f>IF(AE18=0,"---",IF(OR(ABS((AD18-AE18)/ABS(AE18))&gt;9,(AD18*AE18)&lt;0),"---",IF(AE18="0","---",((AD18-AE18)/ABS(AE18)))))</f>
        <v>-2.4933925557820976E-2</v>
      </c>
      <c r="AJ18" s="37" t="s">
        <v>10</v>
      </c>
      <c r="AK18" s="10"/>
      <c r="AL18" s="32">
        <f>+[1]NOTICIAS!F18</f>
        <v>4.0278864636480742</v>
      </c>
      <c r="AM18" s="33">
        <f>+[1]NOTICIAS!G18</f>
        <v>5.150015415444825</v>
      </c>
      <c r="AN18" s="34">
        <f t="shared" si="5"/>
        <v>-0.21788846465031961</v>
      </c>
    </row>
    <row r="19" spans="4:40" ht="17.25" customHeight="1">
      <c r="D19" s="31" t="str">
        <f>+IF($B$3="esp","Portugal","Portugal")</f>
        <v>Portugal</v>
      </c>
      <c r="F19" s="32">
        <f>+[1]GRUPO!F19</f>
        <v>0.23207066000000004</v>
      </c>
      <c r="G19" s="33">
        <f>+[1]GRUPO!G19</f>
        <v>0.22124868000000111</v>
      </c>
      <c r="H19" s="34">
        <f t="shared" si="0"/>
        <v>4.8913195775897381E-2</v>
      </c>
      <c r="L19" s="26" t="str">
        <f>+IF($B$3="esp","Tecnología Educativa global y Centro Corpor.","Global Educational IT &amp; HQ")</f>
        <v>Global Educational IT &amp; HQ</v>
      </c>
      <c r="N19" s="27">
        <f>+[1]EDUCACIÓN!F19</f>
        <v>7.0547599799999983</v>
      </c>
      <c r="O19" s="28">
        <f>+[1]EDUCACIÓN!G19</f>
        <v>6.2002751900000002</v>
      </c>
      <c r="P19" s="29">
        <f t="shared" si="1"/>
        <v>0.13781401047781527</v>
      </c>
      <c r="T19" s="39" t="str">
        <f>+IF($B$3="esp","Margen EBITDA ","EBITDA Margin")</f>
        <v>EBITDA Margin</v>
      </c>
      <c r="U19" s="38"/>
      <c r="V19" s="40">
        <f>+V16/V10</f>
        <v>-9.7086600475198154E-2</v>
      </c>
      <c r="W19" s="41">
        <f>+W16/W10</f>
        <v>-6.2393254544206161E-2</v>
      </c>
      <c r="X19" s="42">
        <f t="shared" si="4"/>
        <v>-0.55604321628087949</v>
      </c>
      <c r="AB19" s="31" t="str">
        <f>+IF($B$3="esp","Servicios Centrales","HQ")</f>
        <v>HQ</v>
      </c>
      <c r="AC19" s="10"/>
      <c r="AD19" s="32">
        <f t="shared" si="7"/>
        <v>3.9009729799999993</v>
      </c>
      <c r="AE19" s="33">
        <f t="shared" si="7"/>
        <v>2.03243923</v>
      </c>
      <c r="AF19" s="34">
        <f>IF(AE19=0,"---",IF(OR(ABS((AD19-AE19)/ABS(AE19))&gt;9,(AD19*AE19)&lt;0),"---",IF(AE19="0","---",((AD19-AE19)/ABS(AE19)))))</f>
        <v>0.91935528620946727</v>
      </c>
      <c r="AJ19" s="37" t="s">
        <v>11</v>
      </c>
      <c r="AK19" s="10"/>
      <c r="AL19" s="32">
        <f>+[1]NOTICIAS!F19</f>
        <v>0.55102334381615936</v>
      </c>
      <c r="AM19" s="33">
        <f>+[1]NOTICIAS!G19</f>
        <v>0.83537635272297095</v>
      </c>
      <c r="AN19" s="34">
        <f t="shared" si="5"/>
        <v>-0.34038910483872564</v>
      </c>
    </row>
    <row r="20" spans="4:40" s="17" customFormat="1" ht="17.25" customHeight="1">
      <c r="D20" s="18" t="str">
        <f>+IF($B$3="esp","EBITDA Contable","Reported EBITDA")</f>
        <v>Reported EBITDA</v>
      </c>
      <c r="F20" s="19">
        <f>+[1]GRUPO!F20</f>
        <v>12.306114074840236</v>
      </c>
      <c r="G20" s="20">
        <f>+[1]GRUPO!G20</f>
        <v>64.068279582309103</v>
      </c>
      <c r="H20" s="21">
        <f t="shared" si="0"/>
        <v>-0.80792188966100675</v>
      </c>
      <c r="L20" s="18" t="str">
        <f>+IF($B$3="esp","EBITDA Contable","Reported EBITDA")</f>
        <v>Reported EBITDA</v>
      </c>
      <c r="N20" s="19">
        <f>+[1]EDUCACIÓN!F20</f>
        <v>23.239009985863333</v>
      </c>
      <c r="O20" s="20">
        <f>+[1]EDUCACIÓN!G20</f>
        <v>70.406173505081398</v>
      </c>
      <c r="P20" s="21">
        <f t="shared" si="1"/>
        <v>-0.66992937083583848</v>
      </c>
      <c r="T20" s="18" t="str">
        <f>+IF($B$3="esp","EBITDA sin indemnizaciones","EBITDA ex severance expenses")</f>
        <v>EBITDA ex severance expenses</v>
      </c>
      <c r="V20" s="19">
        <f>+[1]MEDIA!F32</f>
        <v>-4.7590224848634897</v>
      </c>
      <c r="W20" s="20">
        <f>+[1]MEDIA!G32</f>
        <v>-4.2626351804906513</v>
      </c>
      <c r="X20" s="21">
        <f t="shared" si="4"/>
        <v>-0.11645080645060074</v>
      </c>
      <c r="AB20" s="26" t="str">
        <f>+IF($B$3="esp","Latam","Latam")</f>
        <v>Latam</v>
      </c>
      <c r="AC20" s="3"/>
      <c r="AD20" s="27">
        <f>+AD14-AD26</f>
        <v>12.223339632708679</v>
      </c>
      <c r="AE20" s="28">
        <f>+AE14-AE26</f>
        <v>14.895898933996431</v>
      </c>
      <c r="AF20" s="29">
        <f t="shared" si="3"/>
        <v>-0.17941577833804012</v>
      </c>
      <c r="AJ20" s="37" t="str">
        <f>+IF($B$3="esp","Otros","Other")</f>
        <v>Other</v>
      </c>
      <c r="AK20" s="10"/>
      <c r="AL20" s="32">
        <f>+[1]NOTICIAS!F20</f>
        <v>0.5895665300000168</v>
      </c>
      <c r="AM20" s="33">
        <f>+[1]NOTICIAS!G20</f>
        <v>0.52138630375691797</v>
      </c>
      <c r="AN20" s="34">
        <f t="shared" si="5"/>
        <v>0.13076719843198256</v>
      </c>
    </row>
    <row r="21" spans="4:40" ht="17.25" customHeight="1">
      <c r="D21" s="26" t="str">
        <f>+IF($B$3="esp","España","Spain")</f>
        <v>Spain</v>
      </c>
      <c r="F21" s="27">
        <f>+[1]GRUPO!F21</f>
        <v>-17.0439381800002</v>
      </c>
      <c r="G21" s="28">
        <f>+[1]GRUPO!G21</f>
        <v>-10.732437439999645</v>
      </c>
      <c r="H21" s="29">
        <f t="shared" si="0"/>
        <v>-0.58807710506447308</v>
      </c>
      <c r="L21" s="26" t="str">
        <f>+IF($B$3="esp","Negocio Internacional","International business")</f>
        <v>International business</v>
      </c>
      <c r="N21" s="27">
        <f>+[1]EDUCACIÓN!F21</f>
        <v>28.961091245863333</v>
      </c>
      <c r="O21" s="28">
        <f>+[1]EDUCACIÓN!G21</f>
        <v>76.324501015081395</v>
      </c>
      <c r="P21" s="29">
        <f t="shared" si="1"/>
        <v>-0.62055315317239035</v>
      </c>
      <c r="T21" s="26" t="s">
        <v>8</v>
      </c>
      <c r="V21" s="27">
        <f>+[1]MEDIA!F33</f>
        <v>-3.3255692219018642</v>
      </c>
      <c r="W21" s="28">
        <f>+[1]MEDIA!G33</f>
        <v>0.89070439190165562</v>
      </c>
      <c r="X21" s="29" t="str">
        <f t="shared" si="4"/>
        <v>---</v>
      </c>
      <c r="AB21" s="26" t="str">
        <f>+IF($B$3="esp","Otros","Other")</f>
        <v>Other</v>
      </c>
      <c r="AD21" s="27">
        <f>+AD15-AD27</f>
        <v>-0.68522870597697927</v>
      </c>
      <c r="AE21" s="28">
        <f>+AE15-AE27</f>
        <v>-1.3513570081404052</v>
      </c>
      <c r="AF21" s="29">
        <f t="shared" si="3"/>
        <v>0.49293288017211773</v>
      </c>
      <c r="AJ21" s="35" t="str">
        <f>+IF($B$3="esp","Circulación","Circulation")</f>
        <v>Circulation</v>
      </c>
      <c r="AL21" s="27">
        <f>+[1]NOTICIAS!F21</f>
        <v>12.843609089999999</v>
      </c>
      <c r="AM21" s="28">
        <f>+[1]NOTICIAS!G21</f>
        <v>13.221754343415428</v>
      </c>
      <c r="AN21" s="29">
        <f t="shared" si="5"/>
        <v>-2.8600232888440356E-2</v>
      </c>
    </row>
    <row r="22" spans="4:40" ht="17.25" customHeight="1">
      <c r="D22" s="26" t="str">
        <f>+IF($B$3="esp","Internacional","International")</f>
        <v>International</v>
      </c>
      <c r="F22" s="27">
        <f>+[1]GRUPO!F22</f>
        <v>29.350052254840438</v>
      </c>
      <c r="G22" s="28">
        <f>+[1]GRUPO!G22</f>
        <v>74.800717022308746</v>
      </c>
      <c r="H22" s="29">
        <f t="shared" si="0"/>
        <v>-0.60762338352870326</v>
      </c>
      <c r="L22" s="31" t="str">
        <f>+IF($B$3="esp","Brasil","Brazil")</f>
        <v>Brazil</v>
      </c>
      <c r="N22" s="32">
        <f>+[1]EDUCACIÓN!F22</f>
        <v>4.2448749583611507</v>
      </c>
      <c r="O22" s="33">
        <f>+[1]EDUCACIÓN!G22</f>
        <v>31.956628357790478</v>
      </c>
      <c r="P22" s="34">
        <f>IF(O22=0,"---",IF(OR(ABS((N22-O22)/ABS(O22))&gt;9,(N22*O22)&lt;0),"---",IF(O22="0","---",((N22-O22)/ABS(O22)))))</f>
        <v>-0.86716762135119541</v>
      </c>
      <c r="T22" s="26" t="s">
        <v>9</v>
      </c>
      <c r="V22" s="27">
        <f>+[1]MEDIA!F36</f>
        <v>-1.1838094929616128</v>
      </c>
      <c r="W22" s="28">
        <f>+[1]MEDIA!G36</f>
        <v>-5.1533395723923316</v>
      </c>
      <c r="X22" s="29">
        <f t="shared" si="4"/>
        <v>0.77028304144683912</v>
      </c>
      <c r="AB22" s="18" t="str">
        <f>+IF($B$3="esp","EBITDA Contable","Reported EBITDA")</f>
        <v>Reported EBITDA</v>
      </c>
      <c r="AC22" s="17"/>
      <c r="AD22" s="19">
        <f>+[1]RADIO!F22</f>
        <v>-4.4917523685174734</v>
      </c>
      <c r="AE22" s="20">
        <f>+[1]RADIO!G22</f>
        <v>0.67236373096305901</v>
      </c>
      <c r="AF22" s="21" t="str">
        <f t="shared" si="3"/>
        <v>---</v>
      </c>
      <c r="AJ22" s="36" t="str">
        <f>+IF($B$3="esp","Papel","Offline")</f>
        <v>Offline</v>
      </c>
      <c r="AL22" s="27">
        <f>+[1]NOTICIAS!F22</f>
        <v>10.507835629999999</v>
      </c>
      <c r="AM22" s="28">
        <f>+[1]NOTICIAS!G22</f>
        <v>13.054523123415429</v>
      </c>
      <c r="AN22" s="29">
        <f>IF(AM22=0,"---",IF(OR(ABS((AL22-AM22)/ABS(AM22))&gt;9,(AL22*AM22)&lt;0),"---",IF(AM22="0","---",((AL22-AM22)/ABS(AM22)))))</f>
        <v>-0.19508085200351194</v>
      </c>
    </row>
    <row r="23" spans="4:40" ht="17.25" customHeight="1">
      <c r="D23" s="31" t="str">
        <f>+IF($B$3="esp","Latam","Latam")</f>
        <v>Latam</v>
      </c>
      <c r="F23" s="32">
        <f>+[1]GRUPO!F23</f>
        <v>29.572992914840437</v>
      </c>
      <c r="G23" s="33">
        <f>+[1]GRUPO!G23</f>
        <v>75.011200702308756</v>
      </c>
      <c r="H23" s="34">
        <f t="shared" si="0"/>
        <v>-0.60575230581624029</v>
      </c>
      <c r="L23" s="31" t="str">
        <f>+IF($B$3="esp","Otros","Other")</f>
        <v>Other</v>
      </c>
      <c r="N23" s="32">
        <f>+[1]EDUCACIÓN!F23</f>
        <v>24.716216287502181</v>
      </c>
      <c r="O23" s="33">
        <f>+[1]EDUCACIÓN!G23</f>
        <v>44.367872657290917</v>
      </c>
      <c r="P23" s="34">
        <f>IF(O23=0,"---",IF(OR(ABS((N23-O23)/ABS(O23))&gt;9,(N23*O23)&lt;0),"---",IF(O23="0","---",((N23-O23)/ABS(O23)))))</f>
        <v>-0.44292536902959678</v>
      </c>
      <c r="T23" s="39" t="str">
        <f>+IF($B$3="esp","Margen EBITDA sin indemnizaciones ","EBITDA ex severance expenses Margin")</f>
        <v>EBITDA ex severance expenses Margin</v>
      </c>
      <c r="V23" s="40">
        <f>+V20/V10</f>
        <v>-6.1809737917429143E-2</v>
      </c>
      <c r="W23" s="41">
        <f>+W20/W10</f>
        <v>-5.0231587747972158E-2</v>
      </c>
      <c r="X23" s="42">
        <f t="shared" si="4"/>
        <v>-0.23049540515319256</v>
      </c>
      <c r="AB23" s="26" t="str">
        <f>+IF($B$3="esp","España","Spain")</f>
        <v>Spain</v>
      </c>
      <c r="AD23" s="27">
        <f>+[1]RADIO!F23</f>
        <v>-3.5167355999999654</v>
      </c>
      <c r="AE23" s="28">
        <f>+[1]RADIO!G23</f>
        <v>1.3762368200000226</v>
      </c>
      <c r="AF23" s="29" t="str">
        <f t="shared" si="3"/>
        <v>---</v>
      </c>
      <c r="AJ23" s="36" t="str">
        <f>+IF($B$3="esp","Digital (incluye modelo de pago)","Online (includes paywall)")</f>
        <v>Online (includes paywall)</v>
      </c>
      <c r="AL23" s="27">
        <f>+[1]NOTICIAS!F23</f>
        <v>2.33577346</v>
      </c>
      <c r="AM23" s="28">
        <f>+[1]NOTICIAS!G23</f>
        <v>0.16723121999999999</v>
      </c>
      <c r="AN23" s="29" t="str">
        <f>IF(AM23=0,"---",IF(OR(ABS((AL23-AM23)/ABS(AM23))&gt;9,(AL23*AM23)&lt;0),"---",IF(AM23="0","---",((AL23-AM23)/ABS(AM23)))))</f>
        <v>---</v>
      </c>
    </row>
    <row r="24" spans="4:40" ht="17.25" customHeight="1">
      <c r="D24" s="31" t="str">
        <f>+IF($B$3="esp","Portugal","Portugal")</f>
        <v>Portugal</v>
      </c>
      <c r="F24" s="32">
        <f>+[1]GRUPO!F24</f>
        <v>-0.22294066000000004</v>
      </c>
      <c r="G24" s="33">
        <f>+[1]GRUPO!G24</f>
        <v>-0.21048368000000078</v>
      </c>
      <c r="H24" s="34">
        <f t="shared" si="0"/>
        <v>-5.9182640668384412E-2</v>
      </c>
      <c r="L24" s="26" t="str">
        <f>+IF($B$3="esp","Tecnología Educativa global y Centro Corpor.","Global Educational IT &amp; HQ")</f>
        <v>Global Educational IT &amp; HQ</v>
      </c>
      <c r="N24" s="27">
        <f>+[1]EDUCACIÓN!F24</f>
        <v>-5.7220812599999986</v>
      </c>
      <c r="O24" s="28">
        <f>+[1]EDUCACIÓN!G24</f>
        <v>-5.9183275100000001</v>
      </c>
      <c r="P24" s="29">
        <f t="shared" si="1"/>
        <v>3.3159072333934003E-2</v>
      </c>
      <c r="T24" s="18" t="str">
        <f>+IF($B$3="esp","EBIT Contable","Reported EBIT")</f>
        <v>Reported EBIT</v>
      </c>
      <c r="V24" s="19">
        <f>+[1]MEDIA!F40</f>
        <v>-13.734996033696341</v>
      </c>
      <c r="W24" s="20">
        <f>+[1]MEDIA!G40</f>
        <v>-12.501998686527141</v>
      </c>
      <c r="X24" s="21">
        <f t="shared" si="4"/>
        <v>-9.862401829380664E-2</v>
      </c>
      <c r="AB24" s="31" t="str">
        <f>+IF($B$3="esp","España sin SSCC","Spain ex HQ")</f>
        <v>Spain ex HQ</v>
      </c>
      <c r="AC24" s="10"/>
      <c r="AD24" s="32">
        <f>+[1]RADIO!F24</f>
        <v>-0.66932086999996654</v>
      </c>
      <c r="AE24" s="33">
        <f>+[1]RADIO!G24</f>
        <v>2.3089509800000227</v>
      </c>
      <c r="AF24" s="34" t="str">
        <f>IF(AE24=0,"---",IF(OR(ABS((AD24-AE24)/ABS(AE24))&gt;9,(AD24*AE24)&lt;0),"---",IF(AE24="0","---",((AD24-AE24)/ABS(AE24)))))</f>
        <v>---</v>
      </c>
      <c r="AJ24" s="35" t="str">
        <f>+IF($B$3="esp","Promociones y Otros","Add-ons and Others")</f>
        <v>Add-ons and Others</v>
      </c>
      <c r="AL24" s="27">
        <f>+[1]NOTICIAS!F24</f>
        <v>4.9651648227110936</v>
      </c>
      <c r="AM24" s="28">
        <f>+[1]NOTICIAS!G24</f>
        <v>4.6806418396129832</v>
      </c>
      <c r="AN24" s="29">
        <f t="shared" si="5"/>
        <v>6.0787172539062732E-2</v>
      </c>
    </row>
    <row r="25" spans="4:40" s="38" customFormat="1" ht="17.25" customHeight="1">
      <c r="D25" s="39" t="str">
        <f>+IF($B$3="esp","Margen EBITDA ","EBITDA Margin")</f>
        <v>EBITDA Margin</v>
      </c>
      <c r="F25" s="40">
        <f>+[1]GRUPO!F25</f>
        <v>7.7632976704339746E-2</v>
      </c>
      <c r="G25" s="41">
        <f>+[1]GRUPO!G25</f>
        <v>0.24528524307909058</v>
      </c>
      <c r="H25" s="42">
        <f t="shared" si="0"/>
        <v>-0.68349919575346196</v>
      </c>
      <c r="L25" s="39" t="str">
        <f>+IF($B$3="esp","Margen EBITDA ","EBITDA Margin")</f>
        <v>EBITDA Margin</v>
      </c>
      <c r="N25" s="40">
        <f>+N20/N10</f>
        <v>0.28349496563249449</v>
      </c>
      <c r="O25" s="41">
        <f>+O20/O10</f>
        <v>0.39871458876345101</v>
      </c>
      <c r="P25" s="42">
        <f t="shared" si="1"/>
        <v>-0.28897769577053001</v>
      </c>
      <c r="T25" s="26" t="s">
        <v>8</v>
      </c>
      <c r="U25" s="17"/>
      <c r="V25" s="27">
        <f>+[1]MEDIA!F41</f>
        <v>-8.3586836392392563</v>
      </c>
      <c r="W25" s="28">
        <f>+[1]MEDIA!G41</f>
        <v>-4.0749751270621779</v>
      </c>
      <c r="X25" s="29">
        <f t="shared" si="4"/>
        <v>-1.0512232292483672</v>
      </c>
      <c r="AB25" s="31" t="str">
        <f>+IF($B$3="esp","Servicios Centrales","HQ")</f>
        <v>HQ</v>
      </c>
      <c r="AC25" s="10"/>
      <c r="AD25" s="32">
        <f>+[1]RADIO!F25</f>
        <v>-2.8474147299999992</v>
      </c>
      <c r="AE25" s="33">
        <f>+[1]RADIO!G25</f>
        <v>-0.93271416000000018</v>
      </c>
      <c r="AF25" s="34">
        <f>IF(AE25=0,"---",IF(OR(ABS((AD25-AE25)/ABS(AE25))&gt;9,(AD25*AE25)&lt;0),"---",IF(AE25="0","---",((AD25-AE25)/ABS(AE25)))))</f>
        <v>-2.0528267416890067</v>
      </c>
      <c r="AJ25" s="43" t="str">
        <f>+IF($B$3="esp","PBS y Prisa Tecnología (incluye elim.)","PBS&amp;Prisa IT (includes interco.elim.)")</f>
        <v>PBS&amp;Prisa IT (includes interco.elim.)</v>
      </c>
      <c r="AK25" s="44"/>
      <c r="AL25" s="45">
        <f>+[1]NOTICIAS!F25</f>
        <v>4.1354339413575971</v>
      </c>
      <c r="AM25" s="46">
        <f>+[1]NOTICIAS!G25</f>
        <v>4.5240794288622226</v>
      </c>
      <c r="AN25" s="47">
        <f>IF(AM25=0,"---",IF(OR(ABS((AL25-AM25)/ABS(AM25))&gt;9,(AL25*AM25)&lt;0),"---",IF(AM25="0","---",((AL25-AM25)/ABS(AM25)))))</f>
        <v>-8.5905982336470024E-2</v>
      </c>
    </row>
    <row r="26" spans="4:40" s="17" customFormat="1" ht="17.25" customHeight="1">
      <c r="D26" s="18" t="str">
        <f>+IF($B$3="esp","EBITDA sin indemnizaciones","EBITDA ex severance expenses")</f>
        <v>EBITDA ex severance expenses</v>
      </c>
      <c r="F26" s="19">
        <f>+[1]GRUPO!F26</f>
        <v>17.08371216388354</v>
      </c>
      <c r="G26" s="20">
        <f>+[1]GRUPO!G26</f>
        <v>66.246658934930124</v>
      </c>
      <c r="H26" s="21">
        <f t="shared" si="0"/>
        <v>-0.74211964137446107</v>
      </c>
      <c r="L26" s="18" t="str">
        <f>+IF($B$3="esp","EBITDA sin indemnizaciones","EBITDA ex severance expenses")</f>
        <v>EBITDA ex severance expenses</v>
      </c>
      <c r="N26" s="19">
        <f>+[1]EDUCACIÓN!F26</f>
        <v>24.540263168747227</v>
      </c>
      <c r="O26" s="20">
        <f>+[1]EDUCACIÓN!G26</f>
        <v>71.097754165420838</v>
      </c>
      <c r="P26" s="21">
        <f t="shared" si="1"/>
        <v>-0.6548377166506526</v>
      </c>
      <c r="T26" s="26" t="s">
        <v>9</v>
      </c>
      <c r="V26" s="27">
        <f>+[1]MEDIA!F44</f>
        <v>-5.3763123944570577</v>
      </c>
      <c r="W26" s="28">
        <f>+[1]MEDIA!G44</f>
        <v>-8.4270235594650256</v>
      </c>
      <c r="X26" s="29">
        <f t="shared" si="4"/>
        <v>0.36201526475875151</v>
      </c>
      <c r="AB26" s="26" t="str">
        <f>+IF($B$3="esp","Latam","Latam")</f>
        <v>Latam</v>
      </c>
      <c r="AC26" s="3"/>
      <c r="AD26" s="27">
        <f>+[1]RADIO!F26</f>
        <v>-1.0247128043154732</v>
      </c>
      <c r="AE26" s="28">
        <f>+[1]RADIO!G26</f>
        <v>-1.0492065590369735</v>
      </c>
      <c r="AF26" s="29">
        <f t="shared" si="3"/>
        <v>2.3345026306337776E-2</v>
      </c>
      <c r="AJ26" s="3"/>
      <c r="AK26" s="3"/>
      <c r="AL26" s="3"/>
      <c r="AM26" s="3"/>
      <c r="AN26" s="3"/>
    </row>
    <row r="27" spans="4:40" ht="17.25" customHeight="1" thickBot="1">
      <c r="D27" s="26" t="str">
        <f>+IF($B$3="esp","España","Spain")</f>
        <v>Spain</v>
      </c>
      <c r="F27" s="27">
        <f>+[1]GRUPO!F27</f>
        <v>-13.756565780000201</v>
      </c>
      <c r="G27" s="28">
        <f>+[1]GRUPO!G27</f>
        <v>-9.4244134099996479</v>
      </c>
      <c r="H27" s="29">
        <f t="shared" si="0"/>
        <v>-0.45967342279403628</v>
      </c>
      <c r="L27" s="26" t="str">
        <f>+IF($B$3="esp","Negocio Internacional","International business")</f>
        <v>International business</v>
      </c>
      <c r="N27" s="27">
        <f>+[1]EDUCACIÓN!F27</f>
        <v>30.261825568747227</v>
      </c>
      <c r="O27" s="28">
        <f>+[1]EDUCACIÓN!G27</f>
        <v>77.016081675420835</v>
      </c>
      <c r="P27" s="29">
        <f t="shared" si="1"/>
        <v>-0.60707134262836582</v>
      </c>
      <c r="T27" s="39" t="str">
        <f>+IF($B$3="esp","Margen EBIT ","EBIT Margin")</f>
        <v>EBIT Margin</v>
      </c>
      <c r="V27" s="40">
        <f>+V24/V10</f>
        <v>-0.17838884095208293</v>
      </c>
      <c r="W27" s="41">
        <f>+W24/W10</f>
        <v>-0.14732559026433861</v>
      </c>
      <c r="X27" s="42">
        <f t="shared" si="4"/>
        <v>-0.21084762417723324</v>
      </c>
      <c r="AB27" s="26" t="str">
        <f>+IF($B$3="esp","Otros","Other")</f>
        <v>Other</v>
      </c>
      <c r="AD27" s="27">
        <f>+[1]RADIO!F27</f>
        <v>4.9696035797965221E-2</v>
      </c>
      <c r="AE27" s="28">
        <f>+[1]RADIO!G27</f>
        <v>0.34533347000000991</v>
      </c>
      <c r="AF27" s="29">
        <f t="shared" si="3"/>
        <v>-0.85609261738237019</v>
      </c>
      <c r="AJ27" s="48" t="str">
        <f>+IF($B$3="esp","Gastos de Explotación Contables","Reported Expenses")</f>
        <v>Reported Expenses</v>
      </c>
      <c r="AK27" s="17"/>
      <c r="AL27" s="49">
        <f>+AL10-AL31</f>
        <v>42.936497817725702</v>
      </c>
      <c r="AM27" s="50">
        <f>+AM10-AM31</f>
        <v>47.66206852836109</v>
      </c>
      <c r="AN27" s="51">
        <f t="shared" si="5"/>
        <v>-9.9147411275770786E-2</v>
      </c>
    </row>
    <row r="28" spans="4:40" ht="17.25" customHeight="1" thickTop="1">
      <c r="D28" s="26" t="str">
        <f>+IF($B$3="esp","Internacional","International")</f>
        <v>International</v>
      </c>
      <c r="F28" s="27">
        <f>+[1]GRUPO!F28</f>
        <v>30.840277943883741</v>
      </c>
      <c r="G28" s="28">
        <f>+[1]GRUPO!G28</f>
        <v>75.671072344929769</v>
      </c>
      <c r="H28" s="29">
        <f t="shared" si="0"/>
        <v>-0.59244296415801823</v>
      </c>
      <c r="L28" s="31" t="str">
        <f>+IF($B$3="esp","Brasil","Brazil")</f>
        <v>Brazil</v>
      </c>
      <c r="N28" s="32">
        <f>+[1]EDUCACIÓN!F28</f>
        <v>4.4989553089565222</v>
      </c>
      <c r="O28" s="33">
        <f>+[1]EDUCACIÓN!G28</f>
        <v>32.438351011919984</v>
      </c>
      <c r="P28" s="34">
        <f>IF(O28=0,"---",IF(OR(ABS((N28-O28)/ABS(O28))&gt;9,(N28*O28)&lt;0),"---",IF(O28="0","---",((N28-O28)/ABS(O28)))))</f>
        <v>-0.86130752123302112</v>
      </c>
      <c r="T28" s="18" t="str">
        <f>+IF($B$3="esp","Resultado Financiero","Financial Result")</f>
        <v>Financial Result</v>
      </c>
      <c r="V28" s="19">
        <f>+[1]MEDIA!F48</f>
        <v>-1.3653987404839611</v>
      </c>
      <c r="W28" s="20">
        <f>+[1]MEDIA!G48</f>
        <v>-0.51184292521230901</v>
      </c>
      <c r="X28" s="21">
        <f t="shared" si="4"/>
        <v>-1.6676128031223698</v>
      </c>
      <c r="AB28" s="39" t="str">
        <f>+IF($B$3="esp","Margen EBITDA ","EBITDA Margin")</f>
        <v>EBITDA Margin</v>
      </c>
      <c r="AC28" s="38"/>
      <c r="AD28" s="40">
        <f>+AD22/AD10</f>
        <v>-0.10881955099966643</v>
      </c>
      <c r="AE28" s="41">
        <f>+AE22/AE10</f>
        <v>1.4198469541156451E-2</v>
      </c>
      <c r="AF28" s="42" t="str">
        <f t="shared" si="3"/>
        <v>---</v>
      </c>
      <c r="AJ28" s="30" t="str">
        <f>+IF($B$3="esp","Gastos Prensa","Expenses Press")</f>
        <v>Expenses Press</v>
      </c>
      <c r="AK28" s="17"/>
      <c r="AL28" s="19">
        <f>+AL11-AL32</f>
        <v>38.597833888574655</v>
      </c>
      <c r="AM28" s="20">
        <f>+AM11-AM32</f>
        <v>42.714467854391238</v>
      </c>
      <c r="AN28" s="21">
        <f t="shared" si="5"/>
        <v>-9.6375635062333431E-2</v>
      </c>
    </row>
    <row r="29" spans="4:40" ht="17.25" customHeight="1">
      <c r="D29" s="31" t="str">
        <f>+IF($B$3="esp","Latam","Latam")</f>
        <v>Latam</v>
      </c>
      <c r="F29" s="32">
        <f>+[1]GRUPO!F29</f>
        <v>31.053218603883742</v>
      </c>
      <c r="G29" s="33">
        <f>+[1]GRUPO!G29</f>
        <v>75.881556024929765</v>
      </c>
      <c r="H29" s="34">
        <f t="shared" si="0"/>
        <v>-0.59076724001703829</v>
      </c>
      <c r="L29" s="31" t="str">
        <f>+IF($B$3="esp","Otros","Other")</f>
        <v>Other</v>
      </c>
      <c r="N29" s="32">
        <f>+[1]EDUCACIÓN!F29</f>
        <v>25.762870259790706</v>
      </c>
      <c r="O29" s="33">
        <f>+[1]EDUCACIÓN!G29</f>
        <v>44.577730663500851</v>
      </c>
      <c r="P29" s="34">
        <f>IF(O29=0,"---",IF(OR(ABS((N29-O29)/ABS(O29))&gt;9,(N29*O29)&lt;0),"---",IF(O29="0","---",((N29-O29)/ABS(O29)))))</f>
        <v>-0.42206860070414687</v>
      </c>
      <c r="T29" s="26" t="str">
        <f>+IF($B$3="esp","Gastos por intereses de financiación","Interests on debt")</f>
        <v>Interests on debt</v>
      </c>
      <c r="V29" s="27">
        <f>+[1]MEDIA!F49</f>
        <v>-1.2785197487661342</v>
      </c>
      <c r="W29" s="28">
        <f>+[1]MEDIA!G49</f>
        <v>-1.3717672968178587</v>
      </c>
      <c r="X29" s="29">
        <f t="shared" si="4"/>
        <v>6.7976214528538803E-2</v>
      </c>
      <c r="AB29" s="18" t="str">
        <f>+IF($B$3="esp","EBITDA sin indemnizaciones","EBITDA ex severance expenses")</f>
        <v>EBITDA ex severance expenses</v>
      </c>
      <c r="AC29" s="17"/>
      <c r="AD29" s="19">
        <f>+[1]RADIO!F29</f>
        <v>-3.3255692219018642</v>
      </c>
      <c r="AE29" s="20">
        <f>+[1]RADIO!G29</f>
        <v>0.89070439190165562</v>
      </c>
      <c r="AF29" s="21" t="str">
        <f t="shared" si="3"/>
        <v>---</v>
      </c>
      <c r="AJ29" s="43" t="str">
        <f>+IF($B$3="esp","PBS y Prisa Tecnología (incluye elim.)","PBS&amp;Prisa IT (includes interco.elim.)")</f>
        <v>PBS&amp;Prisa IT (includes interco.elim.)</v>
      </c>
      <c r="AK29" s="44"/>
      <c r="AL29" s="45">
        <f>+AL27-AL28</f>
        <v>4.3386639291510463</v>
      </c>
      <c r="AM29" s="46">
        <f>+AM27-AM28</f>
        <v>4.9476006739698519</v>
      </c>
      <c r="AN29" s="47">
        <f>IF(AM29=0,"---",IF(OR(ABS((AL29-AM29)/ABS(AM29))&gt;9,(AL29*AM29)&lt;0),"---",IF(AM29="0","---",((AL29-AM29)/ABS(AM29)))))</f>
        <v>-0.12307718123302128</v>
      </c>
    </row>
    <row r="30" spans="4:40" ht="17.25" customHeight="1">
      <c r="D30" s="31" t="str">
        <f>+IF($B$3="esp","Portugal","Portugal")</f>
        <v>Portugal</v>
      </c>
      <c r="F30" s="32">
        <f>+[1]GRUPO!F30</f>
        <v>-0.21294066000000003</v>
      </c>
      <c r="G30" s="33">
        <f>+[1]GRUPO!G30</f>
        <v>-0.21048368000000078</v>
      </c>
      <c r="H30" s="34">
        <f t="shared" si="0"/>
        <v>-1.1673019019808276E-2</v>
      </c>
      <c r="L30" s="26" t="str">
        <f>+IF($B$3="esp","Tecnología Educativa global y Centro Corpor.","Global Educational IT &amp; HQ")</f>
        <v>Global Educational IT &amp; HQ</v>
      </c>
      <c r="N30" s="27">
        <f>+[1]EDUCACIÓN!F30</f>
        <v>-5.7215623999999989</v>
      </c>
      <c r="O30" s="28">
        <f>+[1]EDUCACIÓN!G30</f>
        <v>-5.9183275100000001</v>
      </c>
      <c r="P30" s="29">
        <f t="shared" si="1"/>
        <v>3.3246742372322884E-2</v>
      </c>
      <c r="T30" s="26" t="str">
        <f>+IF($B$3="esp","Otros resultados financieros","Other financial results")</f>
        <v>Other financial results</v>
      </c>
      <c r="V30" s="27">
        <f>+[1]MEDIA!F50</f>
        <v>-8.6878991717826981E-2</v>
      </c>
      <c r="W30" s="28">
        <f>+[1]MEDIA!G50</f>
        <v>0.85992437160554969</v>
      </c>
      <c r="X30" s="29" t="str">
        <f t="shared" si="4"/>
        <v>---</v>
      </c>
      <c r="AB30" s="26" t="str">
        <f>+IF($B$3="esp","España","Spain")</f>
        <v>Spain</v>
      </c>
      <c r="AD30" s="27">
        <f>+[1]RADIO!F30</f>
        <v>-2.5359095199999655</v>
      </c>
      <c r="AE30" s="28">
        <f>+[1]RADIO!G30</f>
        <v>1.5343508300000226</v>
      </c>
      <c r="AF30" s="29" t="str">
        <f t="shared" si="3"/>
        <v>---</v>
      </c>
    </row>
    <row r="31" spans="4:40" s="38" customFormat="1" ht="17.25" customHeight="1" thickBot="1">
      <c r="D31" s="39" t="str">
        <f>+IF($B$3="esp","Margen EBITDA sin indemnizaciones ","EBITDA ex severance expenses Margin")</f>
        <v>EBITDA ex severance expenses Margin</v>
      </c>
      <c r="F31" s="40">
        <f>+[1]GRUPO!F31</f>
        <v>0.10777239836854303</v>
      </c>
      <c r="G31" s="41">
        <f>+[1]GRUPO!G31</f>
        <v>0.25362516281019037</v>
      </c>
      <c r="H31" s="42">
        <f t="shared" si="0"/>
        <v>-0.57507213726581841</v>
      </c>
      <c r="L31" s="39" t="str">
        <f>+IF($B$3="esp","Margen EBITDA sin indemnizaciones ","EBITDA ex severance expenses Margin")</f>
        <v>EBITDA ex severance expenses Margin</v>
      </c>
      <c r="N31" s="40">
        <f>+N26/N10</f>
        <v>0.29936908103522686</v>
      </c>
      <c r="O31" s="41">
        <f>+O26/O10</f>
        <v>0.4026310535399964</v>
      </c>
      <c r="P31" s="42">
        <f t="shared" si="1"/>
        <v>-0.25646797880310973</v>
      </c>
      <c r="T31" s="18" t="str">
        <f>+IF($B$3="esp","Resultado puesta en equivalencia","Result from associates")</f>
        <v>Result from associates</v>
      </c>
      <c r="U31" s="3"/>
      <c r="V31" s="19">
        <f>+[1]MEDIA!F51</f>
        <v>-0.38089046490165868</v>
      </c>
      <c r="W31" s="20">
        <f>+[1]MEDIA!G51</f>
        <v>1.5070316624023887</v>
      </c>
      <c r="X31" s="21" t="str">
        <f t="shared" si="4"/>
        <v>---</v>
      </c>
      <c r="AB31" s="31" t="str">
        <f>+IF($B$3="esp","España sin SSCC","Spain ex HQ")</f>
        <v>Spain ex HQ</v>
      </c>
      <c r="AC31" s="10"/>
      <c r="AD31" s="32">
        <f>+[1]RADIO!F31</f>
        <v>0.40232621000003338</v>
      </c>
      <c r="AE31" s="33">
        <f>+[1]RADIO!G31</f>
        <v>2.4669726400000225</v>
      </c>
      <c r="AF31" s="34">
        <f>IF(AE31=0,"---",IF(OR(ABS((AD31-AE31)/ABS(AE31))&gt;9,(AD31*AE31)&lt;0),"---",IF(AE31="0","---",((AD31-AE31)/ABS(AE31)))))</f>
        <v>-0.83691500932088581</v>
      </c>
      <c r="AJ31" s="48" t="str">
        <f>+IF($B$3="esp","EBITDA Contable","Reported EBITDA")</f>
        <v>Reported EBITDA</v>
      </c>
      <c r="AK31" s="17"/>
      <c r="AL31" s="49">
        <f>+[1]NOTICIAS!F31</f>
        <v>-2.9834017125054126</v>
      </c>
      <c r="AM31" s="50">
        <f>+[1]NOTICIAS!G31</f>
        <v>-5.967033753735322</v>
      </c>
      <c r="AN31" s="51">
        <f t="shared" si="5"/>
        <v>0.50001930010236262</v>
      </c>
    </row>
    <row r="32" spans="4:40" s="17" customFormat="1" ht="17.25" customHeight="1" thickTop="1">
      <c r="D32" s="18" t="str">
        <f>+IF($B$3="esp","EBIT Contable","Reported EBIT")</f>
        <v>Reported EBIT</v>
      </c>
      <c r="F32" s="19">
        <f>+[1]GRUPO!F32</f>
        <v>-4.5422962159075864</v>
      </c>
      <c r="G32" s="20">
        <f>+[1]GRUPO!G32</f>
        <v>41.499516463561697</v>
      </c>
      <c r="H32" s="21" t="str">
        <f t="shared" si="0"/>
        <v>---</v>
      </c>
      <c r="L32" s="18" t="str">
        <f>+IF($B$3="esp","EBIT Contable","Reported EBIT")</f>
        <v>Reported EBIT</v>
      </c>
      <c r="N32" s="19">
        <f>+[1]EDUCACIÓN!F32</f>
        <v>12.875162207788966</v>
      </c>
      <c r="O32" s="20">
        <f>+[1]EDUCACIÓN!G32</f>
        <v>55.478387590088829</v>
      </c>
      <c r="P32" s="21">
        <f t="shared" si="1"/>
        <v>-0.76792472227348751</v>
      </c>
      <c r="T32" s="18" t="str">
        <f>+IF($B$3="esp","Resultado antes de impuestos","Profit before tax")</f>
        <v>Profit before tax</v>
      </c>
      <c r="U32" s="3"/>
      <c r="V32" s="19">
        <f>+[1]MEDIA!F52</f>
        <v>-15.481285239081961</v>
      </c>
      <c r="W32" s="20">
        <f>+[1]MEDIA!G52</f>
        <v>-11.506809949337061</v>
      </c>
      <c r="X32" s="21">
        <f t="shared" si="4"/>
        <v>-0.3454020103959291</v>
      </c>
      <c r="AB32" s="31" t="str">
        <f>+IF($B$3="esp","Servicios Centrales","HQ")</f>
        <v>HQ</v>
      </c>
      <c r="AC32" s="10"/>
      <c r="AD32" s="32">
        <f>+[1]RADIO!F32</f>
        <v>-2.9382357299999988</v>
      </c>
      <c r="AE32" s="33">
        <f>+[1]RADIO!G32</f>
        <v>-0.93262181000000022</v>
      </c>
      <c r="AF32" s="34">
        <f>IF(AE32=0,"---",IF(OR(ABS((AD32-AE32)/ABS(AE32))&gt;9,(AD32*AE32)&lt;0),"---",IF(AE32="0","---",((AD32-AE32)/ABS(AE32)))))</f>
        <v>-2.1505114918983059</v>
      </c>
      <c r="AJ32" s="30" t="str">
        <f>+IF($B$3="esp","EBITDA Prensa","EBITDA Press")</f>
        <v>EBITDA Press</v>
      </c>
      <c r="AL32" s="19">
        <f>+[1]NOTICIAS!F32</f>
        <v>-2.7801717247119591</v>
      </c>
      <c r="AM32" s="20">
        <f>+[1]NOTICIAS!G32</f>
        <v>-5.5435125086276944</v>
      </c>
      <c r="AN32" s="21">
        <f t="shared" si="5"/>
        <v>0.49848192452258122</v>
      </c>
    </row>
    <row r="33" spans="4:40" ht="17.25" customHeight="1">
      <c r="D33" s="26" t="str">
        <f>+IF($B$3="esp","España","Spain")</f>
        <v>Spain</v>
      </c>
      <c r="F33" s="27">
        <f>+[1]GRUPO!F33</f>
        <v>-22.939316960000163</v>
      </c>
      <c r="G33" s="28">
        <f>+[1]GRUPO!G33</f>
        <v>-17.430049139999625</v>
      </c>
      <c r="H33" s="29">
        <f t="shared" si="0"/>
        <v>-0.31607873137646569</v>
      </c>
      <c r="L33" s="26" t="str">
        <f>+IF($B$3="esp","Negocio Internacional","International business")</f>
        <v>International business</v>
      </c>
      <c r="N33" s="27">
        <f>+[1]EDUCACIÓN!F33</f>
        <v>19.437515987788966</v>
      </c>
      <c r="O33" s="28">
        <f>+[1]EDUCACIÓN!G33</f>
        <v>62.250317240046371</v>
      </c>
      <c r="P33" s="29">
        <f t="shared" si="1"/>
        <v>-0.68775233846865302</v>
      </c>
      <c r="T33" s="26" t="str">
        <f>+IF($B$3="esp","Impuesto sobre sociedades","Income tax expense")</f>
        <v>Income tax expense</v>
      </c>
      <c r="U33" s="17"/>
      <c r="V33" s="27">
        <f>+[1]MEDIA!F53</f>
        <v>-0.58977485509288496</v>
      </c>
      <c r="W33" s="28">
        <f>+[1]MEDIA!G53</f>
        <v>0.11667897204311085</v>
      </c>
      <c r="X33" s="29" t="str">
        <f t="shared" si="4"/>
        <v>---</v>
      </c>
      <c r="AB33" s="26" t="str">
        <f>+IF($B$3="esp","Latam","Latam")</f>
        <v>Latam</v>
      </c>
      <c r="AD33" s="27">
        <f>+[1]RADIO!F33</f>
        <v>-0.8393557376998636</v>
      </c>
      <c r="AE33" s="28">
        <f>+[1]RADIO!G33</f>
        <v>-0.98897990809837677</v>
      </c>
      <c r="AF33" s="29">
        <f t="shared" si="3"/>
        <v>0.15129141570349233</v>
      </c>
      <c r="AJ33" s="39" t="str">
        <f>+IF($B$3="esp","Margen EBITDA ","EBITDA Margin")</f>
        <v>EBITDA Margin</v>
      </c>
      <c r="AK33" s="38"/>
      <c r="AL33" s="40">
        <f>+AL32/AL11</f>
        <v>-7.7620133664584673E-2</v>
      </c>
      <c r="AM33" s="41">
        <f>+AM32/AM11</f>
        <v>-0.14913559409657468</v>
      </c>
      <c r="AN33" s="42">
        <f>IF(AM33=0,"---",IF(OR(ABS((AL33-AM33)/ABS(AM33))&gt;9,(AL33*AM33)&lt;0),"---",IF(AM33="0","---",((AL33-AM33)/ABS(AM33)))))</f>
        <v>0.47953314475469383</v>
      </c>
    </row>
    <row r="34" spans="4:40" ht="17.25" customHeight="1">
      <c r="D34" s="26" t="str">
        <f>+IF($B$3="esp","Internacional","International")</f>
        <v>International</v>
      </c>
      <c r="F34" s="27">
        <f>+[1]GRUPO!F34</f>
        <v>18.397020744092575</v>
      </c>
      <c r="G34" s="28">
        <f>+[1]GRUPO!G34</f>
        <v>58.929565603561322</v>
      </c>
      <c r="H34" s="29">
        <f t="shared" si="0"/>
        <v>-0.68781339968029931</v>
      </c>
      <c r="L34" s="31" t="str">
        <f>+IF($B$3="esp","Brasil","Brazil")</f>
        <v>Brazil</v>
      </c>
      <c r="N34" s="32">
        <f>+[1]EDUCACIÓN!F34</f>
        <v>0.98257938126424416</v>
      </c>
      <c r="O34" s="33">
        <f>+[1]EDUCACIÓN!G34</f>
        <v>25.178893160138728</v>
      </c>
      <c r="P34" s="34">
        <f>IF(O34=0,"---",IF(OR(ABS((N34-O34)/ABS(O34))&gt;9,(N34*O34)&lt;0),"---",IF(O34="0","---",((N34-O34)/ABS(O34)))))</f>
        <v>-0.96097606932064084</v>
      </c>
      <c r="T34" s="18" t="str">
        <f>+IF($B$3="esp","Resultado operaciones en discontinuación","Results from discontinued activities")</f>
        <v>Results from discontinued activities</v>
      </c>
      <c r="V34" s="19">
        <f>+[1]MEDIA!F54</f>
        <v>0</v>
      </c>
      <c r="W34" s="20">
        <f>+[1]MEDIA!G54</f>
        <v>0</v>
      </c>
      <c r="X34" s="21" t="str">
        <f t="shared" si="4"/>
        <v>---</v>
      </c>
      <c r="AB34" s="26" t="str">
        <f>+IF($B$3="esp","Otros","Other")</f>
        <v>Other</v>
      </c>
      <c r="AD34" s="27">
        <f>+[1]RADIO!F34</f>
        <v>4.9696035797964888E-2</v>
      </c>
      <c r="AE34" s="28">
        <f>+[1]RADIO!G34</f>
        <v>0.3453334700000098</v>
      </c>
      <c r="AF34" s="29">
        <f t="shared" si="3"/>
        <v>-0.85609261738237108</v>
      </c>
      <c r="AJ34" s="43" t="str">
        <f>+IF($B$3="esp","PBS y Prisa Tecnología","PBS&amp;Prisa IT")</f>
        <v>PBS&amp;Prisa IT</v>
      </c>
      <c r="AK34" s="44"/>
      <c r="AL34" s="45">
        <f>+AL31-AL32</f>
        <v>-0.20322998779345358</v>
      </c>
      <c r="AM34" s="46">
        <f>+AM31-AM32</f>
        <v>-0.42352124510762756</v>
      </c>
      <c r="AN34" s="47">
        <f>IF(AM34=0,"---",IF(OR(ABS((AL34-AM34)/ABS(AM34))&gt;9,(AL34*AM34)&lt;0),"---",IF(AM34="0","---",((AL34-AM34)/ABS(AM34)))))</f>
        <v>0.5201421649064909</v>
      </c>
    </row>
    <row r="35" spans="4:40" ht="17.25" customHeight="1">
      <c r="D35" s="31" t="str">
        <f>+IF($B$3="esp","Latam","Latam")</f>
        <v>Latam</v>
      </c>
      <c r="F35" s="32">
        <f>+[1]GRUPO!F35</f>
        <v>18.624102404092575</v>
      </c>
      <c r="G35" s="33">
        <f>+[1]GRUPO!G35</f>
        <v>59.144194283561326</v>
      </c>
      <c r="H35" s="34">
        <f t="shared" si="0"/>
        <v>-0.6851068371174176</v>
      </c>
      <c r="L35" s="31" t="str">
        <f>+IF($B$3="esp","Otros","Other")</f>
        <v>Other</v>
      </c>
      <c r="N35" s="32">
        <f>+[1]EDUCACIÓN!F35</f>
        <v>18.454936606524722</v>
      </c>
      <c r="O35" s="33">
        <f>+[1]EDUCACIÓN!G35</f>
        <v>37.071424079907644</v>
      </c>
      <c r="P35" s="34">
        <f>IF(O35=0,"---",IF(OR(ABS((N35-O35)/ABS(O35))&gt;9,(N35*O35)&lt;0),"---",IF(O35="0","---",((N35-O35)/ABS(O35)))))</f>
        <v>-0.50217891368982714</v>
      </c>
      <c r="T35" s="18" t="str">
        <f>+IF($B$3="esp","Resultado atribuido a socios externos","Minority interest")</f>
        <v>Minority interest</v>
      </c>
      <c r="V35" s="19">
        <f>+[1]MEDIA!F55</f>
        <v>-0.63961965949523569</v>
      </c>
      <c r="W35" s="20">
        <f>+[1]MEDIA!G55</f>
        <v>-0.72313990178991527</v>
      </c>
      <c r="X35" s="21">
        <f t="shared" si="4"/>
        <v>0.11549665851372652</v>
      </c>
      <c r="AB35" s="39" t="str">
        <f>+IF($B$3="esp","Margen EBITDA sin indemnizaciones ","EBITDA ex severance expenses Margin")</f>
        <v>EBITDA ex severance expenses Margin</v>
      </c>
      <c r="AC35" s="38"/>
      <c r="AD35" s="40">
        <f>+AD29/AD10</f>
        <v>-8.0566985856594234E-2</v>
      </c>
      <c r="AE35" s="41">
        <f>+AE29/AE10</f>
        <v>1.8809222740904755E-2</v>
      </c>
      <c r="AF35" s="42" t="str">
        <f t="shared" si="3"/>
        <v>---</v>
      </c>
    </row>
    <row r="36" spans="4:40" ht="17.25" customHeight="1" thickBot="1">
      <c r="D36" s="31" t="str">
        <f>+IF($B$3="esp","Portugal","Portugal")</f>
        <v>Portugal</v>
      </c>
      <c r="F36" s="32">
        <f>+[1]GRUPO!F36</f>
        <v>-0.22708165999999999</v>
      </c>
      <c r="G36" s="33">
        <f>+[1]GRUPO!G36</f>
        <v>-0.21462868000000304</v>
      </c>
      <c r="H36" s="34">
        <f t="shared" si="0"/>
        <v>-5.8021043599563546E-2</v>
      </c>
      <c r="L36" s="26" t="str">
        <f>+IF($B$3="esp","Tecnología Educativa global y Centro Corpor.","Global Educational IT &amp; HQ")</f>
        <v>Global Educational IT &amp; HQ</v>
      </c>
      <c r="N36" s="27">
        <f>+[1]EDUCACIÓN!F36</f>
        <v>-6.5623537799999996</v>
      </c>
      <c r="O36" s="28">
        <f>+[1]EDUCACIÓN!G36</f>
        <v>-6.7719296499575456</v>
      </c>
      <c r="P36" s="29">
        <f t="shared" si="1"/>
        <v>3.0947732890116472E-2</v>
      </c>
      <c r="T36" s="18" t="str">
        <f>+IF($B$3="esp","Resultado Neto","Net Profit")</f>
        <v>Net Profit</v>
      </c>
      <c r="V36" s="19">
        <f>+[1]MEDIA!F56</f>
        <v>-14.251890724493901</v>
      </c>
      <c r="W36" s="20">
        <f>+[1]MEDIA!G56</f>
        <v>-10.900349019590198</v>
      </c>
      <c r="X36" s="21">
        <f t="shared" si="4"/>
        <v>-0.30747104509041717</v>
      </c>
      <c r="AB36" s="18" t="str">
        <f>+IF($B$3="esp","EBIT Contable","Reported EBIT")</f>
        <v>Reported EBIT</v>
      </c>
      <c r="AC36" s="17"/>
      <c r="AD36" s="19">
        <f>+[1]RADIO!F36</f>
        <v>-8.3586836392392563</v>
      </c>
      <c r="AE36" s="20">
        <f>+[1]RADIO!G36</f>
        <v>-4.0749751270621779</v>
      </c>
      <c r="AF36" s="21">
        <f t="shared" si="3"/>
        <v>-1.0512232292483672</v>
      </c>
      <c r="AJ36" s="48" t="str">
        <f>+IF($B$3="esp","EBITDA sin indemnizaciones","EBITDA ex severance expenses")</f>
        <v>EBITDA ex severance expenses</v>
      </c>
      <c r="AK36" s="17"/>
      <c r="AL36" s="49">
        <f>+[1]NOTICIAS!F36</f>
        <v>-1.1838094929616128</v>
      </c>
      <c r="AM36" s="50">
        <f>+[1]NOTICIAS!G36</f>
        <v>-5.1533395723923316</v>
      </c>
      <c r="AN36" s="51">
        <f t="shared" si="5"/>
        <v>0.77028304144683912</v>
      </c>
    </row>
    <row r="37" spans="4:40" s="38" customFormat="1" ht="17.25" customHeight="1" thickTop="1">
      <c r="D37" s="39" t="str">
        <f>+IF($B$3="esp","Margen EBIT ","EBIT Margin")</f>
        <v>EBIT Margin</v>
      </c>
      <c r="F37" s="40">
        <f>+[1]GRUPO!F37</f>
        <v>-2.8655022549702983E-2</v>
      </c>
      <c r="G37" s="41">
        <f>+[1]GRUPO!G37</f>
        <v>0.15888079170835417</v>
      </c>
      <c r="H37" s="42" t="str">
        <f t="shared" si="0"/>
        <v>---</v>
      </c>
      <c r="L37" s="39" t="str">
        <f>+IF($B$3="esp","Margen EBIT ","EBIT Margin")</f>
        <v>EBIT Margin</v>
      </c>
      <c r="N37" s="40">
        <f>+N32/N10</f>
        <v>0.157065368526039</v>
      </c>
      <c r="O37" s="41">
        <f>+O32/O10</f>
        <v>0.31417759824207958</v>
      </c>
      <c r="P37" s="42">
        <f t="shared" si="1"/>
        <v>-0.50007457754827811</v>
      </c>
      <c r="T37" s="31"/>
      <c r="V37" s="33"/>
      <c r="W37" s="33"/>
      <c r="X37" s="52"/>
      <c r="AB37" s="26" t="str">
        <f>+IF($B$3="esp","España","Spain")</f>
        <v>Spain</v>
      </c>
      <c r="AC37" s="3"/>
      <c r="AD37" s="27">
        <f>+[1]RADIO!F37</f>
        <v>-6.014404749999974</v>
      </c>
      <c r="AE37" s="28">
        <f>+[1]RADIO!G37</f>
        <v>-1.6456389699999667</v>
      </c>
      <c r="AF37" s="29">
        <f t="shared" si="3"/>
        <v>-2.6547534785227502</v>
      </c>
      <c r="AJ37" s="30" t="str">
        <f>+IF($B$3="esp","EBITDA sin indem. Prensa","EBITDA ex sever.exp Press")</f>
        <v>EBITDA ex sever.exp Press</v>
      </c>
      <c r="AK37" s="17"/>
      <c r="AL37" s="19">
        <f>+[1]NOTICIAS!F37</f>
        <v>-1.3012549314623225</v>
      </c>
      <c r="AM37" s="20">
        <f>+[1]NOTICIAS!G37</f>
        <v>-4.729818327284705</v>
      </c>
      <c r="AN37" s="21">
        <f t="shared" si="5"/>
        <v>0.72488268228912145</v>
      </c>
    </row>
    <row r="38" spans="4:40" s="17" customFormat="1" ht="17.25" customHeight="1">
      <c r="D38" s="18" t="str">
        <f>+IF($B$3="esp","Resultado Financiero","Financial Result")</f>
        <v>Financial Result</v>
      </c>
      <c r="F38" s="19">
        <f>+[1]GRUPO!F38</f>
        <v>-7.139595696873557</v>
      </c>
      <c r="G38" s="20">
        <f>+[1]GRUPO!G38</f>
        <v>-15.087088290659748</v>
      </c>
      <c r="H38" s="21">
        <f t="shared" si="0"/>
        <v>0.52677444717456834</v>
      </c>
      <c r="L38" s="18" t="str">
        <f>+IF($B$3="esp","Resultado Financiero","Financial Result")</f>
        <v>Financial Result</v>
      </c>
      <c r="N38" s="19">
        <f>+[1]EDUCACIÓN!F38</f>
        <v>0.28028948361040618</v>
      </c>
      <c r="O38" s="20">
        <f>+[1]EDUCACIÓN!G38</f>
        <v>-3.0942805447422918E-2</v>
      </c>
      <c r="P38" s="21" t="str">
        <f t="shared" si="1"/>
        <v>---</v>
      </c>
      <c r="T38" s="31"/>
      <c r="V38" s="33"/>
      <c r="W38" s="33"/>
      <c r="X38" s="52"/>
      <c r="AB38" s="31" t="str">
        <f>+IF($B$3="esp","España sin SSCC","Spain ex HQ")</f>
        <v>Spain ex HQ</v>
      </c>
      <c r="AC38" s="10"/>
      <c r="AD38" s="32">
        <f>+[1]RADIO!F38</f>
        <v>-2.8754480299999741</v>
      </c>
      <c r="AE38" s="33">
        <f>+[1]RADIO!G38</f>
        <v>-0.35902940999996669</v>
      </c>
      <c r="AF38" s="34">
        <f>IF(AE38=0,"---",IF(OR(ABS((AD38-AE38)/ABS(AE38))&gt;9,(AD38*AE38)&lt;0),"---",IF(AE38="0","---",((AD38-AE38)/ABS(AE38)))))</f>
        <v>-7.0089484312726391</v>
      </c>
      <c r="AJ38" s="39" t="str">
        <f>+IF($B$3="esp","Margen EBITDA sin indemnizaciones ","EBITDA ex severance expenses Margin")</f>
        <v>EBITDA ex severance expenses Margin</v>
      </c>
      <c r="AK38" s="38"/>
      <c r="AL38" s="40">
        <f>+AL37/AL11</f>
        <v>-3.6329979480771088E-2</v>
      </c>
      <c r="AM38" s="41">
        <f>+AM37/AM11</f>
        <v>-0.12724500307533185</v>
      </c>
      <c r="AN38" s="42">
        <f>IF(AM38=0,"---",IF(OR(ABS((AL38-AM38)/ABS(AM38))&gt;9,(AL38*AM38)&lt;0),"---",IF(AM38="0","---",((AL38-AM38)/ABS(AM38)))))</f>
        <v>0.71448796728573349</v>
      </c>
    </row>
    <row r="39" spans="4:40" ht="17.25" customHeight="1">
      <c r="D39" s="26" t="str">
        <f>+IF($B$3="esp","Gastos por intereses de financiación","Interests on debt")</f>
        <v>Interests on debt</v>
      </c>
      <c r="F39" s="27">
        <f>+[1]GRUPO!F39</f>
        <v>-12.749603917566901</v>
      </c>
      <c r="G39" s="28">
        <f>+[1]GRUPO!G39</f>
        <v>-14.8010302940241</v>
      </c>
      <c r="H39" s="29">
        <f t="shared" si="0"/>
        <v>0.13860024172002811</v>
      </c>
      <c r="L39" s="26" t="str">
        <f>+IF($B$3="esp","Gastos por intereses de financiación","Interests on debt")</f>
        <v>Interests on debt</v>
      </c>
      <c r="N39" s="27">
        <f>+[1]EDUCACIÓN!F39</f>
        <v>-2.0814268588007674</v>
      </c>
      <c r="O39" s="28">
        <f>+[1]EDUCACIÓN!G39</f>
        <v>-2.09898728720629</v>
      </c>
      <c r="P39" s="29">
        <f t="shared" si="1"/>
        <v>8.3661432885071014E-3</v>
      </c>
      <c r="AB39" s="31" t="str">
        <f>+IF($B$3="esp","Servicios Centrales","HQ")</f>
        <v>HQ</v>
      </c>
      <c r="AC39" s="10"/>
      <c r="AD39" s="32">
        <f>+[1]RADIO!F39</f>
        <v>-3.1389567199999995</v>
      </c>
      <c r="AE39" s="33">
        <f>+[1]RADIO!G39</f>
        <v>-1.28660956</v>
      </c>
      <c r="AF39" s="34">
        <f>IF(AE39=0,"---",IF(OR(ABS((AD39-AE39)/ABS(AE39))&gt;9,(AD39*AE39)&lt;0),"---",IF(AE39="0","---",((AD39-AE39)/ABS(AE39)))))</f>
        <v>-1.4397119511532306</v>
      </c>
      <c r="AJ39" s="43" t="str">
        <f>+IF($B$3="esp","PBS y Prisa Tecnología","PBS&amp;Prisa IT")</f>
        <v>PBS&amp;Prisa IT</v>
      </c>
      <c r="AK39" s="44"/>
      <c r="AL39" s="45">
        <f>+AL36-AL37</f>
        <v>0.11744543850070976</v>
      </c>
      <c r="AM39" s="46">
        <f>+AM36-AM37</f>
        <v>-0.42352124510762668</v>
      </c>
      <c r="AN39" s="47" t="str">
        <f>IF(AM39=0,"---",IF(OR(ABS((AL39-AM39)/ABS(AM39))&gt;9,(AL39*AM39)&lt;0),"---",IF(AM39="0","---",((AL39-AM39)/ABS(AM39)))))</f>
        <v>---</v>
      </c>
    </row>
    <row r="40" spans="4:40" ht="17.25" customHeight="1">
      <c r="D40" s="26" t="str">
        <f>+IF($B$3="esp","Otros resultados financieros","Other financial results")</f>
        <v>Other financial results</v>
      </c>
      <c r="F40" s="27">
        <f>+[1]GRUPO!F40</f>
        <v>5.6100082206933441</v>
      </c>
      <c r="G40" s="28">
        <f>+[1]GRUPO!G40</f>
        <v>-0.28605799663564824</v>
      </c>
      <c r="H40" s="29" t="str">
        <f t="shared" si="0"/>
        <v>---</v>
      </c>
      <c r="L40" s="26" t="str">
        <f>+IF($B$3="esp","Otros resultados financieros","Other financial results")</f>
        <v>Other financial results</v>
      </c>
      <c r="N40" s="27">
        <f>+[1]EDUCACIÓN!F40</f>
        <v>2.3617163424111736</v>
      </c>
      <c r="O40" s="28">
        <f>+[1]EDUCACIÓN!G40</f>
        <v>2.068044481758867</v>
      </c>
      <c r="P40" s="29">
        <f t="shared" si="1"/>
        <v>0.14200461510505777</v>
      </c>
      <c r="AB40" s="26" t="str">
        <f>+IF($B$3="esp","Latam","Latam")</f>
        <v>Latam</v>
      </c>
      <c r="AD40" s="27">
        <f>+[1]RADIO!F40</f>
        <v>-2.394523079239244</v>
      </c>
      <c r="AE40" s="28">
        <f>+[1]RADIO!G40</f>
        <v>-2.774669627062142</v>
      </c>
      <c r="AF40" s="29">
        <f t="shared" si="3"/>
        <v>0.13700605798802878</v>
      </c>
    </row>
    <row r="41" spans="4:40" s="17" customFormat="1" ht="17.25" customHeight="1" thickBot="1">
      <c r="D41" s="18" t="str">
        <f>+IF($B$3="esp","Resultado puesta en equivalencia","Result from associates")</f>
        <v>Result from associates</v>
      </c>
      <c r="F41" s="19">
        <f>+[1]GRUPO!F41</f>
        <v>-0.37289308740165872</v>
      </c>
      <c r="G41" s="20">
        <f>+[1]GRUPO!G41</f>
        <v>1.5009225349023869</v>
      </c>
      <c r="H41" s="21" t="str">
        <f t="shared" si="0"/>
        <v>---</v>
      </c>
      <c r="L41" s="18" t="str">
        <f>+IF($B$3="esp","Resultado puesta en equivalencia","Result from associates")</f>
        <v>Result from associates</v>
      </c>
      <c r="N41" s="19">
        <f>+[1]EDUCACIÓN!F41</f>
        <v>0</v>
      </c>
      <c r="O41" s="20">
        <f>+[1]EDUCACIÓN!G41</f>
        <v>0</v>
      </c>
      <c r="P41" s="21" t="str">
        <f t="shared" si="1"/>
        <v>---</v>
      </c>
      <c r="AB41" s="26" t="str">
        <f>+IF($B$3="esp","Otros","Other")</f>
        <v>Other</v>
      </c>
      <c r="AC41" s="3"/>
      <c r="AD41" s="27">
        <f>+[1]RADIO!F41</f>
        <v>5.0244189999961719E-2</v>
      </c>
      <c r="AE41" s="28">
        <f>+[1]RADIO!G41</f>
        <v>0.34533346999993064</v>
      </c>
      <c r="AF41" s="29">
        <f t="shared" si="3"/>
        <v>-0.85450529889277227</v>
      </c>
      <c r="AJ41" s="48" t="str">
        <f>+IF($B$3="esp","EBIT Contable","Reported EBIT")</f>
        <v>Reported EBIT</v>
      </c>
      <c r="AL41" s="49">
        <f>+[1]NOTICIAS!F41</f>
        <v>-5.3763123944570577</v>
      </c>
      <c r="AM41" s="50">
        <f>+[1]NOTICIAS!G41</f>
        <v>-8.4270235594650256</v>
      </c>
      <c r="AN41" s="51">
        <f t="shared" si="5"/>
        <v>0.36201526475875151</v>
      </c>
    </row>
    <row r="42" spans="4:40" s="17" customFormat="1" ht="17.25" customHeight="1" thickTop="1">
      <c r="D42" s="18" t="str">
        <f>+IF($B$3="esp","Resultado antes de impuestos","Profit before tax")</f>
        <v>Profit before tax</v>
      </c>
      <c r="F42" s="19">
        <f>+[1]GRUPO!F42</f>
        <v>-12.054785000182802</v>
      </c>
      <c r="G42" s="20">
        <f>+[1]GRUPO!G42</f>
        <v>27.913350707804334</v>
      </c>
      <c r="H42" s="21" t="str">
        <f t="shared" si="0"/>
        <v>---</v>
      </c>
      <c r="L42" s="18" t="str">
        <f>+IF($B$3="esp","Resultado antes de impuestos","Profit before tax")</f>
        <v>Profit before tax</v>
      </c>
      <c r="N42" s="19">
        <f>+[1]EDUCACIÓN!F42</f>
        <v>13.155451691399373</v>
      </c>
      <c r="O42" s="20">
        <f>+[1]EDUCACIÓN!G42</f>
        <v>55.447444784641405</v>
      </c>
      <c r="P42" s="21">
        <f t="shared" si="1"/>
        <v>-0.76274016336559214</v>
      </c>
      <c r="T42" s="31"/>
      <c r="V42" s="33"/>
      <c r="W42" s="33"/>
      <c r="X42" s="52"/>
      <c r="AB42" s="39" t="str">
        <f>+IF($B$3="esp","Margen EBIT ","EBIT Margin")</f>
        <v>EBIT Margin</v>
      </c>
      <c r="AC42" s="38"/>
      <c r="AD42" s="40">
        <f>+AD36/AD10</f>
        <v>-0.20250185806001769</v>
      </c>
      <c r="AE42" s="41">
        <f>+AE36/AE10</f>
        <v>-8.6052247553105046E-2</v>
      </c>
      <c r="AF42" s="42">
        <f t="shared" si="3"/>
        <v>-1.3532431030932528</v>
      </c>
      <c r="AJ42" s="30" t="str">
        <f>+IF($B$3="esp","EBIT Prensa","EBIT Press")</f>
        <v>EBIT Press</v>
      </c>
      <c r="AL42" s="19">
        <f>+[1]NOTICIAS!F42</f>
        <v>-4.7609816400173797</v>
      </c>
      <c r="AM42" s="20">
        <f>+[1]NOTICIAS!G42</f>
        <v>-7.5163011050523094</v>
      </c>
      <c r="AN42" s="21">
        <f t="shared" si="5"/>
        <v>0.36657917591710881</v>
      </c>
    </row>
    <row r="43" spans="4:40" ht="17.25" customHeight="1">
      <c r="D43" s="26" t="str">
        <f>+IF($B$3="esp","Impuesto sobre sociedades","Income tax expense")</f>
        <v>Income tax expense</v>
      </c>
      <c r="F43" s="27">
        <f>+[1]GRUPO!F43</f>
        <v>3.6694249003337247</v>
      </c>
      <c r="G43" s="28">
        <f>+[1]GRUPO!G43</f>
        <v>24.992844512806542</v>
      </c>
      <c r="H43" s="29">
        <f t="shared" si="0"/>
        <v>-0.85318098152239219</v>
      </c>
      <c r="L43" s="26" t="str">
        <f>+IF($B$3="esp","Impuesto sobre sociedades","Income tax expense")</f>
        <v>Income tax expense</v>
      </c>
      <c r="N43" s="27">
        <f>+[1]EDUCACIÓN!F43</f>
        <v>4.2475967554266081</v>
      </c>
      <c r="O43" s="28">
        <f>+[1]EDUCACIÓN!G43</f>
        <v>20.729003090763459</v>
      </c>
      <c r="P43" s="29">
        <f t="shared" si="1"/>
        <v>-0.7950891928170305</v>
      </c>
      <c r="T43" s="31"/>
      <c r="V43" s="33"/>
      <c r="W43" s="33"/>
      <c r="X43" s="52"/>
      <c r="AJ43" s="39" t="str">
        <f>+IF($B$3="esp","Margen EBIT ","EBIT Margin")</f>
        <v>EBIT Margin</v>
      </c>
      <c r="AK43" s="38"/>
      <c r="AL43" s="40">
        <f>+AL42/AL11</f>
        <v>-0.13292273566700982</v>
      </c>
      <c r="AM43" s="41">
        <f>+AM42/AM11</f>
        <v>-0.20220898373840043</v>
      </c>
      <c r="AN43" s="42">
        <f>IF(AM43=0,"---",IF(OR(ABS((AL43-AM43)/ABS(AM43))&gt;9,(AL43*AM43)&lt;0),"---",IF(AM43="0","---",((AL43-AM43)/ABS(AM43)))))</f>
        <v>0.34264673502848342</v>
      </c>
    </row>
    <row r="44" spans="4:40" s="17" customFormat="1" ht="17.25" customHeight="1">
      <c r="D44" s="18" t="str">
        <f>+IF($B$3="esp","Resultado operaciones en discontinuación","Results from discontinued activities")</f>
        <v>Results from discontinued activities</v>
      </c>
      <c r="F44" s="19">
        <f>+[1]GRUPO!F44</f>
        <v>-1.9180000000005749E-5</v>
      </c>
      <c r="G44" s="20">
        <f>+[1]GRUPO!G44</f>
        <v>-30.304709971246499</v>
      </c>
      <c r="H44" s="21">
        <f t="shared" si="0"/>
        <v>0.9999993670950813</v>
      </c>
      <c r="L44" s="18" t="str">
        <f>+IF($B$3="esp","Resultado operaciones en discontinuación","Results from discontinued activities")</f>
        <v>Results from discontinued activities</v>
      </c>
      <c r="N44" s="19">
        <f>+[1]EDUCACIÓN!F44</f>
        <v>0</v>
      </c>
      <c r="O44" s="20">
        <f>+[1]EDUCACIÓN!G44</f>
        <v>-5.3024434600000001</v>
      </c>
      <c r="P44" s="21">
        <f t="shared" si="1"/>
        <v>1</v>
      </c>
      <c r="AJ44" s="43" t="str">
        <f>+IF($B$3="esp","PBS y Prisa Tecnología","PBS&amp;Prisa IT")</f>
        <v>PBS&amp;Prisa IT</v>
      </c>
      <c r="AK44" s="44"/>
      <c r="AL44" s="45">
        <f>+AL41-AL42</f>
        <v>-0.615330754439678</v>
      </c>
      <c r="AM44" s="46">
        <f>+AM41-AM42</f>
        <v>-0.91072245441271615</v>
      </c>
      <c r="AN44" s="47">
        <f>IF(AM44=0,"---",IF(OR(ABS((AL44-AM44)/ABS(AM44))&gt;9,(AL44*AM44)&lt;0),"---",IF(AM44="0","---",((AL44-AM44)/ABS(AM44)))))</f>
        <v>0.32434876129580326</v>
      </c>
    </row>
    <row r="45" spans="4:40" s="17" customFormat="1" ht="17.25" customHeight="1">
      <c r="D45" s="18" t="str">
        <f>+IF($B$3="esp","Resultado atribuido a socios externos","Minority interest")</f>
        <v>Minority interest</v>
      </c>
      <c r="F45" s="19">
        <f>+[1]GRUPO!F45</f>
        <v>-1.948006584721351</v>
      </c>
      <c r="G45" s="20">
        <f>+[1]GRUPO!G45</f>
        <v>-1.2481050697074199</v>
      </c>
      <c r="H45" s="21">
        <f t="shared" si="0"/>
        <v>-0.56077131004523662</v>
      </c>
      <c r="L45" s="18" t="str">
        <f>+IF($B$3="esp","Resultado atribuido a socios externos","Minority interest")</f>
        <v>Minority interest</v>
      </c>
      <c r="N45" s="19">
        <f>+[1]EDUCACIÓN!F45</f>
        <v>8.8860721739601342E-2</v>
      </c>
      <c r="O45" s="20">
        <f>+[1]EDUCACIÓN!G45</f>
        <v>0.27884530230982002</v>
      </c>
      <c r="P45" s="21">
        <f t="shared" si="1"/>
        <v>-0.68132609370313224</v>
      </c>
      <c r="T45" s="31"/>
      <c r="V45" s="33"/>
      <c r="W45" s="33"/>
      <c r="X45" s="52"/>
    </row>
    <row r="46" spans="4:40" s="17" customFormat="1" ht="17.25" customHeight="1">
      <c r="D46" s="18" t="str">
        <f>+IF($B$3="esp","Resultado Neto","Net Profit")</f>
        <v>Net Profit</v>
      </c>
      <c r="F46" s="19">
        <f>+[1]GRUPO!F46</f>
        <v>-13.776222495795086</v>
      </c>
      <c r="G46" s="20">
        <f>+[1]GRUPO!G46</f>
        <v>-26.136098706541286</v>
      </c>
      <c r="H46" s="21">
        <f t="shared" si="0"/>
        <v>0.47290440511126464</v>
      </c>
      <c r="L46" s="18" t="str">
        <f>+IF($B$3="esp","Resultado Neto","Net Profit")</f>
        <v>Net Profit</v>
      </c>
      <c r="N46" s="19">
        <f>+[1]EDUCACIÓN!F46</f>
        <v>8.8189942142331823</v>
      </c>
      <c r="O46" s="20">
        <f>+[1]EDUCACIÓN!G46</f>
        <v>29.137152931568139</v>
      </c>
      <c r="P46" s="21">
        <f t="shared" si="1"/>
        <v>-0.69732821065443229</v>
      </c>
      <c r="T46" s="31"/>
      <c r="V46" s="33"/>
      <c r="W46" s="33"/>
      <c r="X46" s="52"/>
    </row>
    <row r="47" spans="4:40" ht="17.25" customHeight="1"/>
    <row r="48" spans="4:40">
      <c r="D48" s="53" t="str">
        <f>+IF($B$3="esp","Venta Santillana España","Santillana Spain disposal")</f>
        <v>Santillana Spain disposal</v>
      </c>
      <c r="E48" s="54"/>
      <c r="F48" s="55"/>
      <c r="G48" s="56"/>
      <c r="H48" s="57" t="str">
        <f t="shared" si="0"/>
        <v>---</v>
      </c>
    </row>
    <row r="49" spans="4:40">
      <c r="D49" s="53" t="str">
        <f>+IF($B$3="esp","Deterioro por venta MC","MC impairment")</f>
        <v>MC impairment</v>
      </c>
      <c r="E49" s="54"/>
      <c r="F49" s="55"/>
      <c r="G49" s="28">
        <f>+[1]GRUPO!G49</f>
        <v>28.768000000000001</v>
      </c>
      <c r="H49" s="57">
        <f t="shared" si="0"/>
        <v>-1</v>
      </c>
    </row>
    <row r="50" spans="4:40">
      <c r="D50" s="53" t="str">
        <f>+IF($B$3="esp","Deterioros fiscales","Tax impairments")</f>
        <v>Tax impairments</v>
      </c>
      <c r="E50" s="54"/>
      <c r="F50" s="55"/>
      <c r="G50" s="56"/>
      <c r="H50" s="57" t="str">
        <f t="shared" si="0"/>
        <v>---</v>
      </c>
    </row>
    <row r="51" spans="4:40">
      <c r="D51" s="53" t="str">
        <f>+IF($B$3="esp","Deterioros Activos Radio","Radio Assests impairments")</f>
        <v>Radio Assests impairments</v>
      </c>
      <c r="E51" s="54"/>
      <c r="F51" s="55"/>
      <c r="G51" s="56"/>
      <c r="H51" s="57" t="str">
        <f t="shared" si="0"/>
        <v>---</v>
      </c>
    </row>
    <row r="52" spans="4:40">
      <c r="D52" s="53" t="str">
        <f>+IF($B$3="esp","Sentencia Mediapro","Mediapro rulling")</f>
        <v>Mediapro rulling</v>
      </c>
      <c r="E52" s="54"/>
      <c r="F52" s="55"/>
      <c r="G52" s="56"/>
      <c r="H52" s="57"/>
    </row>
    <row r="53" spans="4:40" s="17" customFormat="1" ht="17.25" customHeight="1">
      <c r="D53" s="58" t="str">
        <f>+IF($B$3="esp","Resultado Neto Comparable","Comparable Net Profit")</f>
        <v>Comparable Net Profit</v>
      </c>
      <c r="E53" s="44"/>
      <c r="F53" s="45">
        <f>+F46+F48+F49+F50+F51</f>
        <v>-13.776222495795086</v>
      </c>
      <c r="G53" s="46">
        <f>+G46+G48+G49+G50+G51</f>
        <v>2.6319012934587143</v>
      </c>
      <c r="H53" s="47" t="str">
        <f t="shared" ref="H53" si="8">IF(G53=0,"---",IF(OR(ABS((F53-G53)/ABS(G53))&gt;9,(F53*G53)&lt;0),"---",IF(G53="0","---",((F53-G53)/ABS(G53)))))</f>
        <v>---</v>
      </c>
    </row>
    <row r="58" spans="4:40"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</row>
    <row r="59" spans="4:40" s="60" customFormat="1">
      <c r="F59" s="61"/>
      <c r="G59" s="61"/>
    </row>
    <row r="62" spans="4:40">
      <c r="D62" s="10"/>
      <c r="E62" s="10"/>
      <c r="F62" s="11" t="str">
        <f>+$F$6</f>
        <v>JANUARY - MARCH</v>
      </c>
      <c r="G62" s="12"/>
      <c r="H62" s="12"/>
      <c r="L62" s="10"/>
      <c r="M62" s="10"/>
      <c r="N62" s="11" t="str">
        <f>+$F$6</f>
        <v>JANUARY - MARCH</v>
      </c>
      <c r="O62" s="12"/>
      <c r="P62" s="12"/>
      <c r="T62" s="10"/>
      <c r="U62" s="10"/>
      <c r="V62" s="11" t="str">
        <f>+$F$6</f>
        <v>JANUARY - MARCH</v>
      </c>
      <c r="W62" s="12"/>
      <c r="X62" s="12"/>
      <c r="AB62" s="10"/>
      <c r="AC62" s="10"/>
      <c r="AD62" s="11" t="str">
        <f>+$F$6</f>
        <v>JANUARY - MARCH</v>
      </c>
      <c r="AE62" s="12"/>
      <c r="AF62" s="12"/>
    </row>
    <row r="63" spans="4:40">
      <c r="D63" s="10"/>
      <c r="E63" s="10"/>
      <c r="F63" s="10"/>
      <c r="G63" s="10"/>
      <c r="H63" s="10"/>
      <c r="L63" s="10"/>
      <c r="M63" s="10"/>
      <c r="N63" s="10"/>
      <c r="O63" s="10"/>
      <c r="P63" s="10"/>
      <c r="T63" s="10"/>
      <c r="U63" s="10"/>
      <c r="V63" s="10"/>
      <c r="W63" s="10"/>
      <c r="X63" s="10"/>
      <c r="AB63" s="10"/>
      <c r="AC63" s="10"/>
      <c r="AD63" s="10"/>
      <c r="AE63" s="10"/>
      <c r="AF63" s="10"/>
    </row>
    <row r="64" spans="4:40">
      <c r="D64" s="13" t="str">
        <f>+IF($B$3="esp","Millones de €","€ Millions")</f>
        <v>€ Millions</v>
      </c>
      <c r="E64" s="10"/>
      <c r="F64" s="14">
        <v>2021</v>
      </c>
      <c r="G64" s="14">
        <v>2020</v>
      </c>
      <c r="H64" s="14" t="str">
        <f>+IF($B$3="esp","Var.","Chg.")</f>
        <v>Chg.</v>
      </c>
      <c r="L64" s="13" t="str">
        <f>+IF($B$3="esp","Millones de €","€ Millions")</f>
        <v>€ Millions</v>
      </c>
      <c r="M64" s="10"/>
      <c r="N64" s="14">
        <v>2021</v>
      </c>
      <c r="O64" s="14">
        <v>2020</v>
      </c>
      <c r="P64" s="14" t="str">
        <f>+IF($B$3="esp","Var.","Chg.")</f>
        <v>Chg.</v>
      </c>
      <c r="T64" s="13" t="str">
        <f>+IF($B$3="esp","Millones de €","€ Millions")</f>
        <v>€ Millions</v>
      </c>
      <c r="U64" s="10"/>
      <c r="V64" s="14">
        <v>2021</v>
      </c>
      <c r="W64" s="14">
        <v>2020</v>
      </c>
      <c r="X64" s="14" t="str">
        <f>+IF($B$3="esp","Var.","Chg.")</f>
        <v>Chg.</v>
      </c>
      <c r="AB64" s="13" t="str">
        <f>+IF($B$3="esp","Millones de €","€ Millions")</f>
        <v>€ Millions</v>
      </c>
      <c r="AC64" s="10"/>
      <c r="AD64" s="14">
        <v>2021</v>
      </c>
      <c r="AE64" s="14">
        <v>2020</v>
      </c>
      <c r="AF64" s="14" t="str">
        <f>+IF($B$3="esp","Var.","Chg.")</f>
        <v>Chg.</v>
      </c>
    </row>
    <row r="65" spans="4:32">
      <c r="D65" s="15" t="str">
        <f>+IF($B$3="esp","Resultados a tipo de cambio constante","Results at constant currency")</f>
        <v>Results at constant currency</v>
      </c>
      <c r="F65" s="16"/>
      <c r="G65" s="16"/>
      <c r="H65" s="16"/>
      <c r="L65" s="15" t="str">
        <f>+IF($B$3="esp","Resultados a tipo de cambio constante","Results at constant currency")</f>
        <v>Results at constant currency</v>
      </c>
      <c r="N65" s="16"/>
      <c r="O65" s="16"/>
      <c r="P65" s="16"/>
      <c r="T65" s="15" t="str">
        <f>+IF($B$3="esp","Resultados a tipo de cambio constante","Results at constant currency")</f>
        <v>Results at constant currency</v>
      </c>
      <c r="V65" s="16"/>
      <c r="W65" s="16"/>
      <c r="X65" s="16"/>
      <c r="AB65" s="15" t="str">
        <f>+IF($B$3="esp","Resultados a tipo de cambio constante","Results at constant currency")</f>
        <v>Results at constant currency</v>
      </c>
      <c r="AD65" s="16"/>
      <c r="AE65" s="16"/>
      <c r="AF65" s="16"/>
    </row>
    <row r="66" spans="4:32" ht="15.75" customHeight="1">
      <c r="D66" s="18" t="str">
        <f>+IF($B$3="esp","Ingresos de Explotación","Operating Revenues")</f>
        <v>Operating Revenues</v>
      </c>
      <c r="E66" s="17"/>
      <c r="F66" s="19">
        <f>+[1]GRUPO!F66</f>
        <v>178.59112042110573</v>
      </c>
      <c r="G66" s="20">
        <f>+[1]GRUPO!G66</f>
        <v>261.19907899086581</v>
      </c>
      <c r="H66" s="21">
        <f>IF(G66=0,"---",IF(OR(ABS((F66-G66)/ABS(G66))&gt;9,(F66*G66)&lt;0),"---",IF(G66="0","---",((F66-G66)/ABS(G66)))))</f>
        <v>-0.31626435624854904</v>
      </c>
      <c r="L66" s="18" t="str">
        <f>+IF($B$3="esp","Ingresos de Explotación","Operating Revenues")</f>
        <v>Operating Revenues</v>
      </c>
      <c r="M66" s="17"/>
      <c r="N66" s="19">
        <f>+[1]EDUCACIÓN!F55</f>
        <v>101.50351165607286</v>
      </c>
      <c r="O66" s="20">
        <f>+[1]EDUCACIÓN!G55</f>
        <v>176.5828878332112</v>
      </c>
      <c r="P66" s="21">
        <f>IF(O66=0,"---",IF(OR(ABS((N66-O66)/ABS(O66))&gt;9,(N66*O66)&lt;0),"---",IF(O66="0","---",((N66-O66)/ABS(O66)))))</f>
        <v>-0.42517922941691538</v>
      </c>
      <c r="T66" s="18" t="str">
        <f>+IF($B$3="esp","Ingresos de Explotación","Operating Revenues")</f>
        <v>Operating Revenues</v>
      </c>
      <c r="U66" s="17"/>
      <c r="V66" s="19">
        <f>+[1]MEDIA!F66</f>
        <v>77.539003674392134</v>
      </c>
      <c r="W66" s="20">
        <f>+[1]MEDIA!G66</f>
        <v>84.859654484298744</v>
      </c>
      <c r="X66" s="21">
        <f>IF(W66=0,"---",IF(OR(ABS((V66-W66)/ABS(W66))&gt;9,(V66*W66)&lt;0),"---",IF(W66="0","---",((V66-W66)/ABS(W66)))))</f>
        <v>-8.6267742361137253E-2</v>
      </c>
      <c r="AB66" s="18" t="str">
        <f>+IF($B$3="esp","Ingresos de Explotación","Operating Revenues")</f>
        <v>Operating Revenues</v>
      </c>
      <c r="AC66" s="17"/>
      <c r="AD66" s="19">
        <f>+[1]RADIO!F49</f>
        <v>41.757643405448981</v>
      </c>
      <c r="AE66" s="20">
        <f>+[1]RADIO!G49</f>
        <v>47.354662346819083</v>
      </c>
      <c r="AF66" s="21">
        <f>IF(AE66=0,"---",IF(OR(ABS((AD66-AE66)/ABS(AE66))&gt;9,(AD66*AE66)&lt;0),"---",IF(AE66="0","---",((AD66-AE66)/ABS(AE66)))))</f>
        <v>-0.11819361946619532</v>
      </c>
    </row>
    <row r="67" spans="4:32" ht="15.75" customHeight="1">
      <c r="D67" s="26" t="str">
        <f>+IF($B$3="esp","España","Spain")</f>
        <v>Spain</v>
      </c>
      <c r="F67" s="27">
        <f>+[1]GRUPO!F67</f>
        <v>65.21368741000002</v>
      </c>
      <c r="G67" s="28">
        <f>+[1]GRUPO!G67</f>
        <v>70.972200090000257</v>
      </c>
      <c r="H67" s="29">
        <f t="shared" ref="H67:H93" si="9">IF(G67=0,"---",IF(OR(ABS((F67-G67)/ABS(G67))&gt;9,(F67*G67)&lt;0),"---",IF(G67="0","---",((F67-G67)/ABS(G67)))))</f>
        <v>-8.1137581654476459E-2</v>
      </c>
      <c r="L67" s="26" t="str">
        <f>+IF($B$3="esp","Negocio Internacional","International business")</f>
        <v>International business</v>
      </c>
      <c r="N67" s="27">
        <f>+[1]EDUCACIÓN!F56</f>
        <v>100.17083293607286</v>
      </c>
      <c r="O67" s="28">
        <f>+[1]EDUCACIÓN!G56</f>
        <v>176.3009401532112</v>
      </c>
      <c r="P67" s="29">
        <f t="shared" ref="P67" si="10">IF(O67=0,"---",IF(OR(ABS((N67-O67)/ABS(O67))&gt;9,(N67*O67)&lt;0),"---",IF(O67="0","---",((N67-O67)/ABS(O67)))))</f>
        <v>-0.43181906546260518</v>
      </c>
      <c r="T67" s="26" t="s">
        <v>8</v>
      </c>
      <c r="V67" s="27">
        <f>+[1]MEDIA!F67</f>
        <v>41.757643405448981</v>
      </c>
      <c r="W67" s="28">
        <f>+[1]MEDIA!G67</f>
        <v>47.354662346819083</v>
      </c>
      <c r="X67" s="29">
        <f t="shared" ref="X67:X83" si="11">IF(W67=0,"---",IF(OR(ABS((V67-W67)/ABS(W67))&gt;9,(V67*W67)&lt;0),"---",IF(W67="0","---",((V67-W67)/ABS(W67)))))</f>
        <v>-0.11819361946619532</v>
      </c>
      <c r="AB67" s="26" t="str">
        <f>+IF($B$3="esp","España","Spain")</f>
        <v>Spain</v>
      </c>
      <c r="AD67" s="27">
        <f>+[1]RADIO!F50</f>
        <v>30.71397717</v>
      </c>
      <c r="AE67" s="28">
        <f>+[1]RADIO!G50</f>
        <v>34.51399351000002</v>
      </c>
      <c r="AF67" s="29">
        <f t="shared" ref="AF67" si="12">IF(AE67=0,"---",IF(OR(ABS((AD67-AE67)/ABS(AE67))&gt;9,(AD67*AE67)&lt;0),"---",IF(AE67="0","---",((AD67-AE67)/ABS(AE67)))))</f>
        <v>-0.11010074330862381</v>
      </c>
    </row>
    <row r="68" spans="4:32" ht="15.75" customHeight="1">
      <c r="D68" s="26" t="str">
        <f>+IF($B$3="esp","Internacional","International")</f>
        <v>International</v>
      </c>
      <c r="F68" s="27">
        <f>+[1]GRUPO!F68</f>
        <v>113.37743301110572</v>
      </c>
      <c r="G68" s="28">
        <f>+[1]GRUPO!G68</f>
        <v>190.22687890086556</v>
      </c>
      <c r="H68" s="29">
        <f t="shared" si="9"/>
        <v>-0.40398836554432982</v>
      </c>
      <c r="L68" s="31" t="str">
        <f>+IF($B$3="esp","Brasil","Brazil")</f>
        <v>Brazil</v>
      </c>
      <c r="M68" s="10"/>
      <c r="N68" s="32">
        <f>+[1]EDUCACIÓN!F57</f>
        <v>31.823898888755956</v>
      </c>
      <c r="O68" s="33">
        <f>+[1]EDUCACIÓN!G57</f>
        <v>68.393471026145093</v>
      </c>
      <c r="P68" s="34">
        <f>IF(O68=0,"---",IF(OR(ABS((N68-O68)/ABS(O68))&gt;9,(N68*O68)&lt;0),"---",IF(O68="0","---",((N68-O68)/ABS(O68)))))</f>
        <v>-0.53469390555436958</v>
      </c>
      <c r="T68" s="26" t="s">
        <v>9</v>
      </c>
      <c r="V68" s="27">
        <f>+[1]MEDIA!F70</f>
        <v>40.01682354716818</v>
      </c>
      <c r="W68" s="28">
        <f>+[1]MEDIA!G70</f>
        <v>41.695034774625768</v>
      </c>
      <c r="X68" s="29">
        <f t="shared" si="11"/>
        <v>-4.0249666094028358E-2</v>
      </c>
      <c r="AB68" s="31" t="str">
        <f>+IF($B$3="esp","España sin SSCC","Spain ex HQ")</f>
        <v>Spain ex HQ</v>
      </c>
      <c r="AC68" s="10"/>
      <c r="AD68" s="32">
        <f>+[1]RADIO!F51</f>
        <v>29.660418920000001</v>
      </c>
      <c r="AE68" s="33">
        <f>+[1]RADIO!G51</f>
        <v>33.414268440000022</v>
      </c>
      <c r="AF68" s="34">
        <f>IF(AE68=0,"---",IF(OR(ABS((AD68-AE68)/ABS(AE68))&gt;9,(AD68*AE68)&lt;0),"---",IF(AE68="0","---",((AD68-AE68)/ABS(AE68)))))</f>
        <v>-0.11234271151979822</v>
      </c>
    </row>
    <row r="69" spans="4:32" ht="15.75" customHeight="1">
      <c r="D69" s="31" t="str">
        <f>+IF($B$3="esp","Latam","Latam")</f>
        <v>Latam</v>
      </c>
      <c r="E69" s="10"/>
      <c r="F69" s="32">
        <f>+[1]GRUPO!F69</f>
        <v>113.36830301110571</v>
      </c>
      <c r="G69" s="33">
        <f>+[1]GRUPO!G69</f>
        <v>190.21611390086554</v>
      </c>
      <c r="H69" s="34">
        <f t="shared" si="9"/>
        <v>-0.40400263318285651</v>
      </c>
      <c r="L69" s="31" t="str">
        <f>+IF($B$3="esp","Otros","Other")</f>
        <v>Other</v>
      </c>
      <c r="M69" s="10"/>
      <c r="N69" s="32">
        <f>+[1]EDUCACIÓN!F58</f>
        <v>68.346934047316893</v>
      </c>
      <c r="O69" s="33">
        <f>+[1]EDUCACIÓN!G58</f>
        <v>107.90746912706611</v>
      </c>
      <c r="P69" s="34">
        <f>IF(O69=0,"---",IF(OR(ABS((N69-O69)/ABS(O69))&gt;9,(N69*O69)&lt;0),"---",IF(O69="0","---",((N69-O69)/ABS(O69)))))</f>
        <v>-0.36661535480148116</v>
      </c>
      <c r="T69" s="18" t="str">
        <f>+IF($B$3="esp","Gastos de Explotación","Expenses")</f>
        <v>Expenses</v>
      </c>
      <c r="U69" s="17"/>
      <c r="V69" s="19">
        <f t="shared" ref="V69:W71" si="13">+V66-V72</f>
        <v>85.335929404216969</v>
      </c>
      <c r="W69" s="20">
        <f t="shared" si="13"/>
        <v>90.154324507070982</v>
      </c>
      <c r="X69" s="21">
        <f t="shared" si="11"/>
        <v>-5.3446078479309066E-2</v>
      </c>
      <c r="AB69" s="31" t="str">
        <f>+IF($B$3="esp","Servicios Centrales","HQ")</f>
        <v>HQ</v>
      </c>
      <c r="AC69" s="10"/>
      <c r="AD69" s="32">
        <f>+[1]RADIO!F52</f>
        <v>1.05355825</v>
      </c>
      <c r="AE69" s="33">
        <f>+[1]RADIO!G52</f>
        <v>1.0997250699999999</v>
      </c>
      <c r="AF69" s="34">
        <f>IF(AE69=0,"---",IF(OR(ABS((AD69-AE69)/ABS(AE69))&gt;9,(AD69*AE69)&lt;0),"---",IF(AE69="0","---",((AD69-AE69)/ABS(AE69)))))</f>
        <v>-4.1980328774354335E-2</v>
      </c>
    </row>
    <row r="70" spans="4:32" ht="15.75" customHeight="1">
      <c r="D70" s="31" t="str">
        <f>+IF($B$3="esp","Portugal","Portugal")</f>
        <v>Portugal</v>
      </c>
      <c r="E70" s="10"/>
      <c r="F70" s="32">
        <f>+[1]GRUPO!F70</f>
        <v>9.1299999999999992E-3</v>
      </c>
      <c r="G70" s="33">
        <f>+[1]GRUPO!G70</f>
        <v>1.0765000000000328E-2</v>
      </c>
      <c r="H70" s="34">
        <f t="shared" si="9"/>
        <v>-0.15188109614494</v>
      </c>
      <c r="L70" s="26" t="str">
        <f>+IF($B$3="esp","Tecnología Educativa global y Centro Corpor.","Global Educational IT &amp; HQ")</f>
        <v>Global Educational IT &amp; HQ</v>
      </c>
      <c r="N70" s="27">
        <f>+[1]EDUCACIÓN!F59</f>
        <v>1.3326787200000001</v>
      </c>
      <c r="O70" s="28">
        <f>+[1]EDUCACIÓN!G59</f>
        <v>0.28194768000000009</v>
      </c>
      <c r="P70" s="29">
        <f t="shared" ref="P70:P72" si="14">IF(O70=0,"---",IF(OR(ABS((N70-O70)/ABS(O70))&gt;9,(N70*O70)&lt;0),"---",IF(O70="0","---",((N70-O70)/ABS(O70)))))</f>
        <v>3.7266880153083712</v>
      </c>
      <c r="T70" s="26" t="s">
        <v>8</v>
      </c>
      <c r="V70" s="27">
        <f t="shared" si="13"/>
        <v>46.623229788773543</v>
      </c>
      <c r="W70" s="28">
        <f t="shared" si="13"/>
        <v>46.682298615856027</v>
      </c>
      <c r="X70" s="29">
        <f t="shared" si="11"/>
        <v>-1.2653367300645508E-3</v>
      </c>
      <c r="AB70" s="26" t="str">
        <f>+IF($B$3="esp","Latam","Latam")</f>
        <v>Latam</v>
      </c>
      <c r="AD70" s="27">
        <f>+[1]RADIO!F53</f>
        <v>11.695831273018909</v>
      </c>
      <c r="AE70" s="28">
        <f>+[1]RADIO!G53</f>
        <v>13.846692374959458</v>
      </c>
      <c r="AF70" s="29">
        <f t="shared" ref="AF70:AF73" si="15">IF(AE70=0,"---",IF(OR(ABS((AD70-AE70)/ABS(AE70))&gt;9,(AD70*AE70)&lt;0),"---",IF(AE70="0","---",((AD70-AE70)/ABS(AE70)))))</f>
        <v>-0.15533392695501744</v>
      </c>
    </row>
    <row r="71" spans="4:32" ht="15.75" customHeight="1">
      <c r="D71" s="18" t="str">
        <f>+IF($B$3="esp","Gastos de Explotación","Expenses")</f>
        <v>Expenses</v>
      </c>
      <c r="E71" s="17"/>
      <c r="F71" s="19">
        <f>+[1]GRUPO!F71</f>
        <v>159.82920402821327</v>
      </c>
      <c r="G71" s="20">
        <f>+[1]GRUPO!G71</f>
        <v>197.1307994085567</v>
      </c>
      <c r="H71" s="21">
        <f t="shared" si="9"/>
        <v>-0.1892225643697375</v>
      </c>
      <c r="L71" s="18" t="str">
        <f>+IF($B$3="esp","Gastos de Explotación","Expenses")</f>
        <v>Expenses</v>
      </c>
      <c r="M71" s="17"/>
      <c r="N71" s="19">
        <f>+[1]EDUCACIÓN!F60</f>
        <v>71.486927703355377</v>
      </c>
      <c r="O71" s="20">
        <f>+[1]EDUCACIÓN!G60</f>
        <v>106.1767143281298</v>
      </c>
      <c r="P71" s="21">
        <f t="shared" si="14"/>
        <v>-0.32671746196222168</v>
      </c>
      <c r="T71" s="26" t="s">
        <v>9</v>
      </c>
      <c r="V71" s="27">
        <f t="shared" si="13"/>
        <v>42.948162893668432</v>
      </c>
      <c r="W71" s="28">
        <f t="shared" si="13"/>
        <v>47.66206852836109</v>
      </c>
      <c r="X71" s="29">
        <f t="shared" si="11"/>
        <v>-9.8902665793610497E-2</v>
      </c>
      <c r="AB71" s="26" t="str">
        <f>+IF($B$3="esp","Otros","Other")</f>
        <v>Other</v>
      </c>
      <c r="AD71" s="27">
        <f>+[1]RADIO!F54</f>
        <v>-0.65216503756992772</v>
      </c>
      <c r="AE71" s="28">
        <f>+[1]RADIO!G54</f>
        <v>-1.0060235381403952</v>
      </c>
      <c r="AF71" s="29">
        <f t="shared" si="15"/>
        <v>0.3517397825746349</v>
      </c>
    </row>
    <row r="72" spans="4:32" ht="15.75" customHeight="1">
      <c r="D72" s="26" t="str">
        <f>+IF($B$3="esp","España","Spain")</f>
        <v>Spain</v>
      </c>
      <c r="F72" s="27">
        <f>+[1]GRUPO!F72</f>
        <v>82.257625590000231</v>
      </c>
      <c r="G72" s="28">
        <f>+[1]GRUPO!G72</f>
        <v>81.7046375299999</v>
      </c>
      <c r="H72" s="29">
        <f t="shared" si="9"/>
        <v>6.768135527157655E-3</v>
      </c>
      <c r="L72" s="26" t="str">
        <f>+IF($B$3="esp","Negocio Internacional","International business")</f>
        <v>International business</v>
      </c>
      <c r="N72" s="27">
        <f>+[1]EDUCACIÓN!F61</f>
        <v>64.432167723355377</v>
      </c>
      <c r="O72" s="28">
        <f>+[1]EDUCACIÓN!G61</f>
        <v>99.976439138129805</v>
      </c>
      <c r="P72" s="29">
        <f t="shared" si="14"/>
        <v>-0.35552647925043246</v>
      </c>
      <c r="T72" s="18" t="str">
        <f>+IF($B$3="esp","EBITDA","EBITDA")</f>
        <v>EBITDA</v>
      </c>
      <c r="U72" s="17"/>
      <c r="V72" s="19">
        <f>+[1]MEDIA!F80</f>
        <v>-7.7969257298248307</v>
      </c>
      <c r="W72" s="20">
        <f>+[1]MEDIA!G80</f>
        <v>-5.2946700227722374</v>
      </c>
      <c r="X72" s="21">
        <f t="shared" si="11"/>
        <v>-0.47259899036020314</v>
      </c>
      <c r="AB72" s="18" t="str">
        <f>+IF($B$3="esp","Gastos de Explotación","Expenses")</f>
        <v>Expenses</v>
      </c>
      <c r="AC72" s="17"/>
      <c r="AD72" s="19">
        <f>+AD66-AD78</f>
        <v>46.623229788773543</v>
      </c>
      <c r="AE72" s="20">
        <f>+AE66-AE78</f>
        <v>46.682298615856027</v>
      </c>
      <c r="AF72" s="21">
        <f t="shared" si="15"/>
        <v>-1.2653367300645508E-3</v>
      </c>
    </row>
    <row r="73" spans="4:32" ht="15.75" customHeight="1">
      <c r="D73" s="26" t="str">
        <f>+IF($B$3="esp","Internacional","International")</f>
        <v>International</v>
      </c>
      <c r="F73" s="27">
        <f>+[1]GRUPO!F73</f>
        <v>77.571578438213066</v>
      </c>
      <c r="G73" s="28">
        <f>+[1]GRUPO!G73</f>
        <v>115.42616187855681</v>
      </c>
      <c r="H73" s="29">
        <f t="shared" si="9"/>
        <v>-0.32795496986351885</v>
      </c>
      <c r="L73" s="31" t="str">
        <f>+IF($B$3="esp","Brasil","Brazil")</f>
        <v>Brazil</v>
      </c>
      <c r="N73" s="32">
        <f>+[1]EDUCACIÓN!F62</f>
        <v>25.865857293192832</v>
      </c>
      <c r="O73" s="33">
        <f>+[1]EDUCACIÓN!G62</f>
        <v>36.436842668354615</v>
      </c>
      <c r="P73" s="34">
        <f>IF(O73=0,"---",IF(OR(ABS((N73-O73)/ABS(O73))&gt;9,(N73*O73)&lt;0),"---",IF(O73="0","---",((N73-O73)/ABS(O73)))))</f>
        <v>-0.29011803990203244</v>
      </c>
      <c r="T73" s="26" t="s">
        <v>8</v>
      </c>
      <c r="V73" s="27">
        <f>+[1]MEDIA!F81</f>
        <v>-4.8655863833245627</v>
      </c>
      <c r="W73" s="28">
        <f>+[1]MEDIA!G81</f>
        <v>0.67236373096305901</v>
      </c>
      <c r="X73" s="29" t="str">
        <f t="shared" si="11"/>
        <v>---</v>
      </c>
      <c r="AB73" s="26" t="str">
        <f>+IF($B$3="esp","España","Spain")</f>
        <v>Spain</v>
      </c>
      <c r="AD73" s="27">
        <f>+AD67-AD79</f>
        <v>34.230712769999968</v>
      </c>
      <c r="AE73" s="28">
        <f>+AE67-AE79</f>
        <v>33.137756689999996</v>
      </c>
      <c r="AF73" s="29">
        <f t="shared" si="15"/>
        <v>3.2982198832119322E-2</v>
      </c>
    </row>
    <row r="74" spans="4:32" ht="15.75" customHeight="1">
      <c r="D74" s="31" t="str">
        <f>+IF($B$3="esp","Latam","Latam")</f>
        <v>Latam</v>
      </c>
      <c r="F74" s="32">
        <f>+[1]GRUPO!F74</f>
        <v>77.339507778213061</v>
      </c>
      <c r="G74" s="33">
        <f>+[1]GRUPO!G74</f>
        <v>115.20491319855678</v>
      </c>
      <c r="H74" s="34">
        <f t="shared" si="9"/>
        <v>-0.32867873746914184</v>
      </c>
      <c r="L74" s="31" t="str">
        <f>+IF($B$3="esp","Otros","Other")</f>
        <v>Other</v>
      </c>
      <c r="N74" s="32">
        <f>+[1]EDUCACIÓN!F63</f>
        <v>38.566310430162545</v>
      </c>
      <c r="O74" s="33">
        <f>+[1]EDUCACIÓN!G63</f>
        <v>63.539596469775191</v>
      </c>
      <c r="P74" s="34">
        <f>IF(O74=0,"---",IF(OR(ABS((N74-O74)/ABS(O74))&gt;9,(N74*O74)&lt;0),"---",IF(O74="0","---",((N74-O74)/ABS(O74)))))</f>
        <v>-0.39303501166382215</v>
      </c>
      <c r="T74" s="26" t="s">
        <v>9</v>
      </c>
      <c r="V74" s="27">
        <f>+[1]MEDIA!F84</f>
        <v>-2.9313393465002533</v>
      </c>
      <c r="W74" s="28">
        <f>+[1]MEDIA!G84</f>
        <v>-5.967033753735322</v>
      </c>
      <c r="X74" s="29">
        <f t="shared" si="11"/>
        <v>0.50874429951644651</v>
      </c>
      <c r="AB74" s="31" t="str">
        <f>+IF($B$3="esp","España sin SSCC","Spain ex HQ")</f>
        <v>Spain ex HQ</v>
      </c>
      <c r="AC74" s="10"/>
      <c r="AD74" s="32">
        <f t="shared" ref="AD74:AE75" si="16">+AD68-AD80</f>
        <v>30.329739789999969</v>
      </c>
      <c r="AE74" s="33">
        <f t="shared" si="16"/>
        <v>31.105317459999998</v>
      </c>
      <c r="AF74" s="34">
        <f>IF(AE74=0,"---",IF(OR(ABS((AD74-AE74)/ABS(AE74))&gt;9,(AD74*AE74)&lt;0),"---",IF(AE74="0","---",((AD74-AE74)/ABS(AE74)))))</f>
        <v>-2.4933925557820976E-2</v>
      </c>
    </row>
    <row r="75" spans="4:32" ht="15.75" customHeight="1">
      <c r="D75" s="31" t="str">
        <f>+IF($B$3="esp","Portugal","Portugal")</f>
        <v>Portugal</v>
      </c>
      <c r="F75" s="32">
        <f>+[1]GRUPO!F75</f>
        <v>0.23207066000000004</v>
      </c>
      <c r="G75" s="33">
        <f>+[1]GRUPO!G75</f>
        <v>0.22124868000000111</v>
      </c>
      <c r="H75" s="34">
        <f t="shared" si="9"/>
        <v>4.8913195775897381E-2</v>
      </c>
      <c r="L75" s="26" t="str">
        <f>+IF($B$3="esp","Tecnología Educativa global y Centro Corpor.","Global Educational IT &amp; HQ")</f>
        <v>Global Educational IT &amp; HQ</v>
      </c>
      <c r="N75" s="27">
        <f>+[1]EDUCACIÓN!F64</f>
        <v>7.0547599799999983</v>
      </c>
      <c r="O75" s="28">
        <f>+[1]EDUCACIÓN!G64</f>
        <v>6.2002751900000002</v>
      </c>
      <c r="P75" s="29">
        <f t="shared" ref="P75:P77" si="17">IF(O75=0,"---",IF(OR(ABS((N75-O75)/ABS(O75))&gt;9,(N75*O75)&lt;0),"---",IF(O75="0","---",((N75-O75)/ABS(O75)))))</f>
        <v>0.13781401047781527</v>
      </c>
      <c r="T75" s="39" t="str">
        <f>+IF($B$3="esp","Margen EBITDA ","EBITDA Margin")</f>
        <v>EBITDA Margin</v>
      </c>
      <c r="U75" s="38"/>
      <c r="V75" s="40">
        <f>+V72/V66</f>
        <v>-0.10055488670664757</v>
      </c>
      <c r="W75" s="41">
        <f>+W72/W66</f>
        <v>-6.2393254544206161E-2</v>
      </c>
      <c r="X75" s="42">
        <f t="shared" si="11"/>
        <v>-0.61163073542515023</v>
      </c>
      <c r="AB75" s="31" t="str">
        <f>+IF($B$3="esp","Servicios Centrales","HQ")</f>
        <v>HQ</v>
      </c>
      <c r="AC75" s="10"/>
      <c r="AD75" s="32">
        <f t="shared" si="16"/>
        <v>3.9009729799999993</v>
      </c>
      <c r="AE75" s="33">
        <f t="shared" si="16"/>
        <v>2.03243923</v>
      </c>
      <c r="AF75" s="34">
        <f>IF(AE75=0,"---",IF(OR(ABS((AD75-AE75)/ABS(AE75))&gt;9,(AD75*AE75)&lt;0),"---",IF(AE75="0","---",((AD75-AE75)/ABS(AE75)))))</f>
        <v>0.91935528620946727</v>
      </c>
    </row>
    <row r="76" spans="4:32" ht="15.75" customHeight="1">
      <c r="D76" s="18" t="str">
        <f>+IF($B$3="esp","EBITDA","EBITDA")</f>
        <v>EBITDA</v>
      </c>
      <c r="E76" s="17"/>
      <c r="F76" s="19">
        <f>+[1]GRUPO!F76</f>
        <v>18.761916392892445</v>
      </c>
      <c r="G76" s="20">
        <f>+[1]GRUPO!G76</f>
        <v>64.068279582309103</v>
      </c>
      <c r="H76" s="21">
        <f t="shared" si="9"/>
        <v>-0.70715748081250041</v>
      </c>
      <c r="L76" s="18" t="str">
        <f>+IF($B$3="esp","EBITDA Contable","Reported EBITDA")</f>
        <v>Reported EBITDA</v>
      </c>
      <c r="M76" s="17"/>
      <c r="N76" s="19">
        <f>+[1]EDUCACIÓN!F65</f>
        <v>30.016583952717475</v>
      </c>
      <c r="O76" s="20">
        <f>+[1]EDUCACIÓN!G65</f>
        <v>70.406173505081398</v>
      </c>
      <c r="P76" s="21">
        <f t="shared" si="17"/>
        <v>-0.5736654549114063</v>
      </c>
      <c r="T76" s="18" t="str">
        <f>+IF($B$3="esp","EBITDA sin indemnizaciones","EBITDA ex severance expenses")</f>
        <v>EBITDA ex severance expenses</v>
      </c>
      <c r="U76" s="17"/>
      <c r="V76" s="19">
        <f>+[1]MEDIA!F88</f>
        <v>-5.0732878681571911</v>
      </c>
      <c r="W76" s="20">
        <f>+[1]MEDIA!G88</f>
        <v>-4.2626351804906513</v>
      </c>
      <c r="X76" s="21">
        <f t="shared" si="11"/>
        <v>-0.19017641748389774</v>
      </c>
      <c r="AB76" s="26" t="str">
        <f>+IF($B$3="esp","Latam","Latam")</f>
        <v>Latam</v>
      </c>
      <c r="AD76" s="27">
        <f>+AD70-AD82</f>
        <v>13.094378092141524</v>
      </c>
      <c r="AE76" s="28">
        <f>+AE70-AE82</f>
        <v>14.895898933996431</v>
      </c>
      <c r="AF76" s="29">
        <f t="shared" ref="AF76:AF79" si="18">IF(AE76=0,"---",IF(OR(ABS((AD76-AE76)/ABS(AE76))&gt;9,(AD76*AE76)&lt;0),"---",IF(AE76="0","---",((AD76-AE76)/ABS(AE76)))))</f>
        <v>-0.12094072669514121</v>
      </c>
    </row>
    <row r="77" spans="4:32" ht="15.75" customHeight="1">
      <c r="D77" s="26" t="str">
        <f>+IF($B$3="esp","España","Spain")</f>
        <v>Spain</v>
      </c>
      <c r="F77" s="27">
        <f>+[1]GRUPO!F77</f>
        <v>-17.043938180000207</v>
      </c>
      <c r="G77" s="28">
        <f>+[1]GRUPO!G77</f>
        <v>-10.732437439999645</v>
      </c>
      <c r="H77" s="29">
        <f t="shared" si="9"/>
        <v>-0.58807710506447375</v>
      </c>
      <c r="L77" s="26" t="str">
        <f>+IF($B$3="esp","Negocio Internacional","International business")</f>
        <v>International business</v>
      </c>
      <c r="N77" s="27">
        <f>+[1]EDUCACIÓN!F66</f>
        <v>35.738665212717471</v>
      </c>
      <c r="O77" s="28">
        <f>+[1]EDUCACIÓN!G66</f>
        <v>76.324501015081395</v>
      </c>
      <c r="P77" s="29">
        <f t="shared" si="17"/>
        <v>-0.53175369982889686</v>
      </c>
      <c r="T77" s="26" t="s">
        <v>8</v>
      </c>
      <c r="V77" s="27">
        <f>+[1]MEDIA!F89</f>
        <v>-3.6923697906013029</v>
      </c>
      <c r="W77" s="28">
        <f>+[1]MEDIA!G89</f>
        <v>0.89070439190165562</v>
      </c>
      <c r="X77" s="29" t="str">
        <f t="shared" si="11"/>
        <v>---</v>
      </c>
      <c r="AB77" s="26" t="str">
        <f>+IF($B$3="esp","Otros","Other")</f>
        <v>Other</v>
      </c>
      <c r="AD77" s="27">
        <f>+AD71-AD83</f>
        <v>-0.70186107336794468</v>
      </c>
      <c r="AE77" s="28">
        <f>+AE71-AE83</f>
        <v>-1.3513570081404052</v>
      </c>
      <c r="AF77" s="29">
        <f t="shared" si="18"/>
        <v>0.48062497982396835</v>
      </c>
    </row>
    <row r="78" spans="4:32" ht="15.75" customHeight="1">
      <c r="D78" s="26" t="str">
        <f>+IF($B$3="esp","Internacional","International")</f>
        <v>International</v>
      </c>
      <c r="F78" s="27">
        <f>+[1]GRUPO!F78</f>
        <v>35.805854572892656</v>
      </c>
      <c r="G78" s="28">
        <f>+[1]GRUPO!G78</f>
        <v>74.800717022308746</v>
      </c>
      <c r="H78" s="29">
        <f t="shared" si="9"/>
        <v>-0.52131669323151231</v>
      </c>
      <c r="L78" s="31" t="str">
        <f>+IF($B$3="esp","Brasil","Brazil")</f>
        <v>Brazil</v>
      </c>
      <c r="N78" s="32">
        <f>+[1]EDUCACIÓN!F67</f>
        <v>5.9580415955631247</v>
      </c>
      <c r="O78" s="33">
        <f>+[1]EDUCACIÓN!G67</f>
        <v>31.956628357790478</v>
      </c>
      <c r="P78" s="34">
        <f>IF(O78=0,"---",IF(OR(ABS((N78-O78)/ABS(O78))&gt;9,(N78*O78)&lt;0),"---",IF(O78="0","---",((N78-O78)/ABS(O78)))))</f>
        <v>-0.81355850408071428</v>
      </c>
      <c r="T78" s="26" t="s">
        <v>9</v>
      </c>
      <c r="V78" s="27">
        <f>+[1]MEDIA!F92</f>
        <v>-1.1312743075558749</v>
      </c>
      <c r="W78" s="28">
        <f>+[1]MEDIA!G92</f>
        <v>-5.1533395723923316</v>
      </c>
      <c r="X78" s="29">
        <f t="shared" si="11"/>
        <v>0.78047743765685818</v>
      </c>
      <c r="AB78" s="18" t="str">
        <f>+IF($B$3="esp","EBITDA","EBITDA")</f>
        <v>EBITDA</v>
      </c>
      <c r="AC78" s="17"/>
      <c r="AD78" s="19">
        <f>+[1]RADIO!F61</f>
        <v>-4.8655863833245627</v>
      </c>
      <c r="AE78" s="20">
        <f>+[1]RADIO!G61</f>
        <v>0.67236373096305901</v>
      </c>
      <c r="AF78" s="21" t="str">
        <f t="shared" si="18"/>
        <v>---</v>
      </c>
    </row>
    <row r="79" spans="4:32" ht="15.75" customHeight="1">
      <c r="D79" s="31" t="str">
        <f>+IF($B$3="esp","Latam","Latam")</f>
        <v>Latam</v>
      </c>
      <c r="F79" s="32">
        <f>+[1]GRUPO!F79</f>
        <v>36.028795232892648</v>
      </c>
      <c r="G79" s="33">
        <f>+[1]GRUPO!G79</f>
        <v>75.011200702308756</v>
      </c>
      <c r="H79" s="34">
        <f t="shared" si="9"/>
        <v>-0.51968779468179183</v>
      </c>
      <c r="L79" s="31" t="str">
        <f>+IF($B$3="esp","Otros","Other")</f>
        <v>Other</v>
      </c>
      <c r="N79" s="32">
        <f>+[1]EDUCACIÓN!F68</f>
        <v>29.780623617154347</v>
      </c>
      <c r="O79" s="33">
        <f>+[1]EDUCACIÓN!G68</f>
        <v>44.367872657290917</v>
      </c>
      <c r="P79" s="34">
        <f>IF(O79=0,"---",IF(OR(ABS((N79-O79)/ABS(O79))&gt;9,(N79*O79)&lt;0),"---",IF(O79="0","---",((N79-O79)/ABS(O79)))))</f>
        <v>-0.32877954624537231</v>
      </c>
      <c r="T79" s="39" t="str">
        <f>+IF($B$3="esp","Margen EBITDA sin indemnizaciones ","EBITDA ex severance expenses Margin")</f>
        <v>EBITDA ex severance expenses Margin</v>
      </c>
      <c r="U79" s="38"/>
      <c r="V79" s="40">
        <f>+V76/V66</f>
        <v>-6.5428850355897517E-2</v>
      </c>
      <c r="W79" s="41">
        <f>+W76/W66</f>
        <v>-5.0231587747972158E-2</v>
      </c>
      <c r="X79" s="42">
        <f t="shared" si="11"/>
        <v>-0.30254394275121971</v>
      </c>
      <c r="AB79" s="26" t="str">
        <f>+IF($B$3="esp","España","Spain")</f>
        <v>Spain</v>
      </c>
      <c r="AD79" s="27">
        <f>+[1]RADIO!F62</f>
        <v>-3.5167355999999654</v>
      </c>
      <c r="AE79" s="28">
        <f>+[1]RADIO!G62</f>
        <v>1.3762368200000226</v>
      </c>
      <c r="AF79" s="29" t="str">
        <f t="shared" si="18"/>
        <v>---</v>
      </c>
    </row>
    <row r="80" spans="4:32" ht="15.75" customHeight="1">
      <c r="D80" s="31" t="str">
        <f>+IF($B$3="esp","Portugal","Portugal")</f>
        <v>Portugal</v>
      </c>
      <c r="F80" s="32">
        <f>+[1]GRUPO!F80</f>
        <v>-0.22294066000000004</v>
      </c>
      <c r="G80" s="33">
        <f>+[1]GRUPO!G80</f>
        <v>-0.21048368000000078</v>
      </c>
      <c r="H80" s="34">
        <f t="shared" si="9"/>
        <v>-5.9182640668384412E-2</v>
      </c>
      <c r="L80" s="26" t="str">
        <f>+IF($B$3="esp","Tecnología Educativa global y Centro Corpor.","Global Educational IT &amp; HQ")</f>
        <v>Global Educational IT &amp; HQ</v>
      </c>
      <c r="N80" s="27">
        <f>+[1]EDUCACIÓN!F69</f>
        <v>-5.7220812599999986</v>
      </c>
      <c r="O80" s="28">
        <f>+[1]EDUCACIÓN!G69</f>
        <v>-5.9183275100000001</v>
      </c>
      <c r="P80" s="29">
        <f t="shared" ref="P80:P83" si="19">IF(O80=0,"---",IF(OR(ABS((N80-O80)/ABS(O80))&gt;9,(N80*O80)&lt;0),"---",IF(O80="0","---",((N80-O80)/ABS(O80)))))</f>
        <v>3.3159072333934003E-2</v>
      </c>
      <c r="T80" s="18" t="str">
        <f>+IF($B$3="esp","EBIT","EBIT")</f>
        <v>EBIT</v>
      </c>
      <c r="U80" s="17"/>
      <c r="V80" s="19">
        <f>+[1]MEDIA!F96</f>
        <v>-14.186928663495779</v>
      </c>
      <c r="W80" s="20">
        <f>+[1]MEDIA!G96</f>
        <v>-12.501998686527141</v>
      </c>
      <c r="X80" s="21">
        <f t="shared" si="11"/>
        <v>-0.13477284866334321</v>
      </c>
      <c r="AB80" s="31" t="str">
        <f>+IF($B$3="esp","España sin SSCC","Spain ex HQ")</f>
        <v>Spain ex HQ</v>
      </c>
      <c r="AC80" s="10"/>
      <c r="AD80" s="32">
        <f>+[1]RADIO!F63</f>
        <v>-0.66932086999996654</v>
      </c>
      <c r="AE80" s="33">
        <f>+[1]RADIO!G63</f>
        <v>2.3089509800000227</v>
      </c>
      <c r="AF80" s="34" t="str">
        <f>IF(AE80=0,"---",IF(OR(ABS((AD80-AE80)/ABS(AE80))&gt;9,(AD80*AE80)&lt;0),"---",IF(AE80="0","---",((AD80-AE80)/ABS(AE80)))))</f>
        <v>---</v>
      </c>
    </row>
    <row r="81" spans="4:32" ht="15.75" customHeight="1">
      <c r="D81" s="39" t="str">
        <f>+IF($B$3="esp","Margen EBITDA ","EBITDA Margin")</f>
        <v>EBITDA Margin</v>
      </c>
      <c r="E81" s="38"/>
      <c r="F81" s="40">
        <f>+F76/F66</f>
        <v>0.10505514691129728</v>
      </c>
      <c r="G81" s="41">
        <f>+G76/G66</f>
        <v>0.24528524307909058</v>
      </c>
      <c r="H81" s="42">
        <f t="shared" si="9"/>
        <v>-0.57170213098623734</v>
      </c>
      <c r="L81" s="39" t="str">
        <f>+IF($B$3="esp","Margen EBITDA ","EBITDA Margin")</f>
        <v>EBITDA Margin</v>
      </c>
      <c r="M81" s="38"/>
      <c r="N81" s="40">
        <f>+N76/N66</f>
        <v>0.29571965997022343</v>
      </c>
      <c r="O81" s="41">
        <f>+O76/O66</f>
        <v>0.39871458876345101</v>
      </c>
      <c r="P81" s="42">
        <f t="shared" si="19"/>
        <v>-0.2583174323082828</v>
      </c>
      <c r="T81" s="26" t="s">
        <v>8</v>
      </c>
      <c r="V81" s="27">
        <f>+[1]MEDIA!F97</f>
        <v>-8.8553222633558129</v>
      </c>
      <c r="W81" s="28">
        <f>+[1]MEDIA!G97</f>
        <v>-4.0749751270621779</v>
      </c>
      <c r="X81" s="29">
        <f t="shared" si="11"/>
        <v>-1.173098482134783</v>
      </c>
      <c r="AB81" s="31" t="str">
        <f>+IF($B$3="esp","Servicios Centrales","HQ")</f>
        <v>HQ</v>
      </c>
      <c r="AC81" s="10"/>
      <c r="AD81" s="32">
        <f>+[1]RADIO!F64</f>
        <v>-2.8474147299999992</v>
      </c>
      <c r="AE81" s="33">
        <f>+[1]RADIO!G64</f>
        <v>-0.93271416000000018</v>
      </c>
      <c r="AF81" s="34">
        <f>IF(AE81=0,"---",IF(OR(ABS((AD81-AE81)/ABS(AE81))&gt;9,(AD81*AE81)&lt;0),"---",IF(AE81="0","---",((AD81-AE81)/ABS(AE81)))))</f>
        <v>-2.0528267416890067</v>
      </c>
    </row>
    <row r="82" spans="4:32" ht="15.75" customHeight="1">
      <c r="D82" s="18" t="str">
        <f>+IF($B$3="esp","EBITDA sin indemnizaciones","EBITDA ex severance expenses")</f>
        <v>EBITDA ex severance expenses</v>
      </c>
      <c r="E82" s="17"/>
      <c r="F82" s="19">
        <f>+[1]GRUPO!F82</f>
        <v>23.668986682606018</v>
      </c>
      <c r="G82" s="20">
        <f>+[1]GRUPO!G82</f>
        <v>66.246658934930124</v>
      </c>
      <c r="H82" s="21">
        <f t="shared" si="9"/>
        <v>-0.64271425815067051</v>
      </c>
      <c r="L82" s="18" t="str">
        <f>+IF($B$3="esp","EBITDA sin indemnizaciones","EBITDA ex severance expenses")</f>
        <v>EBITDA ex severance expenses</v>
      </c>
      <c r="M82" s="17"/>
      <c r="N82" s="19">
        <f>+[1]EDUCACIÓN!F71</f>
        <v>31.439803070763404</v>
      </c>
      <c r="O82" s="20">
        <f>+[1]EDUCACIÓN!G71</f>
        <v>71.097754165420838</v>
      </c>
      <c r="P82" s="21">
        <f t="shared" si="19"/>
        <v>-0.55779470899160288</v>
      </c>
      <c r="T82" s="26" t="s">
        <v>9</v>
      </c>
      <c r="V82" s="27">
        <f>+[1]MEDIA!F100</f>
        <v>-5.3316064001399397</v>
      </c>
      <c r="W82" s="28">
        <f>+[1]MEDIA!G100</f>
        <v>-8.4270235594650256</v>
      </c>
      <c r="X82" s="29">
        <f t="shared" si="11"/>
        <v>0.36732034003255981</v>
      </c>
      <c r="AB82" s="26" t="str">
        <f>+IF($B$3="esp","Latam","Latam")</f>
        <v>Latam</v>
      </c>
      <c r="AD82" s="27">
        <f>+[1]RADIO!F65</f>
        <v>-1.3985468191226142</v>
      </c>
      <c r="AE82" s="28">
        <f>+[1]RADIO!G65</f>
        <v>-1.0492065590369735</v>
      </c>
      <c r="AF82" s="29">
        <f t="shared" ref="AF82:AF86" si="20">IF(AE82=0,"---",IF(OR(ABS((AD82-AE82)/ABS(AE82))&gt;9,(AD82*AE82)&lt;0),"---",IF(AE82="0","---",((AD82-AE82)/ABS(AE82)))))</f>
        <v>-0.33295661095207679</v>
      </c>
    </row>
    <row r="83" spans="4:32" ht="15.75" customHeight="1">
      <c r="D83" s="26" t="str">
        <f>+IF($B$3="esp","España","Spain")</f>
        <v>Spain</v>
      </c>
      <c r="F83" s="27">
        <f>+[1]GRUPO!F83</f>
        <v>-13.756565780000201</v>
      </c>
      <c r="G83" s="28">
        <f>+[1]GRUPO!G83</f>
        <v>-9.4244134099996479</v>
      </c>
      <c r="H83" s="29">
        <f t="shared" si="9"/>
        <v>-0.45967342279403628</v>
      </c>
      <c r="L83" s="26" t="str">
        <f>+IF($B$3="esp","Negocio Internacional","International business")</f>
        <v>International business</v>
      </c>
      <c r="N83" s="27">
        <f>+[1]EDUCACIÓN!F72</f>
        <v>37.1613654707634</v>
      </c>
      <c r="O83" s="28">
        <f>+[1]EDUCACIÓN!G72</f>
        <v>77.016081675420835</v>
      </c>
      <c r="P83" s="29">
        <f t="shared" si="19"/>
        <v>-0.51748563855302965</v>
      </c>
      <c r="T83" s="39" t="str">
        <f>+IF($B$3="esp","Margen EBIT ","EBIT Margin")</f>
        <v>EBIT Margin</v>
      </c>
      <c r="U83" s="38"/>
      <c r="V83" s="40">
        <f>+V80/V66</f>
        <v>-0.1829650626292626</v>
      </c>
      <c r="W83" s="41">
        <f>+W80/W66</f>
        <v>-0.14732559026433861</v>
      </c>
      <c r="X83" s="42">
        <f t="shared" si="11"/>
        <v>-0.24190958475698582</v>
      </c>
      <c r="AB83" s="26" t="str">
        <f>+IF($B$3="esp","Otros","Other")</f>
        <v>Other</v>
      </c>
      <c r="AD83" s="27">
        <f>+[1]RADIO!F66</f>
        <v>4.9696035798016958E-2</v>
      </c>
      <c r="AE83" s="28">
        <f>+[1]RADIO!G66</f>
        <v>0.34533347000000991</v>
      </c>
      <c r="AF83" s="29">
        <f t="shared" si="20"/>
        <v>-0.85609261738222031</v>
      </c>
    </row>
    <row r="84" spans="4:32" ht="15.75" customHeight="1">
      <c r="D84" s="26" t="str">
        <f>+IF($B$3="esp","Internacional","International")</f>
        <v>International</v>
      </c>
      <c r="F84" s="27">
        <f>+[1]GRUPO!F84</f>
        <v>37.42555246260622</v>
      </c>
      <c r="G84" s="28">
        <f>+[1]GRUPO!G84</f>
        <v>75.671072344929769</v>
      </c>
      <c r="H84" s="29">
        <f t="shared" si="9"/>
        <v>-0.50541797145400347</v>
      </c>
      <c r="L84" s="31" t="str">
        <f>+IF($B$3="esp","Brasil","Brazil")</f>
        <v>Brazil</v>
      </c>
      <c r="N84" s="32">
        <f>+[1]EDUCACIÓN!F73</f>
        <v>6.2862698337620682</v>
      </c>
      <c r="O84" s="33">
        <f>+[1]EDUCACIÓN!G73</f>
        <v>32.438351011919984</v>
      </c>
      <c r="P84" s="34">
        <f>IF(O84=0,"---",IF(OR(ABS((N84-O84)/ABS(O84))&gt;9,(N84*O84)&lt;0),"---",IF(O84="0","---",((N84-O84)/ABS(O84)))))</f>
        <v>-0.80620871167427466</v>
      </c>
      <c r="AB84" s="39" t="str">
        <f>+IF($B$3="esp","Margen EBITDA ","EBITDA Margin")</f>
        <v>EBITDA Margin</v>
      </c>
      <c r="AC84" s="38"/>
      <c r="AD84" s="40">
        <f>+AD78/AD66</f>
        <v>-0.11651965931318933</v>
      </c>
      <c r="AE84" s="41">
        <f>+AE78/AE66</f>
        <v>1.4198469541156451E-2</v>
      </c>
      <c r="AF84" s="42" t="str">
        <f t="shared" si="20"/>
        <v>---</v>
      </c>
    </row>
    <row r="85" spans="4:32" ht="15.75" customHeight="1">
      <c r="D85" s="31" t="str">
        <f>+IF($B$3="esp","Latam","Latam")</f>
        <v>Latam</v>
      </c>
      <c r="F85" s="32">
        <f>+[1]GRUPO!F85</f>
        <v>37.638493122606221</v>
      </c>
      <c r="G85" s="33">
        <f>+[1]GRUPO!G85</f>
        <v>75.881556024929765</v>
      </c>
      <c r="H85" s="34">
        <f t="shared" si="9"/>
        <v>-0.50398364115990646</v>
      </c>
      <c r="L85" s="31" t="str">
        <f>+IF($B$3="esp","Otros","Other")</f>
        <v>Other</v>
      </c>
      <c r="N85" s="32">
        <f>+[1]EDUCACIÓN!F74</f>
        <v>30.87509563700133</v>
      </c>
      <c r="O85" s="33">
        <f>+[1]EDUCACIÓN!G74</f>
        <v>44.577730663500851</v>
      </c>
      <c r="P85" s="34">
        <f>IF(O85=0,"---",IF(OR(ABS((N85-O85)/ABS(O85))&gt;9,(N85*O85)&lt;0),"---",IF(O85="0","---",((N85-O85)/ABS(O85)))))</f>
        <v>-0.30738745159405123</v>
      </c>
      <c r="T85" s="31"/>
      <c r="U85" s="10"/>
      <c r="V85" s="33"/>
      <c r="W85" s="33"/>
      <c r="X85" s="52"/>
      <c r="AB85" s="18" t="str">
        <f>+IF($B$3="esp","EBITDA sin indemnizaciones","EBITDA ex severance expenses")</f>
        <v>EBITDA ex severance expenses</v>
      </c>
      <c r="AC85" s="17"/>
      <c r="AD85" s="19">
        <f>+[1]RADIO!F68</f>
        <v>-3.6923697906013029</v>
      </c>
      <c r="AE85" s="20">
        <f>+[1]RADIO!G68</f>
        <v>0.89070439190165562</v>
      </c>
      <c r="AF85" s="21" t="str">
        <f t="shared" si="20"/>
        <v>---</v>
      </c>
    </row>
    <row r="86" spans="4:32" ht="15.75" customHeight="1">
      <c r="D86" s="31" t="str">
        <f>+IF($B$3="esp","Portugal","Portugal")</f>
        <v>Portugal</v>
      </c>
      <c r="F86" s="32">
        <f>+[1]GRUPO!F86</f>
        <v>-0.21294066000000003</v>
      </c>
      <c r="G86" s="33">
        <f>+[1]GRUPO!G86</f>
        <v>-0.21048368000000078</v>
      </c>
      <c r="H86" s="34">
        <f t="shared" si="9"/>
        <v>-1.1673019019808276E-2</v>
      </c>
      <c r="L86" s="26" t="str">
        <f>+IF($B$3="esp","Tecnología Educativa global y Centro Corpor.","Global Educational IT &amp; HQ")</f>
        <v>Global Educational IT &amp; HQ</v>
      </c>
      <c r="N86" s="27">
        <f>+[1]EDUCACIÓN!F75</f>
        <v>-5.7215623999999989</v>
      </c>
      <c r="O86" s="28">
        <f>+[1]EDUCACIÓN!G75</f>
        <v>-5.9183275100000001</v>
      </c>
      <c r="P86" s="29">
        <f t="shared" ref="P86:P89" si="21">IF(O86=0,"---",IF(OR(ABS((N86-O86)/ABS(O86))&gt;9,(N86*O86)&lt;0),"---",IF(O86="0","---",((N86-O86)/ABS(O86)))))</f>
        <v>3.3246742372322884E-2</v>
      </c>
      <c r="T86" s="31"/>
      <c r="U86" s="10"/>
      <c r="V86" s="33"/>
      <c r="W86" s="33"/>
      <c r="X86" s="52"/>
      <c r="AB86" s="26" t="str">
        <f>+IF($B$3="esp","España","Spain")</f>
        <v>Spain</v>
      </c>
      <c r="AD86" s="27">
        <f>+[1]RADIO!F69</f>
        <v>-2.5359095199999655</v>
      </c>
      <c r="AE86" s="28">
        <f>+[1]RADIO!G69</f>
        <v>1.5343508300000226</v>
      </c>
      <c r="AF86" s="29" t="str">
        <f t="shared" si="20"/>
        <v>---</v>
      </c>
    </row>
    <row r="87" spans="4:32" ht="15.75" customHeight="1">
      <c r="D87" s="39" t="str">
        <f>+IF($B$3="esp","Margen EBITDA sin indemnizaciones ","EBITDA ex severance expenses Margin")</f>
        <v>EBITDA ex severance expenses Margin</v>
      </c>
      <c r="E87" s="38"/>
      <c r="F87" s="40">
        <f>+F82/F66</f>
        <v>0.13253171057327012</v>
      </c>
      <c r="G87" s="41">
        <f>+G82/G66</f>
        <v>0.25362516281019037</v>
      </c>
      <c r="H87" s="42">
        <f t="shared" si="9"/>
        <v>-0.47745046625182436</v>
      </c>
      <c r="L87" s="39" t="str">
        <f>+IF($B$3="esp","Margen EBITDA sin indemnizaciones ","EBITDA ex severance expenses Margin")</f>
        <v>EBITDA ex severance expenses Margin</v>
      </c>
      <c r="M87" s="38"/>
      <c r="N87" s="40">
        <f>+N82/N66</f>
        <v>0.30974103809621634</v>
      </c>
      <c r="O87" s="41">
        <f>+O82/O66</f>
        <v>0.4026310535399964</v>
      </c>
      <c r="P87" s="42">
        <f t="shared" si="21"/>
        <v>-0.23070752895753133</v>
      </c>
      <c r="AB87" s="31" t="str">
        <f>+IF($B$3="esp","España sin SSCC","Spain ex HQ")</f>
        <v>Spain ex HQ</v>
      </c>
      <c r="AC87" s="10"/>
      <c r="AD87" s="32">
        <f>+[1]RADIO!F70</f>
        <v>0.40232621000003338</v>
      </c>
      <c r="AE87" s="33">
        <f>+[1]RADIO!G70</f>
        <v>2.4669726400000225</v>
      </c>
      <c r="AF87" s="34">
        <f>IF(AE87=0,"---",IF(OR(ABS((AD87-AE87)/ABS(AE87))&gt;9,(AD87*AE87)&lt;0),"---",IF(AE87="0","---",((AD87-AE87)/ABS(AE87)))))</f>
        <v>-0.83691500932088581</v>
      </c>
    </row>
    <row r="88" spans="4:32" ht="15.75" customHeight="1">
      <c r="D88" s="18" t="str">
        <f>+IF($B$3="esp","EBIT","EBIT")</f>
        <v>EBIT</v>
      </c>
      <c r="E88" s="17"/>
      <c r="F88" s="19">
        <f>+[1]GRUPO!F88</f>
        <v>-0.235855776065584</v>
      </c>
      <c r="G88" s="20">
        <f>+[1]GRUPO!G88</f>
        <v>41.499516463561697</v>
      </c>
      <c r="H88" s="21" t="str">
        <f t="shared" si="9"/>
        <v>---</v>
      </c>
      <c r="L88" s="18" t="str">
        <f>+IF($B$3="esp","EBIT Contable","Reported EBIT")</f>
        <v>Reported EBIT</v>
      </c>
      <c r="M88" s="17"/>
      <c r="N88" s="19">
        <f>+[1]EDUCACIÓN!F77</f>
        <v>17.633535277430404</v>
      </c>
      <c r="O88" s="20">
        <f>+[1]EDUCACIÓN!G77</f>
        <v>55.478387590088829</v>
      </c>
      <c r="P88" s="21">
        <f t="shared" si="21"/>
        <v>-0.6821548706909315</v>
      </c>
      <c r="AB88" s="31" t="str">
        <f>+IF($B$3="esp","Servicios Centrales","HQ")</f>
        <v>HQ</v>
      </c>
      <c r="AC88" s="10"/>
      <c r="AD88" s="32">
        <f>+[1]RADIO!F71</f>
        <v>-2.9382357299999988</v>
      </c>
      <c r="AE88" s="33">
        <f>+[1]RADIO!G71</f>
        <v>-0.93262181000000022</v>
      </c>
      <c r="AF88" s="34">
        <f>IF(AE88=0,"---",IF(OR(ABS((AD88-AE88)/ABS(AE88))&gt;9,(AD88*AE88)&lt;0),"---",IF(AE88="0","---",((AD88-AE88)/ABS(AE88)))))</f>
        <v>-2.1505114918983059</v>
      </c>
    </row>
    <row r="89" spans="4:32" ht="15.75" customHeight="1">
      <c r="D89" s="26" t="str">
        <f>+IF($B$3="esp","España","Spain")</f>
        <v>Spain</v>
      </c>
      <c r="F89" s="27">
        <f>+[1]GRUPO!F89</f>
        <v>-22.939316960000163</v>
      </c>
      <c r="G89" s="28">
        <f>+[1]GRUPO!G89</f>
        <v>-17.430049139999625</v>
      </c>
      <c r="H89" s="29">
        <f t="shared" si="9"/>
        <v>-0.31607873137646569</v>
      </c>
      <c r="L89" s="26" t="str">
        <f>+IF($B$3="esp","Negocio Internacional","International business")</f>
        <v>International business</v>
      </c>
      <c r="N89" s="27">
        <f>+[1]EDUCACIÓN!F78</f>
        <v>24.195889057430403</v>
      </c>
      <c r="O89" s="28">
        <f>+[1]EDUCACIÓN!G78</f>
        <v>62.250317240046371</v>
      </c>
      <c r="P89" s="29">
        <f t="shared" si="21"/>
        <v>-0.61131299999440158</v>
      </c>
      <c r="AB89" s="26" t="str">
        <f>+IF($B$3="esp","Latam","Latam")</f>
        <v>Latam</v>
      </c>
      <c r="AD89" s="27">
        <f>+[1]RADIO!F72</f>
        <v>-1.2061563063993546</v>
      </c>
      <c r="AE89" s="28">
        <f>+[1]RADIO!G72</f>
        <v>-0.98897990809837677</v>
      </c>
      <c r="AF89" s="29">
        <f t="shared" ref="AF89:AF93" si="22">IF(AE89=0,"---",IF(OR(ABS((AD89-AE89)/ABS(AE89))&gt;9,(AD89*AE89)&lt;0),"---",IF(AE89="0","---",((AD89-AE89)/ABS(AE89)))))</f>
        <v>-0.21959637048498523</v>
      </c>
    </row>
    <row r="90" spans="4:32" ht="15.75" customHeight="1">
      <c r="D90" s="26" t="str">
        <f>+IF($B$3="esp","Internacional","International")</f>
        <v>International</v>
      </c>
      <c r="F90" s="27">
        <f>+[1]GRUPO!F90</f>
        <v>22.703461183934579</v>
      </c>
      <c r="G90" s="28">
        <f>+[1]GRUPO!G90</f>
        <v>58.929565603561322</v>
      </c>
      <c r="H90" s="29">
        <f t="shared" si="9"/>
        <v>-0.61473564328187535</v>
      </c>
      <c r="L90" s="31" t="str">
        <f>+IF($B$3="esp","Brasil","Brazil")</f>
        <v>Brazil</v>
      </c>
      <c r="N90" s="32">
        <f>+[1]EDUCACIÓN!F79</f>
        <v>1.4548147728441554</v>
      </c>
      <c r="O90" s="33">
        <f>+[1]EDUCACIÓN!G79</f>
        <v>25.178893160138728</v>
      </c>
      <c r="P90" s="34">
        <f>IF(O90=0,"---",IF(OR(ABS((N90-O90)/ABS(O90))&gt;9,(N90*O90)&lt;0),"---",IF(O90="0","---",((N90-O90)/ABS(O90)))))</f>
        <v>-0.94222086079830925</v>
      </c>
      <c r="T90" s="31"/>
      <c r="V90" s="33"/>
      <c r="W90" s="33"/>
      <c r="X90" s="52"/>
      <c r="AB90" s="26" t="str">
        <f>+IF($B$3="esp","Otros","Other")</f>
        <v>Other</v>
      </c>
      <c r="AD90" s="27">
        <f>+[1]RADIO!F73</f>
        <v>4.969603579801718E-2</v>
      </c>
      <c r="AE90" s="28">
        <f>+[1]RADIO!G73</f>
        <v>0.3453334700000098</v>
      </c>
      <c r="AF90" s="29">
        <f t="shared" si="22"/>
        <v>-0.85609261738221964</v>
      </c>
    </row>
    <row r="91" spans="4:32" ht="15.75" customHeight="1">
      <c r="D91" s="31" t="str">
        <f>+IF($B$3="esp","Latam","Latam")</f>
        <v>Latam</v>
      </c>
      <c r="F91" s="32">
        <f>+[1]GRUPO!F91</f>
        <v>22.930542843934578</v>
      </c>
      <c r="G91" s="33">
        <f>+[1]GRUPO!G91</f>
        <v>59.144194283561326</v>
      </c>
      <c r="H91" s="34">
        <f t="shared" si="9"/>
        <v>-0.61229427297637651</v>
      </c>
      <c r="L91" s="31" t="str">
        <f>+IF($B$3="esp","Otros","Other")</f>
        <v>Other</v>
      </c>
      <c r="N91" s="32">
        <f>+[1]EDUCACIÓN!F80</f>
        <v>22.741074284586247</v>
      </c>
      <c r="O91" s="33">
        <f>+[1]EDUCACIÓN!G80</f>
        <v>37.071424079907644</v>
      </c>
      <c r="P91" s="34">
        <f>IF(O91=0,"---",IF(OR(ABS((N91-O91)/ABS(O91))&gt;9,(N91*O91)&lt;0),"---",IF(O91="0","---",((N91-O91)/ABS(O91)))))</f>
        <v>-0.38656054227731457</v>
      </c>
      <c r="T91" s="31"/>
      <c r="V91" s="33"/>
      <c r="W91" s="33"/>
      <c r="X91" s="52"/>
      <c r="AB91" s="39" t="str">
        <f>+IF($B$3="esp","Margen EBITDA sin indemnizaciones ","EBITDA ex severance expenses Margin")</f>
        <v>EBITDA ex severance expenses Margin</v>
      </c>
      <c r="AC91" s="38"/>
      <c r="AD91" s="40">
        <f>+AD85/AD66</f>
        <v>-8.8423806744790667E-2</v>
      </c>
      <c r="AE91" s="41">
        <f>+AE85/AE66</f>
        <v>1.8809222740904755E-2</v>
      </c>
      <c r="AF91" s="42" t="str">
        <f t="shared" si="22"/>
        <v>---</v>
      </c>
    </row>
    <row r="92" spans="4:32" ht="15.75" customHeight="1">
      <c r="D92" s="31" t="str">
        <f>+IF($B$3="esp","Portugal","Portugal")</f>
        <v>Portugal</v>
      </c>
      <c r="F92" s="32">
        <f>+[1]GRUPO!F92</f>
        <v>-0.22708165999999999</v>
      </c>
      <c r="G92" s="33">
        <f>+[1]GRUPO!G92</f>
        <v>-0.21462868000000304</v>
      </c>
      <c r="H92" s="34">
        <f t="shared" si="9"/>
        <v>-5.8021043599563546E-2</v>
      </c>
      <c r="L92" s="26" t="str">
        <f>+IF($B$3="esp","Tecnología Educativa global y Centro Corpor.","Global Educational IT &amp; HQ")</f>
        <v>Global Educational IT &amp; HQ</v>
      </c>
      <c r="N92" s="27">
        <f>+[1]EDUCACIÓN!F81</f>
        <v>-6.5623537799999996</v>
      </c>
      <c r="O92" s="28">
        <f>+[1]EDUCACIÓN!G81</f>
        <v>-6.7719296499575456</v>
      </c>
      <c r="P92" s="29">
        <f t="shared" ref="P92:P93" si="23">IF(O92=0,"---",IF(OR(ABS((N92-O92)/ABS(O92))&gt;9,(N92*O92)&lt;0),"---",IF(O92="0","---",((N92-O92)/ABS(O92)))))</f>
        <v>3.0947732890116472E-2</v>
      </c>
      <c r="AB92" s="18" t="str">
        <f>+IF($B$3="esp","EBIT Contable","Reported EBIT")</f>
        <v>Reported EBIT</v>
      </c>
      <c r="AC92" s="17"/>
      <c r="AD92" s="19">
        <f>+[1]RADIO!F75</f>
        <v>-8.8553222633558129</v>
      </c>
      <c r="AE92" s="20">
        <f>+[1]RADIO!G75</f>
        <v>-4.0749751270621779</v>
      </c>
      <c r="AF92" s="21">
        <f t="shared" si="22"/>
        <v>-1.173098482134783</v>
      </c>
    </row>
    <row r="93" spans="4:32" ht="15.75" customHeight="1">
      <c r="D93" s="39" t="str">
        <f>+IF($B$3="esp","Margen EBIT ","EBIT Margin")</f>
        <v>EBIT Margin</v>
      </c>
      <c r="E93" s="38"/>
      <c r="F93" s="40">
        <f>+F88/F66</f>
        <v>-1.3206467124986512E-3</v>
      </c>
      <c r="G93" s="41">
        <f>+G88/G66</f>
        <v>0.15888079170835417</v>
      </c>
      <c r="H93" s="42" t="str">
        <f t="shared" si="9"/>
        <v>---</v>
      </c>
      <c r="L93" s="39" t="str">
        <f>+IF($B$3="esp","Margen EBIT ","EBIT Margin")</f>
        <v>EBIT Margin</v>
      </c>
      <c r="M93" s="38"/>
      <c r="N93" s="40">
        <f>+N88/N66</f>
        <v>0.17372340118811452</v>
      </c>
      <c r="O93" s="41">
        <f>+O88/O66</f>
        <v>0.31417759824207958</v>
      </c>
      <c r="P93" s="42">
        <f t="shared" si="23"/>
        <v>-0.44705350680586248</v>
      </c>
      <c r="T93" s="31"/>
      <c r="V93" s="33"/>
      <c r="W93" s="33"/>
      <c r="X93" s="52"/>
      <c r="AB93" s="26" t="str">
        <f>+IF($B$3="esp","España","Spain")</f>
        <v>Spain</v>
      </c>
      <c r="AD93" s="27">
        <f>+[1]RADIO!F76</f>
        <v>-6.014404749999974</v>
      </c>
      <c r="AE93" s="28">
        <f>+[1]RADIO!G76</f>
        <v>-1.6456389699999667</v>
      </c>
      <c r="AF93" s="29">
        <f t="shared" si="22"/>
        <v>-2.6547534785227502</v>
      </c>
    </row>
    <row r="94" spans="4:32">
      <c r="T94" s="31"/>
      <c r="V94" s="33"/>
      <c r="W94" s="33"/>
      <c r="X94" s="52"/>
      <c r="AB94" s="31" t="str">
        <f>+IF($B$3="esp","España sin SSCC","Spain ex HQ")</f>
        <v>Spain ex HQ</v>
      </c>
      <c r="AC94" s="10"/>
      <c r="AD94" s="32">
        <f>+[1]RADIO!F77</f>
        <v>-2.8754480299999741</v>
      </c>
      <c r="AE94" s="33">
        <f>+[1]RADIO!G77</f>
        <v>-0.35902940999996669</v>
      </c>
      <c r="AF94" s="34">
        <f>IF(AE94=0,"---",IF(OR(ABS((AD94-AE94)/ABS(AE94))&gt;9,(AD94*AE94)&lt;0),"---",IF(AE94="0","---",((AD94-AE94)/ABS(AE94)))))</f>
        <v>-7.0089484312726391</v>
      </c>
    </row>
    <row r="95" spans="4:32">
      <c r="AB95" s="31" t="str">
        <f>+IF($B$3="esp","Servicios Centrales","HQ")</f>
        <v>HQ</v>
      </c>
      <c r="AC95" s="10"/>
      <c r="AD95" s="32">
        <f>+[1]RADIO!F78</f>
        <v>-3.1389567199999995</v>
      </c>
      <c r="AE95" s="33">
        <f>+[1]RADIO!G78</f>
        <v>-1.28660956</v>
      </c>
      <c r="AF95" s="34">
        <f>IF(AE95=0,"---",IF(OR(ABS((AD95-AE95)/ABS(AE95))&gt;9,(AD95*AE95)&lt;0),"---",IF(AE95="0","---",((AD95-AE95)/ABS(AE95)))))</f>
        <v>-1.4397119511532306</v>
      </c>
    </row>
    <row r="96" spans="4:32">
      <c r="AB96" s="26" t="str">
        <f>+IF($B$3="esp","Latam","Latam")</f>
        <v>Latam</v>
      </c>
      <c r="AD96" s="27">
        <f>+[1]RADIO!F79</f>
        <v>-2.8911617033558312</v>
      </c>
      <c r="AE96" s="28">
        <f>+[1]RADIO!G79</f>
        <v>-2.774669627062142</v>
      </c>
      <c r="AF96" s="29">
        <f t="shared" ref="AF96:AF98" si="24">IF(AE96=0,"---",IF(OR(ABS((AD96-AE96)/ABS(AE96))&gt;9,(AD96*AE96)&lt;0),"---",IF(AE96="0","---",((AD96-AE96)/ABS(AE96)))))</f>
        <v>-4.1984124941401614E-2</v>
      </c>
    </row>
    <row r="97" spans="1:32">
      <c r="D97" s="63" t="str">
        <f>+IF($B$3="esp","Resultados por Negocio","Perfomance by Business")</f>
        <v>Perfomance by Business</v>
      </c>
      <c r="E97" s="10"/>
      <c r="F97" s="11" t="str">
        <f>+$F$6</f>
        <v>JANUARY - MARCH</v>
      </c>
      <c r="G97" s="12"/>
      <c r="H97" s="12"/>
      <c r="L97" s="63" t="str">
        <f>+IF($B$3="esp","Resultados por Campaña","Perfomance by Campaign")</f>
        <v>Perfomance by Campaign</v>
      </c>
      <c r="M97" s="10"/>
      <c r="N97" s="11" t="str">
        <f>+$F$6</f>
        <v>JANUARY - MARCH</v>
      </c>
      <c r="O97" s="12"/>
      <c r="P97" s="12"/>
      <c r="AB97" s="26" t="str">
        <f>+IF($B$3="esp","Otros","Other")</f>
        <v>Other</v>
      </c>
      <c r="AD97" s="27">
        <f>+[1]RADIO!F80</f>
        <v>5.0244189999992361E-2</v>
      </c>
      <c r="AE97" s="28">
        <f>+[1]RADIO!G80</f>
        <v>0.34533346999993064</v>
      </c>
      <c r="AF97" s="29">
        <f t="shared" si="24"/>
        <v>-0.85450529889268345</v>
      </c>
    </row>
    <row r="98" spans="1:32" ht="14.4">
      <c r="D98" s="64"/>
      <c r="E98" s="10"/>
      <c r="F98" s="10"/>
      <c r="G98" s="10"/>
      <c r="H98" s="10"/>
      <c r="L98" s="64"/>
      <c r="M98" s="10"/>
      <c r="N98" s="10"/>
      <c r="O98" s="10"/>
      <c r="P98" s="10"/>
      <c r="T98" s="31"/>
      <c r="V98" s="33"/>
      <c r="W98" s="33"/>
      <c r="X98" s="52"/>
      <c r="AB98" s="39" t="str">
        <f>+IF($B$3="esp","Margen EBIT ","EBIT Margin")</f>
        <v>EBIT Margin</v>
      </c>
      <c r="AC98" s="38"/>
      <c r="AD98" s="40">
        <f>+AD92/AD66</f>
        <v>-0.21206470339751685</v>
      </c>
      <c r="AE98" s="41">
        <f>+AE92/AE66</f>
        <v>-8.6052247553105046E-2</v>
      </c>
      <c r="AF98" s="42">
        <f t="shared" si="24"/>
        <v>-1.4643714653315274</v>
      </c>
    </row>
    <row r="99" spans="1:32">
      <c r="D99" s="13" t="str">
        <f>+IF($B$3="esp","Millones de €","€ Millions")</f>
        <v>€ Millions</v>
      </c>
      <c r="E99" s="10"/>
      <c r="F99" s="14">
        <v>2021</v>
      </c>
      <c r="G99" s="14">
        <v>2020</v>
      </c>
      <c r="H99" s="14" t="str">
        <f>+IF($B$3="esp","Var.","Chg.")</f>
        <v>Chg.</v>
      </c>
      <c r="L99" s="13" t="str">
        <f>+IF($B$3="esp","Millones de €","€ Millions")</f>
        <v>€ Millions</v>
      </c>
      <c r="M99" s="10"/>
      <c r="N99" s="14">
        <v>2021</v>
      </c>
      <c r="O99" s="14">
        <v>2020</v>
      </c>
      <c r="P99" s="14" t="str">
        <f>+IF($B$3="esp","Var.","Chg.")</f>
        <v>Chg.</v>
      </c>
      <c r="T99" s="31"/>
      <c r="V99" s="33"/>
      <c r="W99" s="33"/>
      <c r="X99" s="52"/>
    </row>
    <row r="100" spans="1:32">
      <c r="D100" s="15" t="str">
        <f>+IF($B$3="esp","Ingresos de Explotación","Operating Revenues")</f>
        <v>Operating Revenues</v>
      </c>
      <c r="F100" s="16"/>
      <c r="G100" s="16"/>
      <c r="H100" s="16"/>
      <c r="L100" s="15" t="str">
        <f>+IF($B$3="esp","Ingresos de Explotación","Operating Revenues")</f>
        <v>Operating Revenues</v>
      </c>
      <c r="N100" s="16"/>
      <c r="O100" s="16"/>
      <c r="P100" s="16"/>
    </row>
    <row r="101" spans="1:32" ht="15.75" customHeight="1">
      <c r="D101" s="18" t="str">
        <f>+IF($B$3="esp","GRUPO","GROUP")</f>
        <v>GROUP</v>
      </c>
      <c r="E101" s="17"/>
      <c r="F101" s="19">
        <f>+[1]GRUPO!F101</f>
        <v>158.51658144846473</v>
      </c>
      <c r="G101" s="20">
        <f>+[1]GRUPO!G101</f>
        <v>261.19907899086581</v>
      </c>
      <c r="H101" s="21">
        <f>IF(G101=0,"---",IF(OR(ABS((F101-G101)/ABS(G101))&gt;9,(F101*G101)&lt;0),"---",IF(G101="0","---",((F101-G101)/ABS(G101)))))</f>
        <v>-0.39311967691123406</v>
      </c>
      <c r="L101" s="18" t="str">
        <f>+IF($B$3="esp","Total Santillana","Santillana Total")</f>
        <v>Santillana Total</v>
      </c>
      <c r="M101" s="17"/>
      <c r="N101" s="19">
        <f>+[1]EDUCACIÓN!F90</f>
        <v>81.973272202614567</v>
      </c>
      <c r="O101" s="20">
        <f>+[1]EDUCACIÓN!G90</f>
        <v>176.5828878332112</v>
      </c>
      <c r="P101" s="21">
        <f>IF(O101=0,"---",IF(OR(ABS((N101-O101)/ABS(O101))&gt;9,(N101*O101)&lt;0),"---",IF(O101="0","---",((N101-O101)/ABS(O101)))))</f>
        <v>-0.53578020379844948</v>
      </c>
      <c r="T101" s="31"/>
      <c r="V101" s="33"/>
      <c r="W101" s="33"/>
      <c r="X101" s="52"/>
    </row>
    <row r="102" spans="1:32" ht="15.75" customHeight="1">
      <c r="D102" s="26" t="str">
        <f>+IF($B$3="esp","Educación","Education")</f>
        <v>Education</v>
      </c>
      <c r="F102" s="27">
        <f>+[1]GRUPO!F102</f>
        <v>81.973272202614567</v>
      </c>
      <c r="G102" s="28">
        <f>+[1]GRUPO!G102</f>
        <v>176.5828878332112</v>
      </c>
      <c r="H102" s="29">
        <f t="shared" ref="H102:H106" si="25">IF(G102=0,"---",IF(OR(ABS((F102-G102)/ABS(G102))&gt;9,(F102*G102)&lt;0),"---",IF(G102="0","---",((F102-G102)/ABS(G102)))))</f>
        <v>-0.53578020379844948</v>
      </c>
      <c r="L102" s="26" t="str">
        <f>+IF($B$3="esp","Campaña Sur","South Campaign")</f>
        <v>South Campaign</v>
      </c>
      <c r="N102" s="27">
        <f>+[1]EDUCACIÓN!F91</f>
        <v>74.079016626709205</v>
      </c>
      <c r="O102" s="28">
        <f>+[1]EDUCACIÓN!G91</f>
        <v>162.07996587334992</v>
      </c>
      <c r="P102" s="29">
        <f t="shared" ref="P102:P108" si="26">IF(O102=0,"---",IF(OR(ABS((N102-O102)/ABS(O102))&gt;9,(N102*O102)&lt;0),"---",IF(O102="0","---",((N102-O102)/ABS(O102)))))</f>
        <v>-0.54294772813195857</v>
      </c>
      <c r="T102" s="31"/>
      <c r="V102" s="33"/>
      <c r="W102" s="33"/>
      <c r="X102" s="52"/>
    </row>
    <row r="103" spans="1:32" ht="15.75" customHeight="1">
      <c r="D103" s="26" t="str">
        <f>+IF($B$3="esp","Media","Media")</f>
        <v>Media</v>
      </c>
      <c r="F103" s="27">
        <f>+[1]GRUPO!F103</f>
        <v>76.994704155209462</v>
      </c>
      <c r="G103" s="28">
        <f>+[1]GRUPO!G103</f>
        <v>84.859654484298744</v>
      </c>
      <c r="H103" s="29">
        <f t="shared" si="25"/>
        <v>-9.2681856612372895E-2</v>
      </c>
      <c r="L103" s="36" t="str">
        <f>+IF($B$3="esp","Brasil","Brazil")</f>
        <v>Brazil</v>
      </c>
      <c r="N103" s="27">
        <f>+[1]EDUCACIÓN!F92</f>
        <v>22.836535194300652</v>
      </c>
      <c r="O103" s="28">
        <f>+[1]EDUCACIÓN!G92</f>
        <v>68.393471026145093</v>
      </c>
      <c r="P103" s="29">
        <f t="shared" si="26"/>
        <v>-0.66610065476029401</v>
      </c>
    </row>
    <row r="104" spans="1:32" ht="15.75" customHeight="1">
      <c r="D104" s="36" t="s">
        <v>8</v>
      </c>
      <c r="F104" s="27">
        <f>+[1]GRUPO!F104</f>
        <v>41.277071328214191</v>
      </c>
      <c r="G104" s="28">
        <f>+[1]GRUPO!G104</f>
        <v>47.354662346819083</v>
      </c>
      <c r="H104" s="29">
        <f t="shared" si="25"/>
        <v>-0.1283419776936312</v>
      </c>
      <c r="L104" s="36" t="str">
        <f>+IF($B$3="esp","Otros países","Other countries")</f>
        <v>Other countries</v>
      </c>
      <c r="N104" s="27">
        <f>+[1]EDUCACIÓN!F93</f>
        <v>51.242481432408553</v>
      </c>
      <c r="O104" s="28">
        <f>+[1]EDUCACIÓN!G93</f>
        <v>93.686494847204827</v>
      </c>
      <c r="P104" s="29">
        <f t="shared" si="26"/>
        <v>-0.45304302913690025</v>
      </c>
    </row>
    <row r="105" spans="1:32" ht="15.75" customHeight="1">
      <c r="D105" s="36" t="s">
        <v>9</v>
      </c>
      <c r="F105" s="27">
        <f>+[1]GRUPO!F105</f>
        <v>39.95309610522029</v>
      </c>
      <c r="G105" s="28">
        <f>+[1]GRUPO!G105</f>
        <v>41.695034774625768</v>
      </c>
      <c r="H105" s="29">
        <f t="shared" si="25"/>
        <v>-4.1778084100929078E-2</v>
      </c>
      <c r="L105" s="26" t="str">
        <f>+IF($B$3="esp","Campaña Norte","North Campaign")</f>
        <v>North Campaign</v>
      </c>
      <c r="N105" s="27">
        <f>+[1]EDUCACIÓN!F94</f>
        <v>6.561927561747841</v>
      </c>
      <c r="O105" s="28">
        <f>+[1]EDUCACIÓN!G94</f>
        <v>14.235675611701637</v>
      </c>
      <c r="P105" s="29">
        <f t="shared" si="26"/>
        <v>-0.5390504995524078</v>
      </c>
    </row>
    <row r="106" spans="1:32" ht="15.75" customHeight="1">
      <c r="A106" s="62"/>
      <c r="D106" s="26" t="str">
        <f>+IF($B$3="esp","Otros","Other")</f>
        <v>Other</v>
      </c>
      <c r="F106" s="27">
        <f>+[1]GRUPO!F106</f>
        <v>-0.45139490935929416</v>
      </c>
      <c r="G106" s="28">
        <f>+[1]GRUPO!G106</f>
        <v>-0.24346332664413239</v>
      </c>
      <c r="H106" s="29">
        <f t="shared" si="25"/>
        <v>-0.8540571000210353</v>
      </c>
      <c r="L106" s="36" t="str">
        <f>+IF($B$3="esp","México","Mexico")</f>
        <v>Mexico</v>
      </c>
      <c r="N106" s="27">
        <f>+[1]EDUCACIÓN!F95</f>
        <v>5.7725292125455079</v>
      </c>
      <c r="O106" s="28">
        <f>+[1]EDUCACIÓN!G95</f>
        <v>7.446241874649302</v>
      </c>
      <c r="P106" s="29">
        <f t="shared" si="26"/>
        <v>-0.22477280355368814</v>
      </c>
    </row>
    <row r="107" spans="1:32">
      <c r="L107" s="36" t="str">
        <f>+IF($B$3="esp","Otros países","Other countries")</f>
        <v>Other countries</v>
      </c>
      <c r="N107" s="27">
        <f>+[1]EDUCACIÓN!F96</f>
        <v>0.78939834920233309</v>
      </c>
      <c r="O107" s="28">
        <f>+[1]EDUCACIÓN!G96</f>
        <v>6.7894337370523354</v>
      </c>
      <c r="P107" s="29">
        <f t="shared" si="26"/>
        <v>-0.88373134199774162</v>
      </c>
    </row>
    <row r="108" spans="1:32">
      <c r="D108" s="15" t="str">
        <f>+IF($B$3="esp","EBITDA","EBITDA")</f>
        <v>EBITDA</v>
      </c>
      <c r="F108" s="16"/>
      <c r="G108" s="16"/>
      <c r="H108" s="16"/>
      <c r="L108" s="26" t="str">
        <f>+IF($B$3="esp","Tecnología Educativa global y Centro Corpor.","Global Educational IT &amp; HQ")</f>
        <v>Global Educational IT &amp; HQ</v>
      </c>
      <c r="N108" s="27">
        <f>+[1]EDUCACIÓN!F97</f>
        <v>1.3326787200000001</v>
      </c>
      <c r="O108" s="28">
        <f>+[1]EDUCACIÓN!G97</f>
        <v>0.28194768000000009</v>
      </c>
      <c r="P108" s="29">
        <f t="shared" si="26"/>
        <v>3.7266880153083712</v>
      </c>
    </row>
    <row r="109" spans="1:32" ht="15.75" customHeight="1">
      <c r="D109" s="18" t="str">
        <f>+IF($B$3="esp","GRUPO","GROUP")</f>
        <v>GROUP</v>
      </c>
      <c r="E109" s="17"/>
      <c r="F109" s="19">
        <f>+[1]GRUPO!F109</f>
        <v>12.306114074840236</v>
      </c>
      <c r="G109" s="20">
        <f>+[1]GRUPO!G109</f>
        <v>64.068279582309103</v>
      </c>
      <c r="H109" s="21">
        <f>IF(G109=0,"---",IF(OR(ABS((F109-G109)/ABS(G109))&gt;9,(F109*G109)&lt;0),"---",IF(G109="0","---",((F109-G109)/ABS(G109)))))</f>
        <v>-0.80792188966100675</v>
      </c>
    </row>
    <row r="110" spans="1:32" ht="15.75" customHeight="1">
      <c r="D110" s="26" t="str">
        <f>+IF($B$3="esp","Educación","Education")</f>
        <v>Education</v>
      </c>
      <c r="F110" s="27">
        <f>+[1]GRUPO!F110</f>
        <v>23.239009985863333</v>
      </c>
      <c r="G110" s="28">
        <f>+[1]GRUPO!G110</f>
        <v>70.406173505081398</v>
      </c>
      <c r="H110" s="29">
        <f t="shared" ref="H110:H114" si="27">IF(G110=0,"---",IF(OR(ABS((F110-G110)/ABS(G110))&gt;9,(F110*G110)&lt;0),"---",IF(G110="0","---",((F110-G110)/ABS(G110)))))</f>
        <v>-0.66992937083583848</v>
      </c>
      <c r="L110" s="15" t="str">
        <f>+IF($B$3="esp","EBITDA","EBITDA")</f>
        <v>EBITDA</v>
      </c>
      <c r="N110" s="16"/>
      <c r="O110" s="16"/>
      <c r="P110" s="16"/>
    </row>
    <row r="111" spans="1:32" ht="15.75" customHeight="1">
      <c r="D111" s="26" t="str">
        <f>+IF($B$3="esp","Media","Media")</f>
        <v>Media</v>
      </c>
      <c r="F111" s="27">
        <f>+[1]GRUPO!F111</f>
        <v>-7.4751540810229002</v>
      </c>
      <c r="G111" s="28">
        <f>+[1]GRUPO!G111</f>
        <v>-5.2946700227722374</v>
      </c>
      <c r="H111" s="29">
        <f t="shared" si="27"/>
        <v>-0.41182624202687945</v>
      </c>
      <c r="L111" s="18" t="str">
        <f>+IF($B$3="esp","Total Santillana","Santillana Total")</f>
        <v>Santillana Total</v>
      </c>
      <c r="M111" s="17"/>
      <c r="N111" s="19">
        <f>+[1]EDUCACIÓN!F100</f>
        <v>23.239009985863333</v>
      </c>
      <c r="O111" s="20">
        <f>+[1]EDUCACIÓN!G100</f>
        <v>70.406173505081398</v>
      </c>
      <c r="P111" s="21">
        <f>IF(O111=0,"---",IF(OR(ABS((N111-O111)/ABS(O111))&gt;9,(N111*O111)&lt;0),"---",IF(O111="0","---",((N111-O111)/ABS(O111)))))</f>
        <v>-0.66992937083583848</v>
      </c>
    </row>
    <row r="112" spans="1:32" ht="15.75" customHeight="1">
      <c r="D112" s="36" t="s">
        <v>8</v>
      </c>
      <c r="F112" s="27">
        <f>+[1]GRUPO!F112</f>
        <v>-4.4917523685174734</v>
      </c>
      <c r="G112" s="28">
        <f>+[1]GRUPO!G112</f>
        <v>0.67236373096305901</v>
      </c>
      <c r="H112" s="29" t="str">
        <f t="shared" si="27"/>
        <v>---</v>
      </c>
      <c r="L112" s="26" t="str">
        <f>+IF($B$3="esp","Campaña Sur","South Campaign")</f>
        <v>South Campaign</v>
      </c>
      <c r="N112" s="27">
        <f>+[1]EDUCACIÓN!F101</f>
        <v>32.216883118917288</v>
      </c>
      <c r="O112" s="28">
        <f>+[1]EDUCACIÓN!G101</f>
        <v>86.269386014034055</v>
      </c>
      <c r="P112" s="29">
        <f t="shared" ref="P112:P118" si="28">IF(O112=0,"---",IF(OR(ABS((N112-O112)/ABS(O112))&gt;9,(N112*O112)&lt;0),"---",IF(O112="0","---",((N112-O112)/ABS(O112)))))</f>
        <v>-0.62655485789969179</v>
      </c>
    </row>
    <row r="113" spans="1:16" ht="15.75" customHeight="1">
      <c r="D113" s="36" t="s">
        <v>9</v>
      </c>
      <c r="F113" s="27">
        <f>+[1]GRUPO!F113</f>
        <v>-2.9834017125054126</v>
      </c>
      <c r="G113" s="28">
        <f>+[1]GRUPO!G113</f>
        <v>-5.967033753735322</v>
      </c>
      <c r="H113" s="29">
        <f t="shared" si="27"/>
        <v>0.50001930010236262</v>
      </c>
      <c r="L113" s="36" t="str">
        <f>+IF($B$3="esp","Brasil","Brazil")</f>
        <v>Brazil</v>
      </c>
      <c r="N113" s="27">
        <f>+[1]EDUCACIÓN!F102</f>
        <v>4.2448749583611507</v>
      </c>
      <c r="O113" s="28">
        <f>+[1]EDUCACIÓN!G102</f>
        <v>31.956628357790478</v>
      </c>
      <c r="P113" s="29">
        <f t="shared" si="28"/>
        <v>-0.86716762135119541</v>
      </c>
    </row>
    <row r="114" spans="1:16" ht="15.75" customHeight="1">
      <c r="A114" s="62"/>
      <c r="D114" s="26" t="str">
        <f>+IF($B$3="esp","Otros","Other")</f>
        <v>Other</v>
      </c>
      <c r="F114" s="27">
        <f>+[1]GRUPO!F114</f>
        <v>-3.457741830000197</v>
      </c>
      <c r="G114" s="28">
        <f>+[1]GRUPO!G114</f>
        <v>-1.0432239000000578</v>
      </c>
      <c r="H114" s="29">
        <f t="shared" si="27"/>
        <v>-2.314477198998226</v>
      </c>
      <c r="L114" s="36" t="str">
        <f>+IF($B$3="esp","Otros países","Other countries")</f>
        <v>Other countries</v>
      </c>
      <c r="N114" s="27">
        <f>+[1]EDUCACIÓN!F103</f>
        <v>27.972008160556136</v>
      </c>
      <c r="O114" s="28">
        <f>+[1]EDUCACIÓN!G103</f>
        <v>54.312757656243576</v>
      </c>
      <c r="P114" s="29">
        <f t="shared" si="28"/>
        <v>-0.48498273025286931</v>
      </c>
    </row>
    <row r="115" spans="1:16">
      <c r="L115" s="26" t="str">
        <f>+IF($B$3="esp","Campaña Norte","North Campaign")</f>
        <v>North Campaign</v>
      </c>
      <c r="N115" s="27">
        <f>+[1]EDUCACIÓN!F104</f>
        <v>-3.9545193032982482</v>
      </c>
      <c r="O115" s="28">
        <f>+[1]EDUCACIÓN!G104</f>
        <v>-4.1395167187283688</v>
      </c>
      <c r="P115" s="29">
        <f t="shared" si="28"/>
        <v>4.4690582983549478E-2</v>
      </c>
    </row>
    <row r="116" spans="1:16">
      <c r="D116" s="15" t="str">
        <f>+IF($B$3="esp","EBITDA sin indemnizaciones","EBITDA ex severance expenses")</f>
        <v>EBITDA ex severance expenses</v>
      </c>
      <c r="F116" s="16"/>
      <c r="G116" s="16"/>
      <c r="H116" s="16"/>
      <c r="L116" s="36" t="str">
        <f>+IF($B$3="esp","México","Mexico")</f>
        <v>Mexico</v>
      </c>
      <c r="N116" s="27">
        <f>+[1]EDUCACIÓN!F105</f>
        <v>-2.1061937203303116</v>
      </c>
      <c r="O116" s="28">
        <f>+[1]EDUCACIÓN!G105</f>
        <v>-3.6579748690459235</v>
      </c>
      <c r="P116" s="29">
        <f t="shared" si="28"/>
        <v>0.42421864672907089</v>
      </c>
    </row>
    <row r="117" spans="1:16" ht="15.75" customHeight="1">
      <c r="D117" s="18" t="str">
        <f>+IF($B$3="esp","GRUPO","GROUP")</f>
        <v>GROUP</v>
      </c>
      <c r="E117" s="17"/>
      <c r="F117" s="19">
        <f>+[1]GRUPO!F117</f>
        <v>17.08371216388354</v>
      </c>
      <c r="G117" s="20">
        <f>+[1]GRUPO!G117</f>
        <v>66.246658934930124</v>
      </c>
      <c r="H117" s="21">
        <f>IF(G117=0,"---",IF(OR(ABS((F117-G117)/ABS(G117))&gt;9,(F117*G117)&lt;0),"---",IF(G117="0","---",((F117-G117)/ABS(G117)))))</f>
        <v>-0.74211964137446107</v>
      </c>
      <c r="L117" s="36" t="str">
        <f>+IF($B$3="esp","Otros países","Other countries")</f>
        <v>Other countries</v>
      </c>
      <c r="N117" s="27">
        <f>+[1]EDUCACIÓN!F106</f>
        <v>-1.8483255829679366</v>
      </c>
      <c r="O117" s="28">
        <f>+[1]EDUCACIÓN!G106</f>
        <v>-0.48154184968244529</v>
      </c>
      <c r="P117" s="29">
        <f t="shared" si="28"/>
        <v>-2.8383488043392746</v>
      </c>
    </row>
    <row r="118" spans="1:16" ht="15.75" customHeight="1">
      <c r="D118" s="26" t="str">
        <f>+IF($B$3="esp","Educación","Education")</f>
        <v>Education</v>
      </c>
      <c r="F118" s="27">
        <f>+[1]GRUPO!F118</f>
        <v>24.540263168747227</v>
      </c>
      <c r="G118" s="28">
        <f>+[1]GRUPO!G118</f>
        <v>71.097754165420838</v>
      </c>
      <c r="H118" s="29">
        <f t="shared" ref="H118:H122" si="29">IF(G118=0,"---",IF(OR(ABS((F118-G118)/ABS(G118))&gt;9,(F118*G118)&lt;0),"---",IF(G118="0","---",((F118-G118)/ABS(G118)))))</f>
        <v>-0.6548377166506526</v>
      </c>
      <c r="L118" s="26" t="str">
        <f>+IF($B$3="esp","Tecnología Educativa global y Centro Corpor.","Global Educational IT &amp; HQ")</f>
        <v>Global Educational IT &amp; HQ</v>
      </c>
      <c r="N118" s="27">
        <f>+[1]EDUCACIÓN!F107</f>
        <v>-5.7220812599999986</v>
      </c>
      <c r="O118" s="28">
        <f>+[1]EDUCACIÓN!G107</f>
        <v>-5.9183275100000001</v>
      </c>
      <c r="P118" s="29">
        <f t="shared" si="28"/>
        <v>3.3159072333934003E-2</v>
      </c>
    </row>
    <row r="119" spans="1:16" ht="15.75" customHeight="1">
      <c r="D119" s="26" t="str">
        <f>+IF($B$3="esp","Media","Media")</f>
        <v>Media</v>
      </c>
      <c r="F119" s="27">
        <f>+[1]GRUPO!F119</f>
        <v>-4.7590224848634897</v>
      </c>
      <c r="G119" s="28">
        <f>+[1]GRUPO!G119</f>
        <v>-4.2626351804906513</v>
      </c>
      <c r="H119" s="29">
        <f t="shared" si="29"/>
        <v>-0.11645080645060074</v>
      </c>
    </row>
    <row r="120" spans="1:16" ht="15.75" customHeight="1">
      <c r="D120" s="36" t="s">
        <v>8</v>
      </c>
      <c r="F120" s="27">
        <f>+[1]GRUPO!F120</f>
        <v>-3.3255692219018642</v>
      </c>
      <c r="G120" s="28">
        <f>+[1]GRUPO!G120</f>
        <v>0.89070439190165562</v>
      </c>
      <c r="H120" s="29" t="str">
        <f t="shared" si="29"/>
        <v>---</v>
      </c>
      <c r="L120" s="15" t="str">
        <f>+IF($B$3="esp","EBITDA sin indemnizaciones","EBITDA ex severance expenses")</f>
        <v>EBITDA ex severance expenses</v>
      </c>
      <c r="N120" s="16"/>
      <c r="O120" s="16"/>
      <c r="P120" s="16"/>
    </row>
    <row r="121" spans="1:16" ht="15.75" customHeight="1">
      <c r="D121" s="36" t="s">
        <v>9</v>
      </c>
      <c r="F121" s="27">
        <f>+[1]GRUPO!F121</f>
        <v>-1.1838094929616128</v>
      </c>
      <c r="G121" s="28">
        <f>+[1]GRUPO!G121</f>
        <v>-5.1533395723923316</v>
      </c>
      <c r="H121" s="29">
        <f t="shared" si="29"/>
        <v>0.77028304144683912</v>
      </c>
      <c r="L121" s="18" t="str">
        <f>+IF($B$3="esp","Total Santillana","Santillana Total")</f>
        <v>Santillana Total</v>
      </c>
      <c r="M121" s="17"/>
      <c r="N121" s="19">
        <f>+[1]EDUCACIÓN!F110</f>
        <v>24.540263168747227</v>
      </c>
      <c r="O121" s="20">
        <f>+[1]EDUCACIÓN!G110</f>
        <v>71.097754165420838</v>
      </c>
      <c r="P121" s="21">
        <f>IF(O121=0,"---",IF(OR(ABS((N121-O121)/ABS(O121))&gt;9,(N121*O121)&lt;0),"---",IF(O121="0","---",((N121-O121)/ABS(O121)))))</f>
        <v>-0.6548377166506526</v>
      </c>
    </row>
    <row r="122" spans="1:16" ht="15.75" customHeight="1">
      <c r="A122" s="62"/>
      <c r="D122" s="26" t="str">
        <f>+IF($B$3="esp","Otros","Other")</f>
        <v>Other</v>
      </c>
      <c r="F122" s="27">
        <f>+[1]GRUPO!F122</f>
        <v>-2.6975285200001977</v>
      </c>
      <c r="G122" s="28">
        <f>+[1]GRUPO!G122</f>
        <v>-0.5884600500000623</v>
      </c>
      <c r="H122" s="29">
        <f t="shared" si="29"/>
        <v>-3.5840469884062855</v>
      </c>
      <c r="L122" s="26" t="str">
        <f>+IF($B$3="esp","Campaña Sur","South Campaign")</f>
        <v>South Campaign</v>
      </c>
      <c r="N122" s="27">
        <f>+[1]EDUCACIÓN!F111</f>
        <v>32.961059019088005</v>
      </c>
      <c r="O122" s="28">
        <f>+[1]EDUCACIÓN!G111</f>
        <v>86.907547078354142</v>
      </c>
      <c r="P122" s="29">
        <f t="shared" ref="P122:P128" si="30">IF(O122=0,"---",IF(OR(ABS((N122-O122)/ABS(O122))&gt;9,(N122*O122)&lt;0),"---",IF(O122="0","---",((N122-O122)/ABS(O122)))))</f>
        <v>-0.62073421552939512</v>
      </c>
    </row>
    <row r="123" spans="1:16">
      <c r="L123" s="36" t="str">
        <f>+IF($B$3="esp","Brasil","Brazil")</f>
        <v>Brazil</v>
      </c>
      <c r="N123" s="27">
        <f>+[1]EDUCACIÓN!F112</f>
        <v>4.4989553089565222</v>
      </c>
      <c r="O123" s="28">
        <f>+[1]EDUCACIÓN!G112</f>
        <v>32.438351011919984</v>
      </c>
      <c r="P123" s="29">
        <f t="shared" si="30"/>
        <v>-0.86130752123302112</v>
      </c>
    </row>
    <row r="124" spans="1:16">
      <c r="L124" s="36" t="str">
        <f>+IF($B$3="esp","Otros países","Other countries")</f>
        <v>Other countries</v>
      </c>
      <c r="N124" s="27">
        <f>+[1]EDUCACIÓN!F113</f>
        <v>28.462103710131483</v>
      </c>
      <c r="O124" s="28">
        <f>+[1]EDUCACIÓN!G113</f>
        <v>54.469196066434158</v>
      </c>
      <c r="P124" s="29">
        <f t="shared" si="30"/>
        <v>-0.47746422261460847</v>
      </c>
    </row>
    <row r="125" spans="1:16">
      <c r="L125" s="26" t="str">
        <f>+IF($B$3="esp","Campaña Norte","North Campaign")</f>
        <v>North Campaign</v>
      </c>
      <c r="N125" s="27">
        <f>+[1]EDUCACIÓN!F114</f>
        <v>-3.3953149549080948</v>
      </c>
      <c r="O125" s="28">
        <f>+[1]EDUCACIÓN!G114</f>
        <v>-4.0860775108249436</v>
      </c>
      <c r="P125" s="29">
        <f t="shared" si="30"/>
        <v>0.16905272944207803</v>
      </c>
    </row>
    <row r="126" spans="1:16">
      <c r="L126" s="36" t="str">
        <f>+IF($B$3="esp","México","Mexico")</f>
        <v>Mexico</v>
      </c>
      <c r="N126" s="27">
        <f>+[1]EDUCACIÓN!F115</f>
        <v>-2.0082596437293474</v>
      </c>
      <c r="O126" s="28">
        <f>+[1]EDUCACIÓN!G115</f>
        <v>-3.6044807032483868</v>
      </c>
      <c r="P126" s="29">
        <f t="shared" si="30"/>
        <v>0.44284355804166525</v>
      </c>
    </row>
    <row r="127" spans="1:16">
      <c r="L127" s="36" t="str">
        <f>+IF($B$3="esp","Otros países","Other countries")</f>
        <v>Other countries</v>
      </c>
      <c r="N127" s="27">
        <f>+[1]EDUCACIÓN!F116</f>
        <v>-1.3870553111787474</v>
      </c>
      <c r="O127" s="28">
        <f>+[1]EDUCACIÓN!G116</f>
        <v>-0.48159680757655687</v>
      </c>
      <c r="P127" s="29">
        <f t="shared" si="30"/>
        <v>-1.8801173291794602</v>
      </c>
    </row>
    <row r="128" spans="1:16">
      <c r="L128" s="26" t="str">
        <f>+IF($B$3="esp","Tecnología Educativa global y Centro Corpor.","Global Educational IT &amp; HQ")</f>
        <v>Global Educational IT &amp; HQ</v>
      </c>
      <c r="N128" s="27">
        <f>+[1]EDUCACIÓN!F117</f>
        <v>-5.7215623999999989</v>
      </c>
      <c r="O128" s="28">
        <f>+[1]EDUCACIÓN!G117</f>
        <v>-5.9183275100000001</v>
      </c>
      <c r="P128" s="29">
        <f t="shared" si="30"/>
        <v>3.3246742372322884E-2</v>
      </c>
    </row>
    <row r="129" spans="1:16" ht="15.75" customHeight="1"/>
    <row r="130" spans="1:16" ht="15.75" customHeight="1"/>
    <row r="131" spans="1:16" ht="15.75" customHeight="1">
      <c r="D131" s="63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31" s="10"/>
      <c r="F131" s="11" t="str">
        <f>+$F$6</f>
        <v>JANUARY - MARCH</v>
      </c>
      <c r="G131" s="11"/>
      <c r="H131" s="11"/>
      <c r="L131" s="63" t="str">
        <f>+IF($B$3="esp","Resultados por Campaña                                                                                                        a tipo de cambio constante","Perfomance by Campaign on constant currency")</f>
        <v>Perfomance by Campaign on constant currency</v>
      </c>
      <c r="M131" s="10"/>
      <c r="N131" s="11" t="str">
        <f>+$F$6</f>
        <v>JANUARY - MARCH</v>
      </c>
      <c r="O131" s="12"/>
      <c r="P131" s="12"/>
    </row>
    <row r="132" spans="1:16" ht="15.75" customHeight="1">
      <c r="D132" s="64"/>
      <c r="E132" s="10"/>
      <c r="F132" s="10"/>
      <c r="G132" s="10"/>
      <c r="H132" s="10"/>
      <c r="L132" s="64"/>
      <c r="M132" s="10"/>
      <c r="N132" s="10"/>
      <c r="O132" s="10"/>
      <c r="P132" s="10"/>
    </row>
    <row r="133" spans="1:16" ht="15.75" customHeight="1">
      <c r="D133" s="13" t="str">
        <f>+IF($B$3="esp","Millones de €","€ Millions")</f>
        <v>€ Millions</v>
      </c>
      <c r="E133" s="10"/>
      <c r="F133" s="14">
        <v>2021</v>
      </c>
      <c r="G133" s="14">
        <v>2020</v>
      </c>
      <c r="H133" s="14" t="str">
        <f>+IF($B$3="esp","Var.","Chg.")</f>
        <v>Chg.</v>
      </c>
      <c r="L133" s="13" t="str">
        <f>+IF($B$3="esp","Millones de €","€ Millions")</f>
        <v>€ Millions</v>
      </c>
      <c r="M133" s="10"/>
      <c r="N133" s="14">
        <v>2021</v>
      </c>
      <c r="O133" s="14">
        <v>2020</v>
      </c>
      <c r="P133" s="14" t="str">
        <f>+IF($B$3="esp","Var.","Chg.")</f>
        <v>Chg.</v>
      </c>
    </row>
    <row r="134" spans="1:16" ht="15.75" customHeight="1">
      <c r="A134" s="62"/>
      <c r="D134" s="15" t="str">
        <f>+IF($B$3="esp","Ingresos de Explotación a tipo constante","Operating Revenues on constant currency")</f>
        <v>Operating Revenues on constant currency</v>
      </c>
      <c r="F134" s="16"/>
      <c r="G134" s="16"/>
      <c r="H134" s="16"/>
      <c r="L134" s="15" t="str">
        <f>+IF($B$3="esp","Ingresos de Explotación a tipo constante","Operating Revenues on constant currency")</f>
        <v>Operating Revenues on constant currency</v>
      </c>
      <c r="N134" s="16"/>
      <c r="O134" s="16"/>
      <c r="P134" s="16"/>
    </row>
    <row r="135" spans="1:16">
      <c r="D135" s="18" t="str">
        <f>+IF($B$3="esp","GRUPO","GROUP")</f>
        <v>GROUP</v>
      </c>
      <c r="E135" s="17"/>
      <c r="F135" s="19">
        <f>+[1]GRUPO!F129</f>
        <v>178.59112042110573</v>
      </c>
      <c r="G135" s="20">
        <f>+[1]GRUPO!G129</f>
        <v>261.19907899086581</v>
      </c>
      <c r="H135" s="21">
        <f>IF(G135=0,"---",IF(OR(ABS((F135-G135)/ABS(G135))&gt;9,(F135*G135)&lt;0),"---",IF(G135="0","---",((F135-G135)/ABS(G135)))))</f>
        <v>-0.31626435624854904</v>
      </c>
      <c r="L135" s="18" t="str">
        <f>+IF($B$3="esp","Total Santillana","Santillana Total")</f>
        <v>Santillana Total</v>
      </c>
      <c r="M135" s="17"/>
      <c r="N135" s="19">
        <f>+[1]EDUCACIÓN!F124</f>
        <v>101.50351165607286</v>
      </c>
      <c r="O135" s="20">
        <f>+[1]EDUCACIÓN!G124</f>
        <v>176.5828878332112</v>
      </c>
      <c r="P135" s="21">
        <f>IF(O135=0,"---",IF(OR(ABS((N135-O135)/ABS(O135))&gt;9,(N135*O135)&lt;0),"---",IF(O135="0","---",((N135-O135)/ABS(O135)))))</f>
        <v>-0.42517922941691538</v>
      </c>
    </row>
    <row r="136" spans="1:16">
      <c r="D136" s="26" t="str">
        <f>+IF($B$3="esp","Educación","Education")</f>
        <v>Education</v>
      </c>
      <c r="F136" s="27">
        <f>+[1]GRUPO!F130</f>
        <v>101.50351165607286</v>
      </c>
      <c r="G136" s="28">
        <f>+[1]GRUPO!G130</f>
        <v>176.5828878332112</v>
      </c>
      <c r="H136" s="29">
        <f t="shared" ref="H136:H140" si="31">IF(G136=0,"---",IF(OR(ABS((F136-G136)/ABS(G136))&gt;9,(F136*G136)&lt;0),"---",IF(G136="0","---",((F136-G136)/ABS(G136)))))</f>
        <v>-0.42517922941691538</v>
      </c>
      <c r="L136" s="26" t="str">
        <f>+IF($B$3="esp","Campaña Sur","South Campaign")</f>
        <v>South Campaign</v>
      </c>
      <c r="N136" s="27">
        <f>+[1]EDUCACIÓN!F125</f>
        <v>92.860199907264189</v>
      </c>
      <c r="O136" s="28">
        <f>+[1]EDUCACIÓN!G125</f>
        <v>162.07996587334992</v>
      </c>
      <c r="P136" s="29">
        <f t="shared" ref="P136:P142" si="32">IF(O136=0,"---",IF(OR(ABS((N136-O136)/ABS(O136))&gt;9,(N136*O136)&lt;0),"---",IF(O136="0","---",((N136-O136)/ABS(O136)))))</f>
        <v>-0.42707169632657993</v>
      </c>
    </row>
    <row r="137" spans="1:16" ht="15.75" customHeight="1">
      <c r="D137" s="26" t="str">
        <f>+IF($B$3="esp","Media","Media")</f>
        <v>Media</v>
      </c>
      <c r="F137" s="27">
        <f>+[1]GRUPO!F131</f>
        <v>77.539003674392134</v>
      </c>
      <c r="G137" s="28">
        <f>+[1]GRUPO!G131</f>
        <v>84.859654484298744</v>
      </c>
      <c r="H137" s="29">
        <f t="shared" si="31"/>
        <v>-8.6267742361137253E-2</v>
      </c>
      <c r="L137" s="36" t="str">
        <f>+IF($B$3="esp","Brasil","Brazil")</f>
        <v>Brazil</v>
      </c>
      <c r="N137" s="27">
        <f>+[1]EDUCACIÓN!F126</f>
        <v>31.823898888755956</v>
      </c>
      <c r="O137" s="28">
        <f>+[1]EDUCACIÓN!G126</f>
        <v>68.393471026145093</v>
      </c>
      <c r="P137" s="29">
        <f t="shared" si="32"/>
        <v>-0.53469390555436958</v>
      </c>
    </row>
    <row r="138" spans="1:16" ht="15.75" customHeight="1">
      <c r="D138" s="36" t="s">
        <v>8</v>
      </c>
      <c r="F138" s="27">
        <f>+[1]GRUPO!F132</f>
        <v>41.757643405448981</v>
      </c>
      <c r="G138" s="28">
        <f>+[1]GRUPO!G132</f>
        <v>47.354662346819083</v>
      </c>
      <c r="H138" s="29">
        <f t="shared" si="31"/>
        <v>-0.11819361946619532</v>
      </c>
      <c r="L138" s="36" t="str">
        <f>+IF($B$3="esp","Otros países","Other countries")</f>
        <v>Other countries</v>
      </c>
      <c r="N138" s="27">
        <f>+[1]EDUCACIÓN!F127</f>
        <v>61.036301018508233</v>
      </c>
      <c r="O138" s="28">
        <f>+[1]EDUCACIÓN!G127</f>
        <v>93.686494847204827</v>
      </c>
      <c r="P138" s="29">
        <f t="shared" si="32"/>
        <v>-0.34850480725046279</v>
      </c>
    </row>
    <row r="139" spans="1:16" ht="15.75" customHeight="1">
      <c r="D139" s="36" t="s">
        <v>9</v>
      </c>
      <c r="F139" s="27">
        <f>+[1]GRUPO!F133</f>
        <v>40.01682354716818</v>
      </c>
      <c r="G139" s="28">
        <f>+[1]GRUPO!G133</f>
        <v>41.695034774625768</v>
      </c>
      <c r="H139" s="29">
        <f t="shared" si="31"/>
        <v>-4.0249666094028358E-2</v>
      </c>
      <c r="L139" s="26" t="str">
        <f>+IF($B$3="esp","Campaña Norte","North Campaign")</f>
        <v>North Campaign</v>
      </c>
      <c r="N139" s="27">
        <f>+[1]EDUCACIÓN!F128</f>
        <v>7.3109837346511446</v>
      </c>
      <c r="O139" s="28">
        <f>+[1]EDUCACIÓN!G128</f>
        <v>14.235675611701637</v>
      </c>
      <c r="P139" s="29">
        <f t="shared" si="32"/>
        <v>-0.48643226116774108</v>
      </c>
    </row>
    <row r="140" spans="1:16" ht="15.75" customHeight="1">
      <c r="D140" s="26" t="str">
        <f>+IF($B$3="esp","Otros","Other")</f>
        <v>Other</v>
      </c>
      <c r="F140" s="27">
        <f>+[1]GRUPO!F134</f>
        <v>-0.45139490935926574</v>
      </c>
      <c r="G140" s="28">
        <f>+[1]GRUPO!G134</f>
        <v>-0.24346332664413239</v>
      </c>
      <c r="H140" s="29">
        <f t="shared" si="31"/>
        <v>-0.8540571000209185</v>
      </c>
      <c r="L140" s="36" t="str">
        <f>+IF($B$3="esp","México","Mexico")</f>
        <v>Mexico</v>
      </c>
      <c r="N140" s="27">
        <f>+[1]EDUCACIÓN!F129</f>
        <v>6.4414647387923374</v>
      </c>
      <c r="O140" s="28">
        <f>+[1]EDUCACIÓN!G129</f>
        <v>7.446241874649302</v>
      </c>
      <c r="P140" s="29">
        <f t="shared" si="32"/>
        <v>-0.13493748293051344</v>
      </c>
    </row>
    <row r="141" spans="1:16" ht="15.75" customHeight="1">
      <c r="L141" s="36" t="str">
        <f>+IF($B$3="esp","Otros países","Other countries")</f>
        <v>Other countries</v>
      </c>
      <c r="N141" s="27">
        <f>+[1]EDUCACIÓN!F130</f>
        <v>0.86951899585880721</v>
      </c>
      <c r="O141" s="28">
        <f>+[1]EDUCACIÓN!G130</f>
        <v>6.7894337370523354</v>
      </c>
      <c r="P141" s="29">
        <f t="shared" si="32"/>
        <v>-0.87193055716656676</v>
      </c>
    </row>
    <row r="142" spans="1:16" ht="15.75" customHeight="1">
      <c r="A142" s="62"/>
      <c r="D142" s="15" t="str">
        <f>+IF($B$3="esp","EBITDA a tipo constante","EBITDA on constant currency")</f>
        <v>EBITDA on constant currency</v>
      </c>
      <c r="F142" s="16"/>
      <c r="G142" s="16"/>
      <c r="H142" s="16"/>
      <c r="L142" s="26" t="str">
        <f>+IF($B$3="esp","Tecnología Educativa global y Centro Corpor.","Global Educational IT &amp; HQ")</f>
        <v>Global Educational IT &amp; HQ</v>
      </c>
      <c r="N142" s="27">
        <f>+[1]EDUCACIÓN!F131</f>
        <v>1.3326787200000001</v>
      </c>
      <c r="O142" s="28">
        <f>+[1]EDUCACIÓN!G131</f>
        <v>0.28194768000000009</v>
      </c>
      <c r="P142" s="29">
        <f t="shared" si="32"/>
        <v>3.7266880153083712</v>
      </c>
    </row>
    <row r="143" spans="1:16">
      <c r="D143" s="18" t="str">
        <f>+IF($B$3="esp","GRUPO","GROUP")</f>
        <v>GROUP</v>
      </c>
      <c r="E143" s="17"/>
      <c r="F143" s="19">
        <f>+[1]GRUPO!F137</f>
        <v>18.761916392892445</v>
      </c>
      <c r="G143" s="20">
        <f>+[1]GRUPO!G137</f>
        <v>64.068279582309103</v>
      </c>
      <c r="H143" s="21">
        <f>IF(G143=0,"---",IF(OR(ABS((F143-G143)/ABS(G143))&gt;9,(F143*G143)&lt;0),"---",IF(G143="0","---",((F143-G143)/ABS(G143)))))</f>
        <v>-0.70715748081250041</v>
      </c>
    </row>
    <row r="144" spans="1:16">
      <c r="D144" s="26" t="str">
        <f>+IF($B$3="esp","Educación","Education")</f>
        <v>Education</v>
      </c>
      <c r="F144" s="27">
        <f>+[1]GRUPO!F138</f>
        <v>30.016583952717475</v>
      </c>
      <c r="G144" s="28">
        <f>+[1]GRUPO!G138</f>
        <v>70.406173505081398</v>
      </c>
      <c r="H144" s="29">
        <f t="shared" ref="H144:H148" si="33">IF(G144=0,"---",IF(OR(ABS((F144-G144)/ABS(G144))&gt;9,(F144*G144)&lt;0),"---",IF(G144="0","---",((F144-G144)/ABS(G144)))))</f>
        <v>-0.5736654549114063</v>
      </c>
      <c r="L144" s="15" t="str">
        <f>+IF($B$3="esp","EBITDA a tipo constante","EBITDA on constant currency")</f>
        <v>EBITDA on constant currency</v>
      </c>
      <c r="N144" s="16"/>
      <c r="O144" s="16"/>
      <c r="P144" s="16"/>
    </row>
    <row r="145" spans="1:16" ht="15.75" customHeight="1">
      <c r="D145" s="26" t="str">
        <f>+IF($B$3="esp","Media","Media")</f>
        <v>Media</v>
      </c>
      <c r="F145" s="27">
        <f>+[1]GRUPO!F139</f>
        <v>-7.7969257298248307</v>
      </c>
      <c r="G145" s="28">
        <f>+[1]GRUPO!G139</f>
        <v>-5.2946700227722374</v>
      </c>
      <c r="H145" s="29">
        <f t="shared" si="33"/>
        <v>-0.47259899036020314</v>
      </c>
      <c r="L145" s="18" t="str">
        <f>+IF($B$3="esp","Total Santillana","Santillana Total")</f>
        <v>Santillana Total</v>
      </c>
      <c r="M145" s="17"/>
      <c r="N145" s="19">
        <f>+[1]EDUCACIÓN!F134</f>
        <v>30.016583952717475</v>
      </c>
      <c r="O145" s="20">
        <f>+[1]EDUCACIÓN!G134</f>
        <v>70.406173505081398</v>
      </c>
      <c r="P145" s="21">
        <f>IF(O145=0,"---",IF(OR(ABS((N145-O145)/ABS(O145))&gt;9,(N145*O145)&lt;0),"---",IF(O145="0","---",((N145-O145)/ABS(O145)))))</f>
        <v>-0.5736654549114063</v>
      </c>
    </row>
    <row r="146" spans="1:16" ht="15.75" customHeight="1">
      <c r="D146" s="36" t="s">
        <v>8</v>
      </c>
      <c r="F146" s="27">
        <f>+[1]GRUPO!F140</f>
        <v>-4.8655863833245627</v>
      </c>
      <c r="G146" s="28">
        <f>+[1]GRUPO!G140</f>
        <v>0.67236373096305901</v>
      </c>
      <c r="H146" s="29" t="str">
        <f t="shared" si="33"/>
        <v>---</v>
      </c>
      <c r="L146" s="26" t="str">
        <f>+IF($B$3="esp","Campaña Sur","South Campaign")</f>
        <v>South Campaign</v>
      </c>
      <c r="N146" s="27">
        <f>+[1]EDUCACIÓN!F135</f>
        <v>39.453516832759838</v>
      </c>
      <c r="O146" s="28">
        <f>+[1]EDUCACIÓN!G135</f>
        <v>86.269386014034055</v>
      </c>
      <c r="P146" s="29">
        <f t="shared" ref="P146:P152" si="34">IF(O146=0,"---",IF(OR(ABS((N146-O146)/ABS(O146))&gt;9,(N146*O146)&lt;0),"---",IF(O146="0","---",((N146-O146)/ABS(O146)))))</f>
        <v>-0.54267071257071831</v>
      </c>
    </row>
    <row r="147" spans="1:16" ht="15.75" customHeight="1">
      <c r="D147" s="36" t="s">
        <v>9</v>
      </c>
      <c r="F147" s="27">
        <f>+[1]GRUPO!F141</f>
        <v>-2.9313393465002533</v>
      </c>
      <c r="G147" s="28">
        <f>+[1]GRUPO!G141</f>
        <v>-5.967033753735322</v>
      </c>
      <c r="H147" s="29">
        <f t="shared" si="33"/>
        <v>0.50874429951644651</v>
      </c>
      <c r="L147" s="36" t="str">
        <f>+IF($B$3="esp","Brasil","Brazil")</f>
        <v>Brazil</v>
      </c>
      <c r="N147" s="27">
        <f>+[1]EDUCACIÓN!F136</f>
        <v>5.9580415955631247</v>
      </c>
      <c r="O147" s="28">
        <f>+[1]EDUCACIÓN!G136</f>
        <v>31.956628357790478</v>
      </c>
      <c r="P147" s="29">
        <f t="shared" si="34"/>
        <v>-0.81355850408071428</v>
      </c>
    </row>
    <row r="148" spans="1:16" ht="15.75" customHeight="1">
      <c r="D148" s="26" t="str">
        <f>+IF($B$3="esp","Otros","Other")</f>
        <v>Other</v>
      </c>
      <c r="F148" s="27">
        <f>+[1]GRUPO!F142</f>
        <v>-3.4577418300001996</v>
      </c>
      <c r="G148" s="28">
        <f>+[1]GRUPO!G142</f>
        <v>-1.0432239000000578</v>
      </c>
      <c r="H148" s="29">
        <f t="shared" si="33"/>
        <v>-2.3144771989982282</v>
      </c>
      <c r="L148" s="36" t="str">
        <f>+IF($B$3="esp","Otros países","Other countries")</f>
        <v>Other countries</v>
      </c>
      <c r="N148" s="27">
        <f>+[1]EDUCACIÓN!F137</f>
        <v>33.495475237196715</v>
      </c>
      <c r="O148" s="28">
        <f>+[1]EDUCACIÓN!G137</f>
        <v>54.312757656243576</v>
      </c>
      <c r="P148" s="29">
        <f t="shared" si="34"/>
        <v>-0.38328531485739781</v>
      </c>
    </row>
    <row r="149" spans="1:16" ht="15.75" customHeight="1">
      <c r="L149" s="26" t="str">
        <f>+IF($B$3="esp","Campaña Norte","North Campaign")</f>
        <v>North Campaign</v>
      </c>
      <c r="N149" s="27">
        <f>+[1]EDUCACIÓN!F138</f>
        <v>-4.413579050286649</v>
      </c>
      <c r="O149" s="28">
        <f>+[1]EDUCACIÓN!G138</f>
        <v>-4.1395167187283688</v>
      </c>
      <c r="P149" s="29">
        <f t="shared" si="34"/>
        <v>-6.6206359384500868E-2</v>
      </c>
    </row>
    <row r="150" spans="1:16" ht="15.75" customHeight="1">
      <c r="A150" s="62"/>
      <c r="D150" s="15" t="str">
        <f>+IF($B$3="esp","EBITDA sin indemnizaciones a tipo constante","EBITDA ex severance expenses on constant currency")</f>
        <v>EBITDA ex severance expenses on constant currency</v>
      </c>
      <c r="F150" s="16"/>
      <c r="G150" s="16"/>
      <c r="H150" s="16"/>
      <c r="L150" s="36" t="str">
        <f>+IF($B$3="esp","México","Mexico")</f>
        <v>Mexico</v>
      </c>
      <c r="N150" s="27">
        <f>+[1]EDUCACIÓN!F139</f>
        <v>-2.3376047965527333</v>
      </c>
      <c r="O150" s="28">
        <f>+[1]EDUCACIÓN!G139</f>
        <v>-3.6579748690459235</v>
      </c>
      <c r="P150" s="29">
        <f t="shared" si="34"/>
        <v>0.36095657290219996</v>
      </c>
    </row>
    <row r="151" spans="1:16">
      <c r="D151" s="18" t="str">
        <f>+IF($B$3="esp","GRUPO","GROUP")</f>
        <v>GROUP</v>
      </c>
      <c r="E151" s="17"/>
      <c r="F151" s="19">
        <f>+[1]GRUPO!F145</f>
        <v>23.668986682606018</v>
      </c>
      <c r="G151" s="20">
        <f>+[1]GRUPO!G145</f>
        <v>66.246658934930124</v>
      </c>
      <c r="H151" s="21">
        <f>IF(G151=0,"---",IF(OR(ABS((F151-G151)/ABS(G151))&gt;9,(F151*G151)&lt;0),"---",IF(G151="0","---",((F151-G151)/ABS(G151)))))</f>
        <v>-0.64271425815067051</v>
      </c>
      <c r="L151" s="36" t="str">
        <f>+IF($B$3="esp","Otros países","Other countries")</f>
        <v>Other countries</v>
      </c>
      <c r="N151" s="27">
        <f>+[1]EDUCACIÓN!F140</f>
        <v>-2.0759742537339156</v>
      </c>
      <c r="O151" s="28">
        <f>+[1]EDUCACIÓN!G140</f>
        <v>-0.48154184968244529</v>
      </c>
      <c r="P151" s="29">
        <f t="shared" si="34"/>
        <v>-3.311098308699286</v>
      </c>
    </row>
    <row r="152" spans="1:16">
      <c r="D152" s="26" t="str">
        <f>+IF($B$3="esp","Educación","Education")</f>
        <v>Education</v>
      </c>
      <c r="F152" s="27">
        <f>+[1]GRUPO!F146</f>
        <v>31.439803070763404</v>
      </c>
      <c r="G152" s="28">
        <f>+[1]GRUPO!G146</f>
        <v>71.097754165420838</v>
      </c>
      <c r="H152" s="29">
        <f t="shared" ref="H152:H156" si="35">IF(G152=0,"---",IF(OR(ABS((F152-G152)/ABS(G152))&gt;9,(F152*G152)&lt;0),"---",IF(G152="0","---",((F152-G152)/ABS(G152)))))</f>
        <v>-0.55779470899160288</v>
      </c>
      <c r="L152" s="26" t="str">
        <f>+IF($B$3="esp","Tecnología Educativa global y Centro Corpor.","Global Educational IT &amp; HQ")</f>
        <v>Global Educational IT &amp; HQ</v>
      </c>
      <c r="N152" s="27">
        <f>+[1]EDUCACIÓN!F141</f>
        <v>-5.7220812599999986</v>
      </c>
      <c r="O152" s="28">
        <f>+[1]EDUCACIÓN!G141</f>
        <v>-5.9183275100000001</v>
      </c>
      <c r="P152" s="29">
        <f t="shared" si="34"/>
        <v>3.3159072333934003E-2</v>
      </c>
    </row>
    <row r="153" spans="1:16">
      <c r="D153" s="26" t="str">
        <f>+IF($B$3="esp","Media","Media")</f>
        <v>Media</v>
      </c>
      <c r="F153" s="27">
        <f>+[1]GRUPO!F147</f>
        <v>-5.0732878681571911</v>
      </c>
      <c r="G153" s="28">
        <f>+[1]GRUPO!G147</f>
        <v>-4.2626351804906513</v>
      </c>
      <c r="H153" s="29">
        <f t="shared" si="35"/>
        <v>-0.19017641748389774</v>
      </c>
    </row>
    <row r="154" spans="1:16">
      <c r="D154" s="36" t="s">
        <v>8</v>
      </c>
      <c r="F154" s="27">
        <f>+[1]GRUPO!F148</f>
        <v>-3.6923697906013029</v>
      </c>
      <c r="G154" s="28">
        <f>+[1]GRUPO!G148</f>
        <v>0.89070439190165562</v>
      </c>
      <c r="H154" s="29" t="str">
        <f t="shared" si="35"/>
        <v>---</v>
      </c>
      <c r="L154" s="15" t="str">
        <f>+IF($B$3="esp","EBITDA sin indemnizaciones a tipo constante","EBITDA ex severance expenses on constant currency")</f>
        <v>EBITDA ex severance expenses on constant currency</v>
      </c>
      <c r="N154" s="16"/>
      <c r="O154" s="16"/>
      <c r="P154" s="16"/>
    </row>
    <row r="155" spans="1:16">
      <c r="D155" s="36" t="s">
        <v>9</v>
      </c>
      <c r="F155" s="27">
        <f>+[1]GRUPO!F149</f>
        <v>-1.1312743075558749</v>
      </c>
      <c r="G155" s="28">
        <f>+[1]GRUPO!G149</f>
        <v>-5.1533395723923316</v>
      </c>
      <c r="H155" s="29">
        <f t="shared" si="35"/>
        <v>0.78047743765685818</v>
      </c>
      <c r="L155" s="18" t="str">
        <f>+IF($B$3="esp","Total Santillana","Santillana Total")</f>
        <v>Santillana Total</v>
      </c>
      <c r="M155" s="17"/>
      <c r="N155" s="19">
        <f>+[1]EDUCACIÓN!F144</f>
        <v>31.439803070763404</v>
      </c>
      <c r="O155" s="20">
        <f>+[1]EDUCACIÓN!G144</f>
        <v>71.097754165420838</v>
      </c>
      <c r="P155" s="21">
        <f>IF(O155=0,"---",IF(OR(ABS((N155-O155)/ABS(O155))&gt;9,(N155*O155)&lt;0),"---",IF(O155="0","---",((N155-O155)/ABS(O155)))))</f>
        <v>-0.55779470899160288</v>
      </c>
    </row>
    <row r="156" spans="1:16">
      <c r="D156" s="26" t="str">
        <f>+IF($B$3="esp","Otros","Other")</f>
        <v>Other</v>
      </c>
      <c r="F156" s="27">
        <f>+[1]GRUPO!F150</f>
        <v>-2.6975285200001942</v>
      </c>
      <c r="G156" s="28">
        <f>+[1]GRUPO!G150</f>
        <v>-0.5884600500000623</v>
      </c>
      <c r="H156" s="29">
        <f t="shared" si="35"/>
        <v>-3.5840469884062793</v>
      </c>
      <c r="L156" s="26" t="str">
        <f>+IF($B$3="esp","Campaña Sur","South Campaign")</f>
        <v>South Campaign</v>
      </c>
      <c r="N156" s="27">
        <f>+[1]EDUCACIÓN!F145</f>
        <v>40.287481853966682</v>
      </c>
      <c r="O156" s="28">
        <f>+[1]EDUCACIÓN!G145</f>
        <v>86.907547078354142</v>
      </c>
      <c r="P156" s="29">
        <f t="shared" ref="P156:P162" si="36">IF(O156=0,"---",IF(OR(ABS((N156-O156)/ABS(O156))&gt;9,(N156*O156)&lt;0),"---",IF(O156="0","---",((N156-O156)/ABS(O156)))))</f>
        <v>-0.53643287368766401</v>
      </c>
    </row>
    <row r="157" spans="1:16">
      <c r="L157" s="36" t="str">
        <f>+IF($B$3="esp","Brasil","Brazil")</f>
        <v>Brazil</v>
      </c>
      <c r="N157" s="27">
        <f>+[1]EDUCACIÓN!F146</f>
        <v>6.2862698337620682</v>
      </c>
      <c r="O157" s="28">
        <f>+[1]EDUCACIÓN!G146</f>
        <v>32.438351011919984</v>
      </c>
      <c r="P157" s="29">
        <f t="shared" si="36"/>
        <v>-0.80620871167427466</v>
      </c>
    </row>
    <row r="158" spans="1:16">
      <c r="L158" s="36" t="str">
        <f>+IF($B$3="esp","Otros países","Other countries")</f>
        <v>Other countries</v>
      </c>
      <c r="N158" s="27">
        <f>+[1]EDUCACIÓN!F147</f>
        <v>34.001212020204612</v>
      </c>
      <c r="O158" s="28">
        <f>+[1]EDUCACIÓN!G147</f>
        <v>54.469196066434158</v>
      </c>
      <c r="P158" s="29">
        <f t="shared" si="36"/>
        <v>-0.37577173015855542</v>
      </c>
    </row>
    <row r="159" spans="1:16">
      <c r="L159" s="26" t="str">
        <f>+IF($B$3="esp","Campaña Norte","North Campaign")</f>
        <v>North Campaign</v>
      </c>
      <c r="N159" s="27">
        <f>+[1]EDUCACIÓN!F148</f>
        <v>-3.8221978877705887</v>
      </c>
      <c r="O159" s="28">
        <f>+[1]EDUCACIÓN!G148</f>
        <v>-4.0860775108249436</v>
      </c>
      <c r="P159" s="29">
        <f t="shared" si="36"/>
        <v>6.4580180467766007E-2</v>
      </c>
    </row>
    <row r="160" spans="1:16">
      <c r="L160" s="36" t="str">
        <f>+IF($B$3="esp","México","Mexico")</f>
        <v>Mexico</v>
      </c>
      <c r="N160" s="27">
        <f>+[1]EDUCACIÓN!F149</f>
        <v>-2.2254177217653019</v>
      </c>
      <c r="O160" s="28">
        <f>+[1]EDUCACIÓN!G149</f>
        <v>-3.6044807032483868</v>
      </c>
      <c r="P160" s="29">
        <f t="shared" si="36"/>
        <v>0.3825968551420631</v>
      </c>
    </row>
    <row r="161" spans="12:16">
      <c r="L161" s="36" t="str">
        <f>+IF($B$3="esp","Otros países","Other countries")</f>
        <v>Other countries</v>
      </c>
      <c r="N161" s="27">
        <f>+[1]EDUCACIÓN!F150</f>
        <v>-1.5967801660052867</v>
      </c>
      <c r="O161" s="28">
        <f>+[1]EDUCACIÓN!G150</f>
        <v>-0.48159680757655687</v>
      </c>
      <c r="P161" s="29">
        <f t="shared" si="36"/>
        <v>-2.31559541276954</v>
      </c>
    </row>
    <row r="162" spans="12:16">
      <c r="L162" s="26" t="str">
        <f>+IF($B$3="esp","Tecnología Educativa global y Centro Corpor.","Global Educational IT &amp; HQ")</f>
        <v>Global Educational IT &amp; HQ</v>
      </c>
      <c r="N162" s="27">
        <f>+[1]EDUCACIÓN!F151</f>
        <v>-5.7215623999999989</v>
      </c>
      <c r="O162" s="28">
        <f>+[1]EDUCACIÓN!G151</f>
        <v>-5.9183275100000001</v>
      </c>
      <c r="P162" s="29">
        <f t="shared" si="36"/>
        <v>3.3246742372322884E-2</v>
      </c>
    </row>
  </sheetData>
  <mergeCells count="4">
    <mergeCell ref="D97:D98"/>
    <mergeCell ref="L97:L98"/>
    <mergeCell ref="D131:D132"/>
    <mergeCell ref="L131:L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Guelbenzu Robles, Belen</cp:lastModifiedBy>
  <dcterms:created xsi:type="dcterms:W3CDTF">2021-04-28T10:11:33Z</dcterms:created>
  <dcterms:modified xsi:type="dcterms:W3CDTF">2021-04-28T10:15:28Z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