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21\2Q2021\"/>
    </mc:Choice>
  </mc:AlternateContent>
  <xr:revisionPtr revIDLastSave="0" documentId="8_{9E1753D3-9087-48BD-9849-3F59DB15E212}" xr6:coauthVersionLast="47" xr6:coauthVersionMax="47" xr10:uidLastSave="{00000000-0000-0000-0000-000000000000}"/>
  <bookViews>
    <workbookView xWindow="1872" yWindow="348" windowWidth="12492" windowHeight="11376" xr2:uid="{00000000-000D-0000-FFFF-FFFF00000000}"/>
  </bookViews>
  <sheets>
    <sheet name="To Publish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2" i="1" l="1"/>
  <c r="X162" i="1"/>
  <c r="T162" i="1"/>
  <c r="U162" i="1" s="1"/>
  <c r="S162" i="1"/>
  <c r="Q162" i="1"/>
  <c r="Y161" i="1"/>
  <c r="X161" i="1"/>
  <c r="T161" i="1"/>
  <c r="U161" i="1" s="1"/>
  <c r="S161" i="1"/>
  <c r="Q161" i="1"/>
  <c r="Z160" i="1"/>
  <c r="Y160" i="1"/>
  <c r="X160" i="1"/>
  <c r="U160" i="1"/>
  <c r="T160" i="1"/>
  <c r="S160" i="1"/>
  <c r="Q160" i="1"/>
  <c r="Y159" i="1"/>
  <c r="X159" i="1"/>
  <c r="T159" i="1"/>
  <c r="U159" i="1" s="1"/>
  <c r="S159" i="1"/>
  <c r="Q159" i="1"/>
  <c r="Y158" i="1"/>
  <c r="Z158" i="1" s="1"/>
  <c r="X158" i="1"/>
  <c r="T158" i="1"/>
  <c r="S158" i="1"/>
  <c r="U158" i="1" s="1"/>
  <c r="Q158" i="1"/>
  <c r="Y157" i="1"/>
  <c r="X157" i="1"/>
  <c r="T157" i="1"/>
  <c r="U157" i="1" s="1"/>
  <c r="S157" i="1"/>
  <c r="Q157" i="1"/>
  <c r="Y156" i="1"/>
  <c r="Z156" i="1" s="1"/>
  <c r="X156" i="1"/>
  <c r="T156" i="1"/>
  <c r="U156" i="1" s="1"/>
  <c r="S156" i="1"/>
  <c r="Q156" i="1"/>
  <c r="L156" i="1"/>
  <c r="K156" i="1"/>
  <c r="G156" i="1"/>
  <c r="H156" i="1" s="1"/>
  <c r="F156" i="1"/>
  <c r="D156" i="1"/>
  <c r="Y155" i="1"/>
  <c r="X155" i="1"/>
  <c r="T155" i="1"/>
  <c r="S155" i="1"/>
  <c r="Q155" i="1"/>
  <c r="L155" i="1"/>
  <c r="K155" i="1"/>
  <c r="G155" i="1"/>
  <c r="F155" i="1"/>
  <c r="Q154" i="1"/>
  <c r="L154" i="1"/>
  <c r="K154" i="1"/>
  <c r="G154" i="1"/>
  <c r="H154" i="1" s="1"/>
  <c r="F154" i="1"/>
  <c r="M153" i="1"/>
  <c r="L153" i="1"/>
  <c r="K153" i="1"/>
  <c r="G153" i="1"/>
  <c r="F153" i="1"/>
  <c r="H153" i="1" s="1"/>
  <c r="D153" i="1"/>
  <c r="Y152" i="1"/>
  <c r="Z152" i="1" s="1"/>
  <c r="X152" i="1"/>
  <c r="U152" i="1"/>
  <c r="T152" i="1"/>
  <c r="S152" i="1"/>
  <c r="Q152" i="1"/>
  <c r="L152" i="1"/>
  <c r="K152" i="1"/>
  <c r="G152" i="1"/>
  <c r="H152" i="1" s="1"/>
  <c r="F152" i="1"/>
  <c r="D152" i="1"/>
  <c r="Y151" i="1"/>
  <c r="Z151" i="1" s="1"/>
  <c r="X151" i="1"/>
  <c r="T151" i="1"/>
  <c r="S151" i="1"/>
  <c r="Q151" i="1"/>
  <c r="L151" i="1"/>
  <c r="K151" i="1"/>
  <c r="G151" i="1"/>
  <c r="H151" i="1" s="1"/>
  <c r="F151" i="1"/>
  <c r="D151" i="1"/>
  <c r="Y150" i="1"/>
  <c r="X150" i="1"/>
  <c r="Z150" i="1" s="1"/>
  <c r="T150" i="1"/>
  <c r="S150" i="1"/>
  <c r="Q150" i="1"/>
  <c r="D150" i="1"/>
  <c r="Y149" i="1"/>
  <c r="X149" i="1"/>
  <c r="Z149" i="1" s="1"/>
  <c r="T149" i="1"/>
  <c r="U149" i="1" s="1"/>
  <c r="S149" i="1"/>
  <c r="Q149" i="1"/>
  <c r="Y148" i="1"/>
  <c r="Z148" i="1" s="1"/>
  <c r="X148" i="1"/>
  <c r="T148" i="1"/>
  <c r="S148" i="1"/>
  <c r="Q148" i="1"/>
  <c r="L148" i="1"/>
  <c r="K148" i="1"/>
  <c r="G148" i="1"/>
  <c r="F148" i="1"/>
  <c r="D148" i="1"/>
  <c r="Y147" i="1"/>
  <c r="Z147" i="1" s="1"/>
  <c r="X147" i="1"/>
  <c r="T147" i="1"/>
  <c r="S147" i="1"/>
  <c r="U147" i="1" s="1"/>
  <c r="Q147" i="1"/>
  <c r="L147" i="1"/>
  <c r="M147" i="1" s="1"/>
  <c r="K147" i="1"/>
  <c r="G147" i="1"/>
  <c r="H147" i="1" s="1"/>
  <c r="F147" i="1"/>
  <c r="Y146" i="1"/>
  <c r="X146" i="1"/>
  <c r="T146" i="1"/>
  <c r="U146" i="1" s="1"/>
  <c r="S146" i="1"/>
  <c r="Q146" i="1"/>
  <c r="L146" i="1"/>
  <c r="K146" i="1"/>
  <c r="G146" i="1"/>
  <c r="F146" i="1"/>
  <c r="Y145" i="1"/>
  <c r="Z145" i="1" s="1"/>
  <c r="X145" i="1"/>
  <c r="T145" i="1"/>
  <c r="S145" i="1"/>
  <c r="Q145" i="1"/>
  <c r="L145" i="1"/>
  <c r="K145" i="1"/>
  <c r="G145" i="1"/>
  <c r="F145" i="1"/>
  <c r="D145" i="1"/>
  <c r="Q144" i="1"/>
  <c r="L144" i="1"/>
  <c r="M144" i="1" s="1"/>
  <c r="K144" i="1"/>
  <c r="G144" i="1"/>
  <c r="F144" i="1"/>
  <c r="D144" i="1"/>
  <c r="L143" i="1"/>
  <c r="K143" i="1"/>
  <c r="M143" i="1" s="1"/>
  <c r="G143" i="1"/>
  <c r="F143" i="1"/>
  <c r="D143" i="1"/>
  <c r="Z142" i="1"/>
  <c r="Y142" i="1"/>
  <c r="X142" i="1"/>
  <c r="T142" i="1"/>
  <c r="S142" i="1"/>
  <c r="Q142" i="1"/>
  <c r="D142" i="1"/>
  <c r="Z141" i="1"/>
  <c r="Y141" i="1"/>
  <c r="X141" i="1"/>
  <c r="T141" i="1"/>
  <c r="S141" i="1"/>
  <c r="Q141" i="1"/>
  <c r="Y140" i="1"/>
  <c r="X140" i="1"/>
  <c r="T140" i="1"/>
  <c r="S140" i="1"/>
  <c r="Q140" i="1"/>
  <c r="L140" i="1"/>
  <c r="K140" i="1"/>
  <c r="H140" i="1"/>
  <c r="G140" i="1"/>
  <c r="F140" i="1"/>
  <c r="D140" i="1"/>
  <c r="Y139" i="1"/>
  <c r="X139" i="1"/>
  <c r="T139" i="1"/>
  <c r="S139" i="1"/>
  <c r="Q139" i="1"/>
  <c r="L139" i="1"/>
  <c r="K139" i="1"/>
  <c r="G139" i="1"/>
  <c r="F139" i="1"/>
  <c r="Y138" i="1"/>
  <c r="X138" i="1"/>
  <c r="T138" i="1"/>
  <c r="S138" i="1"/>
  <c r="Q138" i="1"/>
  <c r="M138" i="1"/>
  <c r="L138" i="1"/>
  <c r="K138" i="1"/>
  <c r="G138" i="1"/>
  <c r="F138" i="1"/>
  <c r="H138" i="1" s="1"/>
  <c r="Y137" i="1"/>
  <c r="X137" i="1"/>
  <c r="T137" i="1"/>
  <c r="S137" i="1"/>
  <c r="Q137" i="1"/>
  <c r="L137" i="1"/>
  <c r="M137" i="1" s="1"/>
  <c r="K137" i="1"/>
  <c r="G137" i="1"/>
  <c r="F137" i="1"/>
  <c r="D137" i="1"/>
  <c r="Y136" i="1"/>
  <c r="X136" i="1"/>
  <c r="T136" i="1"/>
  <c r="S136" i="1"/>
  <c r="U136" i="1" s="1"/>
  <c r="Q136" i="1"/>
  <c r="L136" i="1"/>
  <c r="K136" i="1"/>
  <c r="G136" i="1"/>
  <c r="F136" i="1"/>
  <c r="D136" i="1"/>
  <c r="Y135" i="1"/>
  <c r="X135" i="1"/>
  <c r="T135" i="1"/>
  <c r="U135" i="1" s="1"/>
  <c r="S135" i="1"/>
  <c r="Q135" i="1"/>
  <c r="L135" i="1"/>
  <c r="K135" i="1"/>
  <c r="G135" i="1"/>
  <c r="F135" i="1"/>
  <c r="D135" i="1"/>
  <c r="Q134" i="1"/>
  <c r="D134" i="1"/>
  <c r="Z133" i="1"/>
  <c r="U133" i="1"/>
  <c r="Q133" i="1"/>
  <c r="M133" i="1"/>
  <c r="H133" i="1"/>
  <c r="D133" i="1"/>
  <c r="Q131" i="1"/>
  <c r="D131" i="1"/>
  <c r="Y128" i="1"/>
  <c r="Z128" i="1" s="1"/>
  <c r="X128" i="1"/>
  <c r="T128" i="1"/>
  <c r="U128" i="1" s="1"/>
  <c r="S128" i="1"/>
  <c r="Q128" i="1"/>
  <c r="Y127" i="1"/>
  <c r="Z127" i="1" s="1"/>
  <c r="X127" i="1"/>
  <c r="T127" i="1"/>
  <c r="U127" i="1" s="1"/>
  <c r="S127" i="1"/>
  <c r="Q127" i="1"/>
  <c r="Y126" i="1"/>
  <c r="X126" i="1"/>
  <c r="T126" i="1"/>
  <c r="U126" i="1" s="1"/>
  <c r="S126" i="1"/>
  <c r="Q126" i="1"/>
  <c r="Y125" i="1"/>
  <c r="X125" i="1"/>
  <c r="Z125" i="1" s="1"/>
  <c r="T125" i="1"/>
  <c r="S125" i="1"/>
  <c r="Q125" i="1"/>
  <c r="Z124" i="1"/>
  <c r="Y124" i="1"/>
  <c r="X124" i="1"/>
  <c r="T124" i="1"/>
  <c r="S124" i="1"/>
  <c r="Q124" i="1"/>
  <c r="Y123" i="1"/>
  <c r="X123" i="1"/>
  <c r="T123" i="1"/>
  <c r="S123" i="1"/>
  <c r="Q123" i="1"/>
  <c r="Y122" i="1"/>
  <c r="Z122" i="1" s="1"/>
  <c r="X122" i="1"/>
  <c r="T122" i="1"/>
  <c r="S122" i="1"/>
  <c r="U122" i="1" s="1"/>
  <c r="Q122" i="1"/>
  <c r="L122" i="1"/>
  <c r="K122" i="1"/>
  <c r="G122" i="1"/>
  <c r="H122" i="1" s="1"/>
  <c r="F122" i="1"/>
  <c r="D122" i="1"/>
  <c r="Y121" i="1"/>
  <c r="Z121" i="1" s="1"/>
  <c r="X121" i="1"/>
  <c r="T121" i="1"/>
  <c r="S121" i="1"/>
  <c r="Q121" i="1"/>
  <c r="L121" i="1"/>
  <c r="M121" i="1" s="1"/>
  <c r="K121" i="1"/>
  <c r="G121" i="1"/>
  <c r="F121" i="1"/>
  <c r="Q120" i="1"/>
  <c r="L120" i="1"/>
  <c r="M120" i="1" s="1"/>
  <c r="K120" i="1"/>
  <c r="G120" i="1"/>
  <c r="F120" i="1"/>
  <c r="H120" i="1" s="1"/>
  <c r="L119" i="1"/>
  <c r="M119" i="1" s="1"/>
  <c r="K119" i="1"/>
  <c r="H119" i="1"/>
  <c r="G119" i="1"/>
  <c r="F119" i="1"/>
  <c r="D119" i="1"/>
  <c r="Y118" i="1"/>
  <c r="X118" i="1"/>
  <c r="T118" i="1"/>
  <c r="S118" i="1"/>
  <c r="Q118" i="1"/>
  <c r="L118" i="1"/>
  <c r="M118" i="1" s="1"/>
  <c r="K118" i="1"/>
  <c r="G118" i="1"/>
  <c r="F118" i="1"/>
  <c r="D118" i="1"/>
  <c r="Y117" i="1"/>
  <c r="X117" i="1"/>
  <c r="T117" i="1"/>
  <c r="U117" i="1" s="1"/>
  <c r="S117" i="1"/>
  <c r="Q117" i="1"/>
  <c r="L117" i="1"/>
  <c r="K117" i="1"/>
  <c r="G117" i="1"/>
  <c r="F117" i="1"/>
  <c r="D117" i="1"/>
  <c r="Y116" i="1"/>
  <c r="Z116" i="1" s="1"/>
  <c r="X116" i="1"/>
  <c r="T116" i="1"/>
  <c r="U116" i="1" s="1"/>
  <c r="S116" i="1"/>
  <c r="Q116" i="1"/>
  <c r="D116" i="1"/>
  <c r="Y115" i="1"/>
  <c r="X115" i="1"/>
  <c r="T115" i="1"/>
  <c r="S115" i="1"/>
  <c r="Q115" i="1"/>
  <c r="Y114" i="1"/>
  <c r="X114" i="1"/>
  <c r="T114" i="1"/>
  <c r="S114" i="1"/>
  <c r="Q114" i="1"/>
  <c r="L114" i="1"/>
  <c r="K114" i="1"/>
  <c r="G114" i="1"/>
  <c r="H114" i="1" s="1"/>
  <c r="F114" i="1"/>
  <c r="D114" i="1"/>
  <c r="Y113" i="1"/>
  <c r="Z113" i="1" s="1"/>
  <c r="X113" i="1"/>
  <c r="T113" i="1"/>
  <c r="U113" i="1" s="1"/>
  <c r="S113" i="1"/>
  <c r="Q113" i="1"/>
  <c r="L113" i="1"/>
  <c r="M113" i="1" s="1"/>
  <c r="K113" i="1"/>
  <c r="G113" i="1"/>
  <c r="H113" i="1" s="1"/>
  <c r="F113" i="1"/>
  <c r="Y112" i="1"/>
  <c r="X112" i="1"/>
  <c r="T112" i="1"/>
  <c r="U112" i="1" s="1"/>
  <c r="S112" i="1"/>
  <c r="Q112" i="1"/>
  <c r="L112" i="1"/>
  <c r="K112" i="1"/>
  <c r="G112" i="1"/>
  <c r="F112" i="1"/>
  <c r="Y111" i="1"/>
  <c r="X111" i="1"/>
  <c r="T111" i="1"/>
  <c r="U111" i="1" s="1"/>
  <c r="S111" i="1"/>
  <c r="Q111" i="1"/>
  <c r="L111" i="1"/>
  <c r="K111" i="1"/>
  <c r="M111" i="1" s="1"/>
  <c r="G111" i="1"/>
  <c r="F111" i="1"/>
  <c r="D111" i="1"/>
  <c r="Q110" i="1"/>
  <c r="L110" i="1"/>
  <c r="K110" i="1"/>
  <c r="M110" i="1" s="1"/>
  <c r="G110" i="1"/>
  <c r="F110" i="1"/>
  <c r="D110" i="1"/>
  <c r="M109" i="1"/>
  <c r="L109" i="1"/>
  <c r="K109" i="1"/>
  <c r="G109" i="1"/>
  <c r="F109" i="1"/>
  <c r="D109" i="1"/>
  <c r="Y108" i="1"/>
  <c r="Z108" i="1" s="1"/>
  <c r="X108" i="1"/>
  <c r="T108" i="1"/>
  <c r="U108" i="1" s="1"/>
  <c r="S108" i="1"/>
  <c r="Q108" i="1"/>
  <c r="D108" i="1"/>
  <c r="Y107" i="1"/>
  <c r="X107" i="1"/>
  <c r="T107" i="1"/>
  <c r="U107" i="1" s="1"/>
  <c r="S107" i="1"/>
  <c r="Q107" i="1"/>
  <c r="Y106" i="1"/>
  <c r="Z106" i="1" s="1"/>
  <c r="X106" i="1"/>
  <c r="T106" i="1"/>
  <c r="S106" i="1"/>
  <c r="U106" i="1" s="1"/>
  <c r="Q106" i="1"/>
  <c r="L106" i="1"/>
  <c r="K106" i="1"/>
  <c r="G106" i="1"/>
  <c r="H106" i="1" s="1"/>
  <c r="F106" i="1"/>
  <c r="D106" i="1"/>
  <c r="Z105" i="1"/>
  <c r="Y105" i="1"/>
  <c r="X105" i="1"/>
  <c r="T105" i="1"/>
  <c r="U105" i="1" s="1"/>
  <c r="S105" i="1"/>
  <c r="Q105" i="1"/>
  <c r="L105" i="1"/>
  <c r="K105" i="1"/>
  <c r="H105" i="1"/>
  <c r="G105" i="1"/>
  <c r="F105" i="1"/>
  <c r="Y104" i="1"/>
  <c r="X104" i="1"/>
  <c r="T104" i="1"/>
  <c r="U104" i="1" s="1"/>
  <c r="S104" i="1"/>
  <c r="Q104" i="1"/>
  <c r="M104" i="1"/>
  <c r="L104" i="1"/>
  <c r="K104" i="1"/>
  <c r="G104" i="1"/>
  <c r="H104" i="1" s="1"/>
  <c r="F104" i="1"/>
  <c r="Y103" i="1"/>
  <c r="X103" i="1"/>
  <c r="Z103" i="1" s="1"/>
  <c r="T103" i="1"/>
  <c r="S103" i="1"/>
  <c r="Q103" i="1"/>
  <c r="M103" i="1"/>
  <c r="L103" i="1"/>
  <c r="K103" i="1"/>
  <c r="G103" i="1"/>
  <c r="H103" i="1" s="1"/>
  <c r="F103" i="1"/>
  <c r="D103" i="1"/>
  <c r="Y102" i="1"/>
  <c r="X102" i="1"/>
  <c r="T102" i="1"/>
  <c r="S102" i="1"/>
  <c r="Q102" i="1"/>
  <c r="L102" i="1"/>
  <c r="K102" i="1"/>
  <c r="H102" i="1"/>
  <c r="G102" i="1"/>
  <c r="F102" i="1"/>
  <c r="D102" i="1"/>
  <c r="Y101" i="1"/>
  <c r="Z101" i="1" s="1"/>
  <c r="X101" i="1"/>
  <c r="T101" i="1"/>
  <c r="S101" i="1"/>
  <c r="Q101" i="1"/>
  <c r="L101" i="1"/>
  <c r="K101" i="1"/>
  <c r="G101" i="1"/>
  <c r="H101" i="1" s="1"/>
  <c r="F101" i="1"/>
  <c r="D101" i="1"/>
  <c r="Q100" i="1"/>
  <c r="D100" i="1"/>
  <c r="Z99" i="1"/>
  <c r="U99" i="1"/>
  <c r="Q99" i="1"/>
  <c r="M99" i="1"/>
  <c r="H99" i="1"/>
  <c r="D99" i="1"/>
  <c r="AT98" i="1"/>
  <c r="AQ98" i="1"/>
  <c r="AY97" i="1"/>
  <c r="AX97" i="1"/>
  <c r="AT97" i="1"/>
  <c r="AS97" i="1"/>
  <c r="AQ97" i="1"/>
  <c r="Q97" i="1"/>
  <c r="D97" i="1"/>
  <c r="AY96" i="1"/>
  <c r="AZ96" i="1" s="1"/>
  <c r="AX96" i="1"/>
  <c r="AT96" i="1"/>
  <c r="AU96" i="1" s="1"/>
  <c r="AS96" i="1"/>
  <c r="AQ96" i="1"/>
  <c r="AY95" i="1"/>
  <c r="AZ95" i="1" s="1"/>
  <c r="AX95" i="1"/>
  <c r="AU95" i="1"/>
  <c r="AT95" i="1"/>
  <c r="AS95" i="1"/>
  <c r="AQ95" i="1"/>
  <c r="AY94" i="1"/>
  <c r="AX94" i="1"/>
  <c r="AT94" i="1"/>
  <c r="AU94" i="1" s="1"/>
  <c r="AS94" i="1"/>
  <c r="AQ94" i="1"/>
  <c r="AY93" i="1"/>
  <c r="AX93" i="1"/>
  <c r="AZ93" i="1" s="1"/>
  <c r="AT93" i="1"/>
  <c r="AS93" i="1"/>
  <c r="AQ93" i="1"/>
  <c r="Q93" i="1"/>
  <c r="F93" i="1"/>
  <c r="D93" i="1"/>
  <c r="AY92" i="1"/>
  <c r="AX92" i="1"/>
  <c r="AX98" i="1" s="1"/>
  <c r="AT92" i="1"/>
  <c r="AS92" i="1"/>
  <c r="AU92" i="1" s="1"/>
  <c r="AQ92" i="1"/>
  <c r="Z92" i="1"/>
  <c r="Y92" i="1"/>
  <c r="X92" i="1"/>
  <c r="T92" i="1"/>
  <c r="S92" i="1"/>
  <c r="Q92" i="1"/>
  <c r="L92" i="1"/>
  <c r="K92" i="1"/>
  <c r="G92" i="1"/>
  <c r="F92" i="1"/>
  <c r="D92" i="1"/>
  <c r="AY91" i="1"/>
  <c r="AQ91" i="1"/>
  <c r="Y91" i="1"/>
  <c r="Z91" i="1" s="1"/>
  <c r="X91" i="1"/>
  <c r="T91" i="1"/>
  <c r="U91" i="1" s="1"/>
  <c r="S91" i="1"/>
  <c r="Q91" i="1"/>
  <c r="L91" i="1"/>
  <c r="K91" i="1"/>
  <c r="M91" i="1" s="1"/>
  <c r="H91" i="1"/>
  <c r="G91" i="1"/>
  <c r="F91" i="1"/>
  <c r="D91" i="1"/>
  <c r="AY90" i="1"/>
  <c r="AZ90" i="1" s="1"/>
  <c r="AX90" i="1"/>
  <c r="AT90" i="1"/>
  <c r="AS90" i="1"/>
  <c r="AQ90" i="1"/>
  <c r="Y90" i="1"/>
  <c r="X90" i="1"/>
  <c r="T90" i="1"/>
  <c r="S90" i="1"/>
  <c r="Q90" i="1"/>
  <c r="L90" i="1"/>
  <c r="M90" i="1" s="1"/>
  <c r="K90" i="1"/>
  <c r="G90" i="1"/>
  <c r="F90" i="1"/>
  <c r="H90" i="1" s="1"/>
  <c r="D90" i="1"/>
  <c r="AY89" i="1"/>
  <c r="AX89" i="1"/>
  <c r="AZ89" i="1" s="1"/>
  <c r="AU89" i="1"/>
  <c r="AT89" i="1"/>
  <c r="AS89" i="1"/>
  <c r="AQ89" i="1"/>
  <c r="Y89" i="1"/>
  <c r="X89" i="1"/>
  <c r="T89" i="1"/>
  <c r="S89" i="1"/>
  <c r="Q89" i="1"/>
  <c r="L89" i="1"/>
  <c r="K89" i="1"/>
  <c r="H89" i="1"/>
  <c r="G89" i="1"/>
  <c r="F89" i="1"/>
  <c r="D89" i="1"/>
  <c r="AY88" i="1"/>
  <c r="AX88" i="1"/>
  <c r="AT88" i="1"/>
  <c r="AU88" i="1" s="1"/>
  <c r="AS88" i="1"/>
  <c r="AQ88" i="1"/>
  <c r="Y88" i="1"/>
  <c r="X88" i="1"/>
  <c r="T88" i="1"/>
  <c r="S88" i="1"/>
  <c r="Q88" i="1"/>
  <c r="L88" i="1"/>
  <c r="K88" i="1"/>
  <c r="K93" i="1" s="1"/>
  <c r="G88" i="1"/>
  <c r="F88" i="1"/>
  <c r="D88" i="1"/>
  <c r="AY87" i="1"/>
  <c r="AX87" i="1"/>
  <c r="AT87" i="1"/>
  <c r="AS87" i="1"/>
  <c r="AQ87" i="1"/>
  <c r="Q87" i="1"/>
  <c r="D87" i="1"/>
  <c r="AY86" i="1"/>
  <c r="AZ86" i="1" s="1"/>
  <c r="AX86" i="1"/>
  <c r="AT86" i="1"/>
  <c r="AU86" i="1" s="1"/>
  <c r="AS86" i="1"/>
  <c r="AQ86" i="1"/>
  <c r="Y86" i="1"/>
  <c r="X86" i="1"/>
  <c r="T86" i="1"/>
  <c r="S86" i="1"/>
  <c r="U86" i="1" s="1"/>
  <c r="Q86" i="1"/>
  <c r="L86" i="1"/>
  <c r="K86" i="1"/>
  <c r="G86" i="1"/>
  <c r="F86" i="1"/>
  <c r="D86" i="1"/>
  <c r="AY85" i="1"/>
  <c r="AX85" i="1"/>
  <c r="AZ85" i="1" s="1"/>
  <c r="AT85" i="1"/>
  <c r="AS85" i="1"/>
  <c r="AQ85" i="1"/>
  <c r="Y85" i="1"/>
  <c r="X85" i="1"/>
  <c r="T85" i="1"/>
  <c r="S85" i="1"/>
  <c r="Q85" i="1"/>
  <c r="L85" i="1"/>
  <c r="M85" i="1" s="1"/>
  <c r="K85" i="1"/>
  <c r="G85" i="1"/>
  <c r="F85" i="1"/>
  <c r="D85" i="1"/>
  <c r="AQ84" i="1"/>
  <c r="Y84" i="1"/>
  <c r="X84" i="1"/>
  <c r="Z84" i="1" s="1"/>
  <c r="T84" i="1"/>
  <c r="U84" i="1" s="1"/>
  <c r="S84" i="1"/>
  <c r="Q84" i="1"/>
  <c r="L84" i="1"/>
  <c r="K84" i="1"/>
  <c r="G84" i="1"/>
  <c r="F84" i="1"/>
  <c r="D84" i="1"/>
  <c r="AY83" i="1"/>
  <c r="AZ83" i="1" s="1"/>
  <c r="AX83" i="1"/>
  <c r="AU83" i="1"/>
  <c r="AT83" i="1"/>
  <c r="AS83" i="1"/>
  <c r="AQ83" i="1"/>
  <c r="AG83" i="1"/>
  <c r="AD83" i="1"/>
  <c r="Y83" i="1"/>
  <c r="X83" i="1"/>
  <c r="T83" i="1"/>
  <c r="S83" i="1"/>
  <c r="Q83" i="1"/>
  <c r="M83" i="1"/>
  <c r="L83" i="1"/>
  <c r="K83" i="1"/>
  <c r="G83" i="1"/>
  <c r="F83" i="1"/>
  <c r="D83" i="1"/>
  <c r="AY82" i="1"/>
  <c r="AX82" i="1"/>
  <c r="AT82" i="1"/>
  <c r="AU82" i="1" s="1"/>
  <c r="AS82" i="1"/>
  <c r="AQ82" i="1"/>
  <c r="AM82" i="1"/>
  <c r="AL82" i="1"/>
  <c r="AK82" i="1"/>
  <c r="AG82" i="1"/>
  <c r="AF82" i="1"/>
  <c r="Z82" i="1"/>
  <c r="Y82" i="1"/>
  <c r="X82" i="1"/>
  <c r="T82" i="1"/>
  <c r="T87" i="1" s="1"/>
  <c r="S82" i="1"/>
  <c r="Q82" i="1"/>
  <c r="L82" i="1"/>
  <c r="L87" i="1" s="1"/>
  <c r="K82" i="1"/>
  <c r="K87" i="1" s="1"/>
  <c r="G82" i="1"/>
  <c r="F82" i="1"/>
  <c r="D82" i="1"/>
  <c r="AY81" i="1"/>
  <c r="AX81" i="1"/>
  <c r="AT81" i="1"/>
  <c r="AS81" i="1"/>
  <c r="AQ81" i="1"/>
  <c r="AL81" i="1"/>
  <c r="AK81" i="1"/>
  <c r="AG81" i="1"/>
  <c r="AH81" i="1" s="1"/>
  <c r="AF81" i="1"/>
  <c r="Q81" i="1"/>
  <c r="D81" i="1"/>
  <c r="AZ80" i="1"/>
  <c r="AY80" i="1"/>
  <c r="AX80" i="1"/>
  <c r="AX74" i="1" s="1"/>
  <c r="AT80" i="1"/>
  <c r="AU80" i="1" s="1"/>
  <c r="AS80" i="1"/>
  <c r="AQ80" i="1"/>
  <c r="AL80" i="1"/>
  <c r="AK80" i="1"/>
  <c r="AK83" i="1" s="1"/>
  <c r="AG80" i="1"/>
  <c r="AF80" i="1"/>
  <c r="AF83" i="1" s="1"/>
  <c r="AH83" i="1" s="1"/>
  <c r="AD80" i="1"/>
  <c r="Y80" i="1"/>
  <c r="X80" i="1"/>
  <c r="T80" i="1"/>
  <c r="S80" i="1"/>
  <c r="Q80" i="1"/>
  <c r="L80" i="1"/>
  <c r="M80" i="1" s="1"/>
  <c r="K80" i="1"/>
  <c r="G80" i="1"/>
  <c r="H80" i="1" s="1"/>
  <c r="F80" i="1"/>
  <c r="D80" i="1"/>
  <c r="AY79" i="1"/>
  <c r="AX79" i="1"/>
  <c r="AT79" i="1"/>
  <c r="AS79" i="1"/>
  <c r="AU79" i="1" s="1"/>
  <c r="AQ79" i="1"/>
  <c r="AD79" i="1"/>
  <c r="Y79" i="1"/>
  <c r="X79" i="1"/>
  <c r="T79" i="1"/>
  <c r="S79" i="1"/>
  <c r="Q79" i="1"/>
  <c r="L79" i="1"/>
  <c r="M79" i="1" s="1"/>
  <c r="K79" i="1"/>
  <c r="G79" i="1"/>
  <c r="F79" i="1"/>
  <c r="D79" i="1"/>
  <c r="AY78" i="1"/>
  <c r="AX78" i="1"/>
  <c r="AT78" i="1"/>
  <c r="AS78" i="1"/>
  <c r="AU78" i="1" s="1"/>
  <c r="AQ78" i="1"/>
  <c r="AL78" i="1"/>
  <c r="AM78" i="1" s="1"/>
  <c r="AK78" i="1"/>
  <c r="AG78" i="1"/>
  <c r="AH78" i="1" s="1"/>
  <c r="AF78" i="1"/>
  <c r="Y78" i="1"/>
  <c r="X78" i="1"/>
  <c r="T78" i="1"/>
  <c r="S78" i="1"/>
  <c r="Q78" i="1"/>
  <c r="L78" i="1"/>
  <c r="K78" i="1"/>
  <c r="M78" i="1" s="1"/>
  <c r="G78" i="1"/>
  <c r="F78" i="1"/>
  <c r="D78" i="1"/>
  <c r="AT77" i="1"/>
  <c r="AU77" i="1" s="1"/>
  <c r="AS77" i="1"/>
  <c r="AQ77" i="1"/>
  <c r="AL77" i="1"/>
  <c r="AM77" i="1" s="1"/>
  <c r="AK77" i="1"/>
  <c r="AG77" i="1"/>
  <c r="AF77" i="1"/>
  <c r="Y77" i="1"/>
  <c r="X77" i="1"/>
  <c r="T77" i="1"/>
  <c r="U77" i="1" s="1"/>
  <c r="S77" i="1"/>
  <c r="Q77" i="1"/>
  <c r="L77" i="1"/>
  <c r="K77" i="1"/>
  <c r="G77" i="1"/>
  <c r="F77" i="1"/>
  <c r="D77" i="1"/>
  <c r="AY76" i="1"/>
  <c r="AQ76" i="1"/>
  <c r="AL76" i="1"/>
  <c r="AK76" i="1"/>
  <c r="AG76" i="1"/>
  <c r="AH76" i="1" s="1"/>
  <c r="AF76" i="1"/>
  <c r="AF79" i="1" s="1"/>
  <c r="AD76" i="1"/>
  <c r="Y76" i="1"/>
  <c r="X76" i="1"/>
  <c r="T76" i="1"/>
  <c r="S76" i="1"/>
  <c r="Q76" i="1"/>
  <c r="M76" i="1"/>
  <c r="L76" i="1"/>
  <c r="K76" i="1"/>
  <c r="K81" i="1" s="1"/>
  <c r="G76" i="1"/>
  <c r="F76" i="1"/>
  <c r="D76" i="1"/>
  <c r="AQ75" i="1"/>
  <c r="AF75" i="1"/>
  <c r="AD75" i="1"/>
  <c r="Y75" i="1"/>
  <c r="Z75" i="1" s="1"/>
  <c r="X75" i="1"/>
  <c r="T75" i="1"/>
  <c r="S75" i="1"/>
  <c r="U75" i="1" s="1"/>
  <c r="Q75" i="1"/>
  <c r="L75" i="1"/>
  <c r="M75" i="1" s="1"/>
  <c r="K75" i="1"/>
  <c r="G75" i="1"/>
  <c r="H75" i="1" s="1"/>
  <c r="F75" i="1"/>
  <c r="D75" i="1"/>
  <c r="AQ74" i="1"/>
  <c r="AL74" i="1"/>
  <c r="AM74" i="1" s="1"/>
  <c r="AK74" i="1"/>
  <c r="AH74" i="1"/>
  <c r="AG74" i="1"/>
  <c r="AF74" i="1"/>
  <c r="Y74" i="1"/>
  <c r="X74" i="1"/>
  <c r="T74" i="1"/>
  <c r="S74" i="1"/>
  <c r="Q74" i="1"/>
  <c r="L74" i="1"/>
  <c r="K74" i="1"/>
  <c r="G74" i="1"/>
  <c r="F74" i="1"/>
  <c r="D74" i="1"/>
  <c r="AS73" i="1"/>
  <c r="AQ73" i="1"/>
  <c r="AM73" i="1"/>
  <c r="AL73" i="1"/>
  <c r="AK73" i="1"/>
  <c r="AG73" i="1"/>
  <c r="AH73" i="1" s="1"/>
  <c r="AF73" i="1"/>
  <c r="Z73" i="1"/>
  <c r="Y73" i="1"/>
  <c r="X73" i="1"/>
  <c r="T73" i="1"/>
  <c r="U73" i="1" s="1"/>
  <c r="S73" i="1"/>
  <c r="Q73" i="1"/>
  <c r="L73" i="1"/>
  <c r="K73" i="1"/>
  <c r="G73" i="1"/>
  <c r="F73" i="1"/>
  <c r="D73" i="1"/>
  <c r="AQ72" i="1"/>
  <c r="AL72" i="1"/>
  <c r="AK72" i="1"/>
  <c r="AK75" i="1" s="1"/>
  <c r="AG72" i="1"/>
  <c r="AF72" i="1"/>
  <c r="AD72" i="1"/>
  <c r="Y72" i="1"/>
  <c r="X72" i="1"/>
  <c r="T72" i="1"/>
  <c r="S72" i="1"/>
  <c r="Q72" i="1"/>
  <c r="L72" i="1"/>
  <c r="M72" i="1" s="1"/>
  <c r="K72" i="1"/>
  <c r="G72" i="1"/>
  <c r="F72" i="1"/>
  <c r="H72" i="1" s="1"/>
  <c r="D72" i="1"/>
  <c r="AY71" i="1"/>
  <c r="AZ71" i="1" s="1"/>
  <c r="AX71" i="1"/>
  <c r="AT71" i="1"/>
  <c r="AS71" i="1"/>
  <c r="AU71" i="1" s="1"/>
  <c r="AQ71" i="1"/>
  <c r="AL71" i="1"/>
  <c r="Y71" i="1"/>
  <c r="X71" i="1"/>
  <c r="T71" i="1"/>
  <c r="S71" i="1"/>
  <c r="Q71" i="1"/>
  <c r="L71" i="1"/>
  <c r="K71" i="1"/>
  <c r="M71" i="1" s="1"/>
  <c r="G71" i="1"/>
  <c r="F71" i="1"/>
  <c r="D71" i="1"/>
  <c r="AY70" i="1"/>
  <c r="AZ70" i="1" s="1"/>
  <c r="AX70" i="1"/>
  <c r="AX76" i="1" s="1"/>
  <c r="AT70" i="1"/>
  <c r="AS70" i="1"/>
  <c r="AS76" i="1" s="1"/>
  <c r="AQ70" i="1"/>
  <c r="Y70" i="1"/>
  <c r="X70" i="1"/>
  <c r="T70" i="1"/>
  <c r="U70" i="1" s="1"/>
  <c r="S70" i="1"/>
  <c r="Q70" i="1"/>
  <c r="L70" i="1"/>
  <c r="K70" i="1"/>
  <c r="G70" i="1"/>
  <c r="F70" i="1"/>
  <c r="D70" i="1"/>
  <c r="AY69" i="1"/>
  <c r="AY75" i="1" s="1"/>
  <c r="AX69" i="1"/>
  <c r="AT69" i="1"/>
  <c r="AS69" i="1"/>
  <c r="AQ69" i="1"/>
  <c r="AK69" i="1"/>
  <c r="AD69" i="1"/>
  <c r="Y69" i="1"/>
  <c r="X69" i="1"/>
  <c r="Z69" i="1" s="1"/>
  <c r="T69" i="1"/>
  <c r="S69" i="1"/>
  <c r="Q69" i="1"/>
  <c r="M69" i="1"/>
  <c r="L69" i="1"/>
  <c r="K69" i="1"/>
  <c r="G69" i="1"/>
  <c r="F69" i="1"/>
  <c r="D69" i="1"/>
  <c r="AY68" i="1"/>
  <c r="AX68" i="1"/>
  <c r="AT68" i="1"/>
  <c r="AS68" i="1"/>
  <c r="AS74" i="1" s="1"/>
  <c r="AQ68" i="1"/>
  <c r="AL68" i="1"/>
  <c r="AM68" i="1" s="1"/>
  <c r="AK68" i="1"/>
  <c r="AG68" i="1"/>
  <c r="AG71" i="1" s="1"/>
  <c r="AF68" i="1"/>
  <c r="AF71" i="1" s="1"/>
  <c r="Y68" i="1"/>
  <c r="Z68" i="1" s="1"/>
  <c r="X68" i="1"/>
  <c r="T68" i="1"/>
  <c r="U68" i="1" s="1"/>
  <c r="S68" i="1"/>
  <c r="Q68" i="1"/>
  <c r="L68" i="1"/>
  <c r="K68" i="1"/>
  <c r="G68" i="1"/>
  <c r="H68" i="1" s="1"/>
  <c r="F68" i="1"/>
  <c r="D68" i="1"/>
  <c r="AY67" i="1"/>
  <c r="AX67" i="1"/>
  <c r="AU67" i="1"/>
  <c r="AT67" i="1"/>
  <c r="AS67" i="1"/>
  <c r="AQ67" i="1"/>
  <c r="AL67" i="1"/>
  <c r="AL70" i="1" s="1"/>
  <c r="AK67" i="1"/>
  <c r="AK70" i="1" s="1"/>
  <c r="AG67" i="1"/>
  <c r="AF67" i="1"/>
  <c r="Y67" i="1"/>
  <c r="Z67" i="1" s="1"/>
  <c r="X67" i="1"/>
  <c r="T67" i="1"/>
  <c r="S67" i="1"/>
  <c r="Q67" i="1"/>
  <c r="L67" i="1"/>
  <c r="K67" i="1"/>
  <c r="M67" i="1" s="1"/>
  <c r="G67" i="1"/>
  <c r="F67" i="1"/>
  <c r="D67" i="1"/>
  <c r="AZ66" i="1"/>
  <c r="AY66" i="1"/>
  <c r="AX66" i="1"/>
  <c r="AX72" i="1" s="1"/>
  <c r="AT66" i="1"/>
  <c r="AT72" i="1" s="1"/>
  <c r="AS66" i="1"/>
  <c r="AS72" i="1" s="1"/>
  <c r="AU72" i="1" s="1"/>
  <c r="AQ66" i="1"/>
  <c r="AL66" i="1"/>
  <c r="AK66" i="1"/>
  <c r="AG66" i="1"/>
  <c r="AF66" i="1"/>
  <c r="AF69" i="1" s="1"/>
  <c r="AD66" i="1"/>
  <c r="Y66" i="1"/>
  <c r="X66" i="1"/>
  <c r="U66" i="1"/>
  <c r="T66" i="1"/>
  <c r="S66" i="1"/>
  <c r="Q66" i="1"/>
  <c r="L66" i="1"/>
  <c r="K66" i="1"/>
  <c r="G66" i="1"/>
  <c r="F66" i="1"/>
  <c r="D66" i="1"/>
  <c r="AQ65" i="1"/>
  <c r="AD65" i="1"/>
  <c r="Q65" i="1"/>
  <c r="D65" i="1"/>
  <c r="AZ64" i="1"/>
  <c r="AU64" i="1"/>
  <c r="AQ64" i="1"/>
  <c r="AM64" i="1"/>
  <c r="AH64" i="1"/>
  <c r="AD64" i="1"/>
  <c r="Z64" i="1"/>
  <c r="U64" i="1"/>
  <c r="Q64" i="1"/>
  <c r="M64" i="1"/>
  <c r="H64" i="1"/>
  <c r="D64" i="1"/>
  <c r="AK62" i="1"/>
  <c r="K53" i="1"/>
  <c r="D53" i="1"/>
  <c r="D52" i="1"/>
  <c r="L51" i="1"/>
  <c r="M51" i="1" s="1"/>
  <c r="G51" i="1"/>
  <c r="H51" i="1" s="1"/>
  <c r="D51" i="1"/>
  <c r="L50" i="1"/>
  <c r="M50" i="1" s="1"/>
  <c r="G50" i="1"/>
  <c r="H50" i="1" s="1"/>
  <c r="D50" i="1"/>
  <c r="L49" i="1"/>
  <c r="M49" i="1" s="1"/>
  <c r="G49" i="1"/>
  <c r="H49" i="1" s="1"/>
  <c r="D49" i="1"/>
  <c r="M48" i="1"/>
  <c r="H48" i="1"/>
  <c r="D48" i="1"/>
  <c r="Y46" i="1"/>
  <c r="X46" i="1"/>
  <c r="T46" i="1"/>
  <c r="S46" i="1"/>
  <c r="U46" i="1" s="1"/>
  <c r="Q46" i="1"/>
  <c r="L46" i="1"/>
  <c r="K46" i="1"/>
  <c r="G46" i="1"/>
  <c r="H46" i="1" s="1"/>
  <c r="F46" i="1"/>
  <c r="F53" i="1" s="1"/>
  <c r="D46" i="1"/>
  <c r="Y45" i="1"/>
  <c r="X45" i="1"/>
  <c r="T45" i="1"/>
  <c r="S45" i="1"/>
  <c r="Q45" i="1"/>
  <c r="M45" i="1"/>
  <c r="L45" i="1"/>
  <c r="K45" i="1"/>
  <c r="G45" i="1"/>
  <c r="H45" i="1" s="1"/>
  <c r="F45" i="1"/>
  <c r="D45" i="1"/>
  <c r="BD44" i="1"/>
  <c r="Y44" i="1"/>
  <c r="Z44" i="1" s="1"/>
  <c r="X44" i="1"/>
  <c r="T44" i="1"/>
  <c r="S44" i="1"/>
  <c r="Q44" i="1"/>
  <c r="L44" i="1"/>
  <c r="K44" i="1"/>
  <c r="M44" i="1" s="1"/>
  <c r="G44" i="1"/>
  <c r="H44" i="1" s="1"/>
  <c r="F44" i="1"/>
  <c r="D44" i="1"/>
  <c r="BD43" i="1"/>
  <c r="Y43" i="1"/>
  <c r="X43" i="1"/>
  <c r="Z43" i="1" s="1"/>
  <c r="T43" i="1"/>
  <c r="U43" i="1" s="1"/>
  <c r="S43" i="1"/>
  <c r="Q43" i="1"/>
  <c r="L43" i="1"/>
  <c r="K43" i="1"/>
  <c r="G43" i="1"/>
  <c r="F43" i="1"/>
  <c r="D43" i="1"/>
  <c r="BL42" i="1"/>
  <c r="BK42" i="1"/>
  <c r="BG42" i="1"/>
  <c r="BF42" i="1"/>
  <c r="BD42" i="1"/>
  <c r="AQ42" i="1"/>
  <c r="Y42" i="1"/>
  <c r="Z42" i="1" s="1"/>
  <c r="X42" i="1"/>
  <c r="T42" i="1"/>
  <c r="S42" i="1"/>
  <c r="Q42" i="1"/>
  <c r="L42" i="1"/>
  <c r="K42" i="1"/>
  <c r="M42" i="1" s="1"/>
  <c r="G42" i="1"/>
  <c r="F42" i="1"/>
  <c r="D42" i="1"/>
  <c r="BL41" i="1"/>
  <c r="BK41" i="1"/>
  <c r="BG41" i="1"/>
  <c r="BF41" i="1"/>
  <c r="BH41" i="1" s="1"/>
  <c r="BD41" i="1"/>
  <c r="AY41" i="1"/>
  <c r="AX41" i="1"/>
  <c r="AT41" i="1"/>
  <c r="AU41" i="1" s="1"/>
  <c r="AS41" i="1"/>
  <c r="AQ41" i="1"/>
  <c r="Y41" i="1"/>
  <c r="Z41" i="1" s="1"/>
  <c r="X41" i="1"/>
  <c r="U41" i="1"/>
  <c r="T41" i="1"/>
  <c r="S41" i="1"/>
  <c r="Q41" i="1"/>
  <c r="L41" i="1"/>
  <c r="K41" i="1"/>
  <c r="G41" i="1"/>
  <c r="F41" i="1"/>
  <c r="D41" i="1"/>
  <c r="AY40" i="1"/>
  <c r="AX40" i="1"/>
  <c r="AT40" i="1"/>
  <c r="AS40" i="1"/>
  <c r="AQ40" i="1"/>
  <c r="Y40" i="1"/>
  <c r="Z40" i="1" s="1"/>
  <c r="X40" i="1"/>
  <c r="T40" i="1"/>
  <c r="S40" i="1"/>
  <c r="Q40" i="1"/>
  <c r="L40" i="1"/>
  <c r="K40" i="1"/>
  <c r="G40" i="1"/>
  <c r="F40" i="1"/>
  <c r="D40" i="1"/>
  <c r="BD39" i="1"/>
  <c r="AY39" i="1"/>
  <c r="AZ39" i="1" s="1"/>
  <c r="AX39" i="1"/>
  <c r="AT39" i="1"/>
  <c r="AS39" i="1"/>
  <c r="AU39" i="1" s="1"/>
  <c r="AQ39" i="1"/>
  <c r="Y39" i="1"/>
  <c r="X39" i="1"/>
  <c r="Z39" i="1" s="1"/>
  <c r="T39" i="1"/>
  <c r="S39" i="1"/>
  <c r="Q39" i="1"/>
  <c r="L39" i="1"/>
  <c r="K39" i="1"/>
  <c r="G39" i="1"/>
  <c r="F39" i="1"/>
  <c r="H39" i="1" s="1"/>
  <c r="D39" i="1"/>
  <c r="BD38" i="1"/>
  <c r="AY38" i="1"/>
  <c r="AX38" i="1"/>
  <c r="AZ38" i="1" s="1"/>
  <c r="AT38" i="1"/>
  <c r="AU38" i="1" s="1"/>
  <c r="AS38" i="1"/>
  <c r="AQ38" i="1"/>
  <c r="Z38" i="1"/>
  <c r="Y38" i="1"/>
  <c r="X38" i="1"/>
  <c r="T38" i="1"/>
  <c r="S38" i="1"/>
  <c r="Q38" i="1"/>
  <c r="L38" i="1"/>
  <c r="K38" i="1"/>
  <c r="G38" i="1"/>
  <c r="F38" i="1"/>
  <c r="D38" i="1"/>
  <c r="BL37" i="1"/>
  <c r="BK37" i="1"/>
  <c r="BG37" i="1"/>
  <c r="BF37" i="1"/>
  <c r="BF39" i="1" s="1"/>
  <c r="BD37" i="1"/>
  <c r="AY37" i="1"/>
  <c r="AZ37" i="1" s="1"/>
  <c r="AX37" i="1"/>
  <c r="AT37" i="1"/>
  <c r="AU37" i="1" s="1"/>
  <c r="AS37" i="1"/>
  <c r="AQ37" i="1"/>
  <c r="Q37" i="1"/>
  <c r="L37" i="1"/>
  <c r="K37" i="1"/>
  <c r="G37" i="1"/>
  <c r="F37" i="1"/>
  <c r="D37" i="1"/>
  <c r="BL36" i="1"/>
  <c r="BK36" i="1"/>
  <c r="BG36" i="1"/>
  <c r="BF36" i="1"/>
  <c r="BD36" i="1"/>
  <c r="AY36" i="1"/>
  <c r="AX36" i="1"/>
  <c r="AT36" i="1"/>
  <c r="AS36" i="1"/>
  <c r="AQ36" i="1"/>
  <c r="AL36" i="1"/>
  <c r="AK36" i="1"/>
  <c r="AM36" i="1" s="1"/>
  <c r="AH36" i="1"/>
  <c r="AG36" i="1"/>
  <c r="AF36" i="1"/>
  <c r="AD36" i="1"/>
  <c r="Y36" i="1"/>
  <c r="X36" i="1"/>
  <c r="T36" i="1"/>
  <c r="S36" i="1"/>
  <c r="Q36" i="1"/>
  <c r="L36" i="1"/>
  <c r="K36" i="1"/>
  <c r="M36" i="1" s="1"/>
  <c r="G36" i="1"/>
  <c r="F36" i="1"/>
  <c r="H36" i="1" s="1"/>
  <c r="D36" i="1"/>
  <c r="AQ35" i="1"/>
  <c r="AL35" i="1"/>
  <c r="AK35" i="1"/>
  <c r="AG35" i="1"/>
  <c r="AF35" i="1"/>
  <c r="AD35" i="1"/>
  <c r="Y35" i="1"/>
  <c r="X35" i="1"/>
  <c r="Z35" i="1" s="1"/>
  <c r="T35" i="1"/>
  <c r="U35" i="1" s="1"/>
  <c r="S35" i="1"/>
  <c r="Q35" i="1"/>
  <c r="L35" i="1"/>
  <c r="K35" i="1"/>
  <c r="G35" i="1"/>
  <c r="F35" i="1"/>
  <c r="D35" i="1"/>
  <c r="BD34" i="1"/>
  <c r="AZ34" i="1"/>
  <c r="AY34" i="1"/>
  <c r="AX34" i="1"/>
  <c r="AT34" i="1"/>
  <c r="AS34" i="1"/>
  <c r="AQ34" i="1"/>
  <c r="AL34" i="1"/>
  <c r="AM34" i="1" s="1"/>
  <c r="AK34" i="1"/>
  <c r="AG34" i="1"/>
  <c r="AH34" i="1" s="1"/>
  <c r="AF34" i="1"/>
  <c r="AD34" i="1"/>
  <c r="Y34" i="1"/>
  <c r="X34" i="1"/>
  <c r="Z34" i="1" s="1"/>
  <c r="T34" i="1"/>
  <c r="S34" i="1"/>
  <c r="U34" i="1" s="1"/>
  <c r="Q34" i="1"/>
  <c r="L34" i="1"/>
  <c r="M34" i="1" s="1"/>
  <c r="K34" i="1"/>
  <c r="G34" i="1"/>
  <c r="F34" i="1"/>
  <c r="H34" i="1" s="1"/>
  <c r="D34" i="1"/>
  <c r="BD33" i="1"/>
  <c r="AY33" i="1"/>
  <c r="AZ33" i="1" s="1"/>
  <c r="AX33" i="1"/>
  <c r="AT33" i="1"/>
  <c r="AS33" i="1"/>
  <c r="AQ33" i="1"/>
  <c r="AL33" i="1"/>
  <c r="AK33" i="1"/>
  <c r="AG33" i="1"/>
  <c r="AF33" i="1"/>
  <c r="AD33" i="1"/>
  <c r="Y33" i="1"/>
  <c r="X33" i="1"/>
  <c r="T33" i="1"/>
  <c r="S33" i="1"/>
  <c r="Q33" i="1"/>
  <c r="L33" i="1"/>
  <c r="K33" i="1"/>
  <c r="G33" i="1"/>
  <c r="F33" i="1"/>
  <c r="H33" i="1" s="1"/>
  <c r="D33" i="1"/>
  <c r="BL32" i="1"/>
  <c r="BK32" i="1"/>
  <c r="BG32" i="1"/>
  <c r="BF32" i="1"/>
  <c r="BD32" i="1"/>
  <c r="AY32" i="1"/>
  <c r="AX32" i="1"/>
  <c r="AZ32" i="1" s="1"/>
  <c r="AT32" i="1"/>
  <c r="AS32" i="1"/>
  <c r="AU32" i="1" s="1"/>
  <c r="AQ32" i="1"/>
  <c r="AL32" i="1"/>
  <c r="AK32" i="1"/>
  <c r="AM32" i="1" s="1"/>
  <c r="AG32" i="1"/>
  <c r="AF32" i="1"/>
  <c r="AD32" i="1"/>
  <c r="Y32" i="1"/>
  <c r="X32" i="1"/>
  <c r="X37" i="1" s="1"/>
  <c r="T32" i="1"/>
  <c r="S32" i="1"/>
  <c r="U32" i="1" s="1"/>
  <c r="Q32" i="1"/>
  <c r="L32" i="1"/>
  <c r="M32" i="1" s="1"/>
  <c r="K32" i="1"/>
  <c r="G32" i="1"/>
  <c r="F32" i="1"/>
  <c r="D32" i="1"/>
  <c r="BL31" i="1"/>
  <c r="BK31" i="1"/>
  <c r="BK34" i="1" s="1"/>
  <c r="BG31" i="1"/>
  <c r="BF31" i="1"/>
  <c r="BH31" i="1" s="1"/>
  <c r="BD31" i="1"/>
  <c r="AY31" i="1"/>
  <c r="AX31" i="1"/>
  <c r="AZ31" i="1" s="1"/>
  <c r="AT31" i="1"/>
  <c r="AS31" i="1"/>
  <c r="AU31" i="1" s="1"/>
  <c r="AQ31" i="1"/>
  <c r="AL31" i="1"/>
  <c r="AM31" i="1" s="1"/>
  <c r="AK31" i="1"/>
  <c r="AG31" i="1"/>
  <c r="AF31" i="1"/>
  <c r="AD31" i="1"/>
  <c r="Q31" i="1"/>
  <c r="L31" i="1"/>
  <c r="M31" i="1" s="1"/>
  <c r="K31" i="1"/>
  <c r="G31" i="1"/>
  <c r="F31" i="1"/>
  <c r="H31" i="1" s="1"/>
  <c r="D31" i="1"/>
  <c r="AY30" i="1"/>
  <c r="AX30" i="1"/>
  <c r="AZ30" i="1" s="1"/>
  <c r="AT30" i="1"/>
  <c r="AS30" i="1"/>
  <c r="AQ30" i="1"/>
  <c r="AL30" i="1"/>
  <c r="AK30" i="1"/>
  <c r="AH30" i="1"/>
  <c r="AG30" i="1"/>
  <c r="AF30" i="1"/>
  <c r="AD30" i="1"/>
  <c r="Y30" i="1"/>
  <c r="X30" i="1"/>
  <c r="Z30" i="1" s="1"/>
  <c r="T30" i="1"/>
  <c r="S30" i="1"/>
  <c r="Q30" i="1"/>
  <c r="L30" i="1"/>
  <c r="M30" i="1" s="1"/>
  <c r="K30" i="1"/>
  <c r="G30" i="1"/>
  <c r="F30" i="1"/>
  <c r="H30" i="1" s="1"/>
  <c r="D30" i="1"/>
  <c r="BD29" i="1"/>
  <c r="AY29" i="1"/>
  <c r="AX29" i="1"/>
  <c r="AT29" i="1"/>
  <c r="AS29" i="1"/>
  <c r="AQ29" i="1"/>
  <c r="AL29" i="1"/>
  <c r="AM29" i="1" s="1"/>
  <c r="AK29" i="1"/>
  <c r="AG29" i="1"/>
  <c r="AF29" i="1"/>
  <c r="AD29" i="1"/>
  <c r="Y29" i="1"/>
  <c r="Z29" i="1" s="1"/>
  <c r="X29" i="1"/>
  <c r="T29" i="1"/>
  <c r="S29" i="1"/>
  <c r="U29" i="1" s="1"/>
  <c r="Q29" i="1"/>
  <c r="L29" i="1"/>
  <c r="K29" i="1"/>
  <c r="M29" i="1" s="1"/>
  <c r="G29" i="1"/>
  <c r="F29" i="1"/>
  <c r="D29" i="1"/>
  <c r="BL28" i="1"/>
  <c r="BD28" i="1"/>
  <c r="AQ28" i="1"/>
  <c r="AL28" i="1"/>
  <c r="AK28" i="1"/>
  <c r="AG28" i="1"/>
  <c r="AF28" i="1"/>
  <c r="AH28" i="1" s="1"/>
  <c r="AD28" i="1"/>
  <c r="Y28" i="1"/>
  <c r="X28" i="1"/>
  <c r="U28" i="1"/>
  <c r="T28" i="1"/>
  <c r="S28" i="1"/>
  <c r="Q28" i="1"/>
  <c r="L28" i="1"/>
  <c r="M28" i="1" s="1"/>
  <c r="K28" i="1"/>
  <c r="G28" i="1"/>
  <c r="F28" i="1"/>
  <c r="H28" i="1" s="1"/>
  <c r="D28" i="1"/>
  <c r="BD27" i="1"/>
  <c r="AY27" i="1"/>
  <c r="AX27" i="1"/>
  <c r="AT27" i="1"/>
  <c r="AS27" i="1"/>
  <c r="AU27" i="1" s="1"/>
  <c r="AQ27" i="1"/>
  <c r="AD27" i="1"/>
  <c r="Y27" i="1"/>
  <c r="Z27" i="1" s="1"/>
  <c r="X27" i="1"/>
  <c r="U27" i="1"/>
  <c r="T27" i="1"/>
  <c r="S27" i="1"/>
  <c r="Q27" i="1"/>
  <c r="L27" i="1"/>
  <c r="M27" i="1" s="1"/>
  <c r="K27" i="1"/>
  <c r="G27" i="1"/>
  <c r="H27" i="1" s="1"/>
  <c r="F27" i="1"/>
  <c r="D27" i="1"/>
  <c r="AY26" i="1"/>
  <c r="AX26" i="1"/>
  <c r="AT26" i="1"/>
  <c r="AU26" i="1" s="1"/>
  <c r="AS26" i="1"/>
  <c r="AQ26" i="1"/>
  <c r="AL26" i="1"/>
  <c r="AK26" i="1"/>
  <c r="AG26" i="1"/>
  <c r="AF26" i="1"/>
  <c r="Y26" i="1"/>
  <c r="Z26" i="1" s="1"/>
  <c r="X26" i="1"/>
  <c r="T26" i="1"/>
  <c r="T31" i="1" s="1"/>
  <c r="S26" i="1"/>
  <c r="Q26" i="1"/>
  <c r="L26" i="1"/>
  <c r="K26" i="1"/>
  <c r="G26" i="1"/>
  <c r="F26" i="1"/>
  <c r="H26" i="1" s="1"/>
  <c r="D26" i="1"/>
  <c r="BL25" i="1"/>
  <c r="BK25" i="1"/>
  <c r="BM25" i="1" s="1"/>
  <c r="BG25" i="1"/>
  <c r="BH25" i="1" s="1"/>
  <c r="BF25" i="1"/>
  <c r="BD25" i="1"/>
  <c r="AY25" i="1"/>
  <c r="AX25" i="1"/>
  <c r="AT25" i="1"/>
  <c r="AU25" i="1" s="1"/>
  <c r="AS25" i="1"/>
  <c r="AQ25" i="1"/>
  <c r="AL25" i="1"/>
  <c r="AM25" i="1" s="1"/>
  <c r="AK25" i="1"/>
  <c r="AG25" i="1"/>
  <c r="AH25" i="1" s="1"/>
  <c r="AF25" i="1"/>
  <c r="Q25" i="1"/>
  <c r="L25" i="1"/>
  <c r="M25" i="1" s="1"/>
  <c r="K25" i="1"/>
  <c r="G25" i="1"/>
  <c r="H25" i="1" s="1"/>
  <c r="F25" i="1"/>
  <c r="D25" i="1"/>
  <c r="BL24" i="1"/>
  <c r="BM24" i="1" s="1"/>
  <c r="BK24" i="1"/>
  <c r="BG24" i="1"/>
  <c r="BH24" i="1" s="1"/>
  <c r="BF24" i="1"/>
  <c r="BD24" i="1"/>
  <c r="AY24" i="1"/>
  <c r="AX24" i="1"/>
  <c r="AT24" i="1"/>
  <c r="AS24" i="1"/>
  <c r="AU24" i="1" s="1"/>
  <c r="AQ24" i="1"/>
  <c r="AL24" i="1"/>
  <c r="AK24" i="1"/>
  <c r="AM24" i="1" s="1"/>
  <c r="AG24" i="1"/>
  <c r="AF24" i="1"/>
  <c r="AD24" i="1"/>
  <c r="Y24" i="1"/>
  <c r="X24" i="1"/>
  <c r="Z24" i="1" s="1"/>
  <c r="T24" i="1"/>
  <c r="U24" i="1" s="1"/>
  <c r="S24" i="1"/>
  <c r="Q24" i="1"/>
  <c r="L24" i="1"/>
  <c r="K24" i="1"/>
  <c r="G24" i="1"/>
  <c r="H24" i="1" s="1"/>
  <c r="F24" i="1"/>
  <c r="D24" i="1"/>
  <c r="BL23" i="1"/>
  <c r="BK23" i="1"/>
  <c r="BG23" i="1"/>
  <c r="BF23" i="1"/>
  <c r="BH23" i="1" s="1"/>
  <c r="BD23" i="1"/>
  <c r="AY23" i="1"/>
  <c r="AX23" i="1"/>
  <c r="AT23" i="1"/>
  <c r="AT17" i="1" s="1"/>
  <c r="AS23" i="1"/>
  <c r="AQ23" i="1"/>
  <c r="AD23" i="1"/>
  <c r="Y23" i="1"/>
  <c r="X23" i="1"/>
  <c r="Z23" i="1" s="1"/>
  <c r="T23" i="1"/>
  <c r="S23" i="1"/>
  <c r="Q23" i="1"/>
  <c r="L23" i="1"/>
  <c r="M23" i="1" s="1"/>
  <c r="K23" i="1"/>
  <c r="G23" i="1"/>
  <c r="F23" i="1"/>
  <c r="D23" i="1"/>
  <c r="BL22" i="1"/>
  <c r="BM22" i="1" s="1"/>
  <c r="BK22" i="1"/>
  <c r="BG22" i="1"/>
  <c r="BH22" i="1" s="1"/>
  <c r="BF22" i="1"/>
  <c r="BD22" i="1"/>
  <c r="AY22" i="1"/>
  <c r="AZ22" i="1" s="1"/>
  <c r="AX22" i="1"/>
  <c r="AX28" i="1" s="1"/>
  <c r="AT22" i="1"/>
  <c r="AS22" i="1"/>
  <c r="AQ22" i="1"/>
  <c r="AL22" i="1"/>
  <c r="AK22" i="1"/>
  <c r="AG22" i="1"/>
  <c r="AH22" i="1" s="1"/>
  <c r="AF22" i="1"/>
  <c r="Y22" i="1"/>
  <c r="X22" i="1"/>
  <c r="Z22" i="1" s="1"/>
  <c r="T22" i="1"/>
  <c r="S22" i="1"/>
  <c r="Q22" i="1"/>
  <c r="L22" i="1"/>
  <c r="K22" i="1"/>
  <c r="G22" i="1"/>
  <c r="F22" i="1"/>
  <c r="H22" i="1" s="1"/>
  <c r="D22" i="1"/>
  <c r="BL21" i="1"/>
  <c r="BK21" i="1"/>
  <c r="BM21" i="1" s="1"/>
  <c r="BG21" i="1"/>
  <c r="BF21" i="1"/>
  <c r="BD21" i="1"/>
  <c r="AQ21" i="1"/>
  <c r="AL21" i="1"/>
  <c r="AK21" i="1"/>
  <c r="AM21" i="1" s="1"/>
  <c r="AG21" i="1"/>
  <c r="AF21" i="1"/>
  <c r="Y21" i="1"/>
  <c r="X21" i="1"/>
  <c r="T21" i="1"/>
  <c r="S21" i="1"/>
  <c r="Q21" i="1"/>
  <c r="L21" i="1"/>
  <c r="M21" i="1" s="1"/>
  <c r="K21" i="1"/>
  <c r="G21" i="1"/>
  <c r="F21" i="1"/>
  <c r="D21" i="1"/>
  <c r="BL20" i="1"/>
  <c r="BK20" i="1"/>
  <c r="BM20" i="1" s="1"/>
  <c r="BG20" i="1"/>
  <c r="BF20" i="1"/>
  <c r="BD20" i="1"/>
  <c r="AQ20" i="1"/>
  <c r="AL20" i="1"/>
  <c r="AM20" i="1" s="1"/>
  <c r="AK20" i="1"/>
  <c r="AG20" i="1"/>
  <c r="AG23" i="1" s="1"/>
  <c r="AF20" i="1"/>
  <c r="AD20" i="1"/>
  <c r="Y20" i="1"/>
  <c r="X20" i="1"/>
  <c r="T20" i="1"/>
  <c r="S20" i="1"/>
  <c r="Q20" i="1"/>
  <c r="L20" i="1"/>
  <c r="K20" i="1"/>
  <c r="M20" i="1" s="1"/>
  <c r="G20" i="1"/>
  <c r="H20" i="1" s="1"/>
  <c r="F20" i="1"/>
  <c r="D20" i="1"/>
  <c r="BL19" i="1"/>
  <c r="BK19" i="1"/>
  <c r="BG19" i="1"/>
  <c r="BH19" i="1" s="1"/>
  <c r="BF19" i="1"/>
  <c r="AQ19" i="1"/>
  <c r="AD19" i="1"/>
  <c r="Y19" i="1"/>
  <c r="Z19" i="1" s="1"/>
  <c r="X19" i="1"/>
  <c r="T19" i="1"/>
  <c r="U19" i="1" s="1"/>
  <c r="S19" i="1"/>
  <c r="Q19" i="1"/>
  <c r="L19" i="1"/>
  <c r="M19" i="1" s="1"/>
  <c r="K19" i="1"/>
  <c r="G19" i="1"/>
  <c r="F19" i="1"/>
  <c r="D19" i="1"/>
  <c r="BL18" i="1"/>
  <c r="BM18" i="1" s="1"/>
  <c r="BK18" i="1"/>
  <c r="BG18" i="1"/>
  <c r="BF18" i="1"/>
  <c r="BH18" i="1" s="1"/>
  <c r="AQ18" i="1"/>
  <c r="AL18" i="1"/>
  <c r="AM18" i="1" s="1"/>
  <c r="AK18" i="1"/>
  <c r="AG18" i="1"/>
  <c r="AF18" i="1"/>
  <c r="Y18" i="1"/>
  <c r="X18" i="1"/>
  <c r="T18" i="1"/>
  <c r="U18" i="1" s="1"/>
  <c r="S18" i="1"/>
  <c r="Q18" i="1"/>
  <c r="L18" i="1"/>
  <c r="K18" i="1"/>
  <c r="G18" i="1"/>
  <c r="H18" i="1" s="1"/>
  <c r="F18" i="1"/>
  <c r="D18" i="1"/>
  <c r="BM17" i="1"/>
  <c r="BL17" i="1"/>
  <c r="BK17" i="1"/>
  <c r="BG17" i="1"/>
  <c r="BF17" i="1"/>
  <c r="BD17" i="1"/>
  <c r="AS17" i="1"/>
  <c r="AQ17" i="1"/>
  <c r="AL17" i="1"/>
  <c r="AK17" i="1"/>
  <c r="AG17" i="1"/>
  <c r="AF17" i="1"/>
  <c r="AF14" i="1" s="1"/>
  <c r="Y17" i="1"/>
  <c r="Z17" i="1" s="1"/>
  <c r="X17" i="1"/>
  <c r="T17" i="1"/>
  <c r="S17" i="1"/>
  <c r="Q17" i="1"/>
  <c r="L17" i="1"/>
  <c r="K17" i="1"/>
  <c r="G17" i="1"/>
  <c r="F17" i="1"/>
  <c r="H17" i="1" s="1"/>
  <c r="D17" i="1"/>
  <c r="BL16" i="1"/>
  <c r="BK16" i="1"/>
  <c r="BM16" i="1" s="1"/>
  <c r="BG16" i="1"/>
  <c r="BF16" i="1"/>
  <c r="BD16" i="1"/>
  <c r="AX16" i="1"/>
  <c r="AT16" i="1"/>
  <c r="AU16" i="1" s="1"/>
  <c r="AS16" i="1"/>
  <c r="AQ16" i="1"/>
  <c r="AM16" i="1"/>
  <c r="AL16" i="1"/>
  <c r="AK16" i="1"/>
  <c r="AG16" i="1"/>
  <c r="AF16" i="1"/>
  <c r="AF19" i="1" s="1"/>
  <c r="AD16" i="1"/>
  <c r="Y16" i="1"/>
  <c r="Z16" i="1" s="1"/>
  <c r="X16" i="1"/>
  <c r="T16" i="1"/>
  <c r="S16" i="1"/>
  <c r="Q16" i="1"/>
  <c r="L16" i="1"/>
  <c r="K16" i="1"/>
  <c r="G16" i="1"/>
  <c r="H16" i="1" s="1"/>
  <c r="F16" i="1"/>
  <c r="D16" i="1"/>
  <c r="BL15" i="1"/>
  <c r="BK15" i="1"/>
  <c r="BG15" i="1"/>
  <c r="BH15" i="1" s="1"/>
  <c r="BF15" i="1"/>
  <c r="AY15" i="1"/>
  <c r="AX15" i="1"/>
  <c r="AX21" i="1" s="1"/>
  <c r="AT15" i="1"/>
  <c r="AT21" i="1" s="1"/>
  <c r="AS15" i="1"/>
  <c r="AQ15" i="1"/>
  <c r="Y15" i="1"/>
  <c r="Z15" i="1" s="1"/>
  <c r="X15" i="1"/>
  <c r="T15" i="1"/>
  <c r="S15" i="1"/>
  <c r="Q15" i="1"/>
  <c r="L15" i="1"/>
  <c r="M15" i="1" s="1"/>
  <c r="K15" i="1"/>
  <c r="G15" i="1"/>
  <c r="F15" i="1"/>
  <c r="H15" i="1" s="1"/>
  <c r="D15" i="1"/>
  <c r="BL14" i="1"/>
  <c r="BM14" i="1" s="1"/>
  <c r="BK14" i="1"/>
  <c r="BG14" i="1"/>
  <c r="BH14" i="1" s="1"/>
  <c r="BF14" i="1"/>
  <c r="AY14" i="1"/>
  <c r="AY20" i="1" s="1"/>
  <c r="AX14" i="1"/>
  <c r="AX20" i="1" s="1"/>
  <c r="AT14" i="1"/>
  <c r="AS14" i="1"/>
  <c r="AS20" i="1" s="1"/>
  <c r="AQ14" i="1"/>
  <c r="Y14" i="1"/>
  <c r="X14" i="1"/>
  <c r="T14" i="1"/>
  <c r="U14" i="1" s="1"/>
  <c r="S14" i="1"/>
  <c r="Q14" i="1"/>
  <c r="M14" i="1"/>
  <c r="L14" i="1"/>
  <c r="K14" i="1"/>
  <c r="G14" i="1"/>
  <c r="F14" i="1"/>
  <c r="D14" i="1"/>
  <c r="BL13" i="1"/>
  <c r="BK13" i="1"/>
  <c r="BG13" i="1"/>
  <c r="BF13" i="1"/>
  <c r="BD13" i="1"/>
  <c r="AY13" i="1"/>
  <c r="AZ13" i="1" s="1"/>
  <c r="AX13" i="1"/>
  <c r="AX19" i="1" s="1"/>
  <c r="AT13" i="1"/>
  <c r="AU13" i="1" s="1"/>
  <c r="AS13" i="1"/>
  <c r="AS19" i="1" s="1"/>
  <c r="AQ13" i="1"/>
  <c r="AD13" i="1"/>
  <c r="Y13" i="1"/>
  <c r="X13" i="1"/>
  <c r="T13" i="1"/>
  <c r="U13" i="1" s="1"/>
  <c r="S13" i="1"/>
  <c r="Q13" i="1"/>
  <c r="L13" i="1"/>
  <c r="K13" i="1"/>
  <c r="G13" i="1"/>
  <c r="F13" i="1"/>
  <c r="D13" i="1"/>
  <c r="BL12" i="1"/>
  <c r="BK12" i="1"/>
  <c r="BG12" i="1"/>
  <c r="BH12" i="1" s="1"/>
  <c r="BF12" i="1"/>
  <c r="BD12" i="1"/>
  <c r="AY12" i="1"/>
  <c r="AX12" i="1"/>
  <c r="AX18" i="1" s="1"/>
  <c r="AT12" i="1"/>
  <c r="AT18" i="1" s="1"/>
  <c r="AU18" i="1" s="1"/>
  <c r="AS12" i="1"/>
  <c r="AS18" i="1" s="1"/>
  <c r="AQ12" i="1"/>
  <c r="AL12" i="1"/>
  <c r="AK12" i="1"/>
  <c r="AG12" i="1"/>
  <c r="AF12" i="1"/>
  <c r="Y12" i="1"/>
  <c r="Z12" i="1" s="1"/>
  <c r="X12" i="1"/>
  <c r="T12" i="1"/>
  <c r="U12" i="1" s="1"/>
  <c r="S12" i="1"/>
  <c r="Q12" i="1"/>
  <c r="L12" i="1"/>
  <c r="M12" i="1" s="1"/>
  <c r="K12" i="1"/>
  <c r="G12" i="1"/>
  <c r="H12" i="1" s="1"/>
  <c r="F12" i="1"/>
  <c r="D12" i="1"/>
  <c r="BL11" i="1"/>
  <c r="BK11" i="1"/>
  <c r="BG11" i="1"/>
  <c r="BF11" i="1"/>
  <c r="BF28" i="1" s="1"/>
  <c r="BD11" i="1"/>
  <c r="AY11" i="1"/>
  <c r="AZ11" i="1" s="1"/>
  <c r="AX11" i="1"/>
  <c r="AT11" i="1"/>
  <c r="AS11" i="1"/>
  <c r="AQ11" i="1"/>
  <c r="AL11" i="1"/>
  <c r="AL14" i="1" s="1"/>
  <c r="AK11" i="1"/>
  <c r="AG11" i="1"/>
  <c r="AG14" i="1" s="1"/>
  <c r="AF11" i="1"/>
  <c r="Y11" i="1"/>
  <c r="X11" i="1"/>
  <c r="Z11" i="1" s="1"/>
  <c r="T11" i="1"/>
  <c r="S11" i="1"/>
  <c r="Q11" i="1"/>
  <c r="L11" i="1"/>
  <c r="M11" i="1" s="1"/>
  <c r="K11" i="1"/>
  <c r="G11" i="1"/>
  <c r="F11" i="1"/>
  <c r="D11" i="1"/>
  <c r="BL10" i="1"/>
  <c r="BM10" i="1" s="1"/>
  <c r="BK10" i="1"/>
  <c r="BK27" i="1" s="1"/>
  <c r="BG10" i="1"/>
  <c r="BF10" i="1"/>
  <c r="BF27" i="1" s="1"/>
  <c r="BD10" i="1"/>
  <c r="AY10" i="1"/>
  <c r="AX10" i="1"/>
  <c r="AT10" i="1"/>
  <c r="AU10" i="1" s="1"/>
  <c r="AS10" i="1"/>
  <c r="AQ10" i="1"/>
  <c r="AL10" i="1"/>
  <c r="AK10" i="1"/>
  <c r="AK13" i="1" s="1"/>
  <c r="AG10" i="1"/>
  <c r="AF10" i="1"/>
  <c r="AD10" i="1"/>
  <c r="Y10" i="1"/>
  <c r="Z10" i="1" s="1"/>
  <c r="X10" i="1"/>
  <c r="X25" i="1" s="1"/>
  <c r="T10" i="1"/>
  <c r="T25" i="1" s="1"/>
  <c r="S10" i="1"/>
  <c r="Q10" i="1"/>
  <c r="L10" i="1"/>
  <c r="K10" i="1"/>
  <c r="M10" i="1" s="1"/>
  <c r="G10" i="1"/>
  <c r="H10" i="1" s="1"/>
  <c r="F10" i="1"/>
  <c r="D10" i="1"/>
  <c r="BD9" i="1"/>
  <c r="AQ9" i="1"/>
  <c r="AD9" i="1"/>
  <c r="Q9" i="1"/>
  <c r="D9" i="1"/>
  <c r="BM8" i="1"/>
  <c r="BH8" i="1"/>
  <c r="BD8" i="1"/>
  <c r="AZ8" i="1"/>
  <c r="AU8" i="1"/>
  <c r="AQ8" i="1"/>
  <c r="AM8" i="1"/>
  <c r="AH8" i="1"/>
  <c r="AD8" i="1"/>
  <c r="Z8" i="1"/>
  <c r="U8" i="1"/>
  <c r="Q8" i="1"/>
  <c r="M8" i="1"/>
  <c r="H8" i="1"/>
  <c r="D8" i="1"/>
  <c r="BK6" i="1"/>
  <c r="BF6" i="1"/>
  <c r="AX6" i="1"/>
  <c r="AX62" i="1" s="1"/>
  <c r="AS6" i="1"/>
  <c r="AK6" i="1"/>
  <c r="AF6" i="1"/>
  <c r="X6" i="1"/>
  <c r="X62" i="1" s="1"/>
  <c r="X97" i="1" s="1"/>
  <c r="X131" i="1" s="1"/>
  <c r="S6" i="1"/>
  <c r="K6" i="1"/>
  <c r="K62" i="1" s="1"/>
  <c r="K97" i="1" s="1"/>
  <c r="K131" i="1" s="1"/>
  <c r="F6" i="1"/>
  <c r="Q3" i="1"/>
  <c r="D3" i="1"/>
  <c r="Z77" i="1" l="1"/>
  <c r="H121" i="1"/>
  <c r="M154" i="1"/>
  <c r="AS42" i="1"/>
  <c r="AM11" i="1"/>
  <c r="AF15" i="1"/>
  <c r="AZ12" i="1"/>
  <c r="H13" i="1"/>
  <c r="AU14" i="1"/>
  <c r="M16" i="1"/>
  <c r="AH21" i="1"/>
  <c r="U30" i="1"/>
  <c r="AM30" i="1"/>
  <c r="BM37" i="1"/>
  <c r="U38" i="1"/>
  <c r="H66" i="1"/>
  <c r="G93" i="1"/>
  <c r="M70" i="1"/>
  <c r="Z74" i="1"/>
  <c r="H77" i="1"/>
  <c r="AM80" i="1"/>
  <c r="AS84" i="1"/>
  <c r="H112" i="1"/>
  <c r="Z137" i="1"/>
  <c r="U142" i="1"/>
  <c r="U151" i="1"/>
  <c r="AH18" i="1"/>
  <c r="AS75" i="1"/>
  <c r="AY84" i="1"/>
  <c r="AZ78" i="1"/>
  <c r="AZ79" i="1"/>
  <c r="U80" i="1"/>
  <c r="S87" i="1"/>
  <c r="H137" i="1"/>
  <c r="U141" i="1"/>
  <c r="BH10" i="1"/>
  <c r="BG27" i="1"/>
  <c r="AH11" i="1"/>
  <c r="AH14" i="1"/>
  <c r="AH31" i="1"/>
  <c r="U11" i="1"/>
  <c r="BK33" i="1"/>
  <c r="AK15" i="1"/>
  <c r="AM12" i="1"/>
  <c r="BM13" i="1"/>
  <c r="BH20" i="1"/>
  <c r="AM35" i="1"/>
  <c r="H37" i="1"/>
  <c r="H43" i="1"/>
  <c r="AZ68" i="1"/>
  <c r="AY74" i="1"/>
  <c r="AZ74" i="1" s="1"/>
  <c r="U69" i="1"/>
  <c r="AU69" i="1"/>
  <c r="U87" i="1"/>
  <c r="Z85" i="1"/>
  <c r="Z86" i="1"/>
  <c r="M117" i="1"/>
  <c r="Z13" i="1"/>
  <c r="U15" i="1"/>
  <c r="M22" i="1"/>
  <c r="Z112" i="1"/>
  <c r="AF23" i="1"/>
  <c r="AH23" i="1" s="1"/>
  <c r="AM72" i="1"/>
  <c r="F87" i="1"/>
  <c r="M87" i="1"/>
  <c r="AF13" i="1"/>
  <c r="AY19" i="1"/>
  <c r="AT28" i="1"/>
  <c r="AU22" i="1"/>
  <c r="BM12" i="1"/>
  <c r="H23" i="1"/>
  <c r="AZ27" i="1"/>
  <c r="M68" i="1"/>
  <c r="U92" i="1"/>
  <c r="Z135" i="1"/>
  <c r="AY17" i="1"/>
  <c r="AM26" i="1"/>
  <c r="BG33" i="1"/>
  <c r="BH33" i="1" s="1"/>
  <c r="H82" i="1"/>
  <c r="M88" i="1"/>
  <c r="U115" i="1"/>
  <c r="H143" i="1"/>
  <c r="AF27" i="1"/>
  <c r="AS35" i="1"/>
  <c r="AS91" i="1"/>
  <c r="AZ92" i="1"/>
  <c r="H32" i="1"/>
  <c r="AK14" i="1"/>
  <c r="S31" i="1"/>
  <c r="AL23" i="1"/>
  <c r="AX17" i="1"/>
  <c r="M13" i="1"/>
  <c r="AL13" i="1"/>
  <c r="AM13" i="1" s="1"/>
  <c r="BH13" i="1"/>
  <c r="AS21" i="1"/>
  <c r="AU21" i="1" s="1"/>
  <c r="BM15" i="1"/>
  <c r="U16" i="1"/>
  <c r="BH16" i="1"/>
  <c r="BM19" i="1"/>
  <c r="U21" i="1"/>
  <c r="U22" i="1"/>
  <c r="AS28" i="1"/>
  <c r="AH24" i="1"/>
  <c r="AZ24" i="1"/>
  <c r="AZ25" i="1"/>
  <c r="AM28" i="1"/>
  <c r="H29" i="1"/>
  <c r="AT35" i="1"/>
  <c r="AU30" i="1"/>
  <c r="AH32" i="1"/>
  <c r="Z36" i="1"/>
  <c r="BK39" i="1"/>
  <c r="H38" i="1"/>
  <c r="U39" i="1"/>
  <c r="M40" i="1"/>
  <c r="AH66" i="1"/>
  <c r="AM70" i="1"/>
  <c r="AG69" i="1"/>
  <c r="AH69" i="1" s="1"/>
  <c r="U71" i="1"/>
  <c r="AX77" i="1"/>
  <c r="AG75" i="1"/>
  <c r="M74" i="1"/>
  <c r="F81" i="1"/>
  <c r="H78" i="1"/>
  <c r="AX84" i="1"/>
  <c r="Z83" i="1"/>
  <c r="M84" i="1"/>
  <c r="AT91" i="1"/>
  <c r="H88" i="1"/>
  <c r="Z89" i="1"/>
  <c r="H92" i="1"/>
  <c r="U102" i="1"/>
  <c r="U114" i="1"/>
  <c r="Z115" i="1"/>
  <c r="M135" i="1"/>
  <c r="H139" i="1"/>
  <c r="U140" i="1"/>
  <c r="Z161" i="1"/>
  <c r="U17" i="1"/>
  <c r="Z18" i="1"/>
  <c r="H21" i="1"/>
  <c r="Z21" i="1"/>
  <c r="U23" i="1"/>
  <c r="AZ23" i="1"/>
  <c r="M26" i="1"/>
  <c r="AH26" i="1"/>
  <c r="Z28" i="1"/>
  <c r="AZ29" i="1"/>
  <c r="BF33" i="1"/>
  <c r="M33" i="1"/>
  <c r="AH33" i="1"/>
  <c r="AH35" i="1"/>
  <c r="AT42" i="1"/>
  <c r="M38" i="1"/>
  <c r="U40" i="1"/>
  <c r="AZ40" i="1"/>
  <c r="AZ41" i="1"/>
  <c r="U42" i="1"/>
  <c r="BM42" i="1"/>
  <c r="AM66" i="1"/>
  <c r="H70" i="1"/>
  <c r="Z70" i="1"/>
  <c r="H71" i="1"/>
  <c r="Z71" i="1"/>
  <c r="H73" i="1"/>
  <c r="U74" i="1"/>
  <c r="AK71" i="1"/>
  <c r="AM71" i="1" s="1"/>
  <c r="AH80" i="1"/>
  <c r="U85" i="1"/>
  <c r="Z90" i="1"/>
  <c r="M92" i="1"/>
  <c r="AZ97" i="1"/>
  <c r="M101" i="1"/>
  <c r="M106" i="1"/>
  <c r="H111" i="1"/>
  <c r="H117" i="1"/>
  <c r="Z117" i="1"/>
  <c r="U121" i="1"/>
  <c r="M122" i="1"/>
  <c r="M136" i="1"/>
  <c r="U137" i="1"/>
  <c r="M139" i="1"/>
  <c r="Z140" i="1"/>
  <c r="M145" i="1"/>
  <c r="H146" i="1"/>
  <c r="Z146" i="1"/>
  <c r="M148" i="1"/>
  <c r="U150" i="1"/>
  <c r="M155" i="1"/>
  <c r="Z157" i="1"/>
  <c r="BM32" i="1"/>
  <c r="M39" i="1"/>
  <c r="AF70" i="1"/>
  <c r="AK79" i="1"/>
  <c r="U78" i="1"/>
  <c r="H79" i="1"/>
  <c r="H86" i="1"/>
  <c r="AZ87" i="1"/>
  <c r="S93" i="1"/>
  <c r="U93" i="1" s="1"/>
  <c r="AU90" i="1"/>
  <c r="U101" i="1"/>
  <c r="M102" i="1"/>
  <c r="Z107" i="1"/>
  <c r="Z118" i="1"/>
  <c r="Z123" i="1"/>
  <c r="U139" i="1"/>
  <c r="U145" i="1"/>
  <c r="U148" i="1"/>
  <c r="M152" i="1"/>
  <c r="Z159" i="1"/>
  <c r="Y37" i="1"/>
  <c r="Z37" i="1" s="1"/>
  <c r="U33" i="1"/>
  <c r="Z46" i="1"/>
  <c r="Z66" i="1"/>
  <c r="AX73" i="1"/>
  <c r="Z72" i="1"/>
  <c r="Z79" i="1"/>
  <c r="AT75" i="1"/>
  <c r="AZ94" i="1"/>
  <c r="AY16" i="1"/>
  <c r="AZ16" i="1" s="1"/>
  <c r="H11" i="1"/>
  <c r="AU11" i="1"/>
  <c r="H14" i="1"/>
  <c r="Z14" i="1"/>
  <c r="AH16" i="1"/>
  <c r="AH17" i="1"/>
  <c r="BH17" i="1"/>
  <c r="M18" i="1"/>
  <c r="AM22" i="1"/>
  <c r="M24" i="1"/>
  <c r="X31" i="1"/>
  <c r="Z33" i="1"/>
  <c r="AU33" i="1"/>
  <c r="AU34" i="1"/>
  <c r="H35" i="1"/>
  <c r="U36" i="1"/>
  <c r="M37" i="1"/>
  <c r="H40" i="1"/>
  <c r="H41" i="1"/>
  <c r="U45" i="1"/>
  <c r="AU66" i="1"/>
  <c r="AG70" i="1"/>
  <c r="H69" i="1"/>
  <c r="H74" i="1"/>
  <c r="S81" i="1"/>
  <c r="M77" i="1"/>
  <c r="AT84" i="1"/>
  <c r="AU84" i="1" s="1"/>
  <c r="M82" i="1"/>
  <c r="AH82" i="1"/>
  <c r="AZ82" i="1"/>
  <c r="H84" i="1"/>
  <c r="T93" i="1"/>
  <c r="U89" i="1"/>
  <c r="AU93" i="1"/>
  <c r="M105" i="1"/>
  <c r="M112" i="1"/>
  <c r="U125" i="1"/>
  <c r="Z138" i="1"/>
  <c r="U155" i="1"/>
  <c r="AH70" i="1"/>
  <c r="BF34" i="1"/>
  <c r="BG43" i="1"/>
  <c r="BG44" i="1"/>
  <c r="BH42" i="1"/>
  <c r="AH71" i="1"/>
  <c r="H83" i="1"/>
  <c r="M89" i="1"/>
  <c r="AU15" i="1"/>
  <c r="AL19" i="1"/>
  <c r="AM19" i="1" s="1"/>
  <c r="AZ19" i="1"/>
  <c r="BL34" i="1"/>
  <c r="BM34" i="1" s="1"/>
  <c r="BM31" i="1"/>
  <c r="AL83" i="1"/>
  <c r="AM83" i="1" s="1"/>
  <c r="BL27" i="1"/>
  <c r="AM17" i="1"/>
  <c r="AG19" i="1"/>
  <c r="AH19" i="1" s="1"/>
  <c r="Y25" i="1"/>
  <c r="Z25" i="1" s="1"/>
  <c r="Z20" i="1"/>
  <c r="BH21" i="1"/>
  <c r="Y31" i="1"/>
  <c r="BG39" i="1"/>
  <c r="BH39" i="1" s="1"/>
  <c r="BH36" i="1"/>
  <c r="BF43" i="1"/>
  <c r="BF44" i="1"/>
  <c r="AZ69" i="1"/>
  <c r="U79" i="1"/>
  <c r="AZ81" i="1"/>
  <c r="U83" i="1"/>
  <c r="U90" i="1"/>
  <c r="AS98" i="1"/>
  <c r="AU98" i="1" s="1"/>
  <c r="Z102" i="1"/>
  <c r="H144" i="1"/>
  <c r="H155" i="1"/>
  <c r="AG13" i="1"/>
  <c r="AH10" i="1"/>
  <c r="AT20" i="1"/>
  <c r="AU20" i="1" s="1"/>
  <c r="BL44" i="1"/>
  <c r="BM41" i="1"/>
  <c r="BG28" i="1"/>
  <c r="BH11" i="1"/>
  <c r="AZ20" i="1"/>
  <c r="AU17" i="1"/>
  <c r="BF29" i="1"/>
  <c r="AY28" i="1"/>
  <c r="AZ28" i="1" s="1"/>
  <c r="BF38" i="1"/>
  <c r="BH37" i="1"/>
  <c r="BK43" i="1"/>
  <c r="L53" i="1"/>
  <c r="M53" i="1" s="1"/>
  <c r="M46" i="1"/>
  <c r="Z111" i="1"/>
  <c r="U10" i="1"/>
  <c r="AM10" i="1"/>
  <c r="BL43" i="1"/>
  <c r="BL38" i="1"/>
  <c r="BM38" i="1" s="1"/>
  <c r="AK23" i="1"/>
  <c r="AM23" i="1" s="1"/>
  <c r="AU23" i="1"/>
  <c r="BM23" i="1"/>
  <c r="AZ26" i="1"/>
  <c r="BH27" i="1"/>
  <c r="AU35" i="1"/>
  <c r="U31" i="1"/>
  <c r="BG34" i="1"/>
  <c r="Z32" i="1"/>
  <c r="AX42" i="1"/>
  <c r="AZ36" i="1"/>
  <c r="H42" i="1"/>
  <c r="M66" i="1"/>
  <c r="L93" i="1"/>
  <c r="M93" i="1" s="1"/>
  <c r="AH67" i="1"/>
  <c r="AZ67" i="1"/>
  <c r="AY73" i="1"/>
  <c r="AZ76" i="1"/>
  <c r="M86" i="1"/>
  <c r="H110" i="1"/>
  <c r="U76" i="1"/>
  <c r="T81" i="1"/>
  <c r="BH32" i="1"/>
  <c r="AZ10" i="1"/>
  <c r="AU12" i="1"/>
  <c r="H76" i="1"/>
  <c r="U124" i="1"/>
  <c r="AH12" i="1"/>
  <c r="AZ14" i="1"/>
  <c r="F131" i="1"/>
  <c r="F97" i="1"/>
  <c r="AS62" i="1"/>
  <c r="S131" i="1"/>
  <c r="S97" i="1"/>
  <c r="F62" i="1"/>
  <c r="S62" i="1"/>
  <c r="BM11" i="1"/>
  <c r="AG15" i="1"/>
  <c r="AZ15" i="1"/>
  <c r="M17" i="1"/>
  <c r="AY18" i="1"/>
  <c r="AZ18" i="1" s="1"/>
  <c r="H19" i="1"/>
  <c r="U20" i="1"/>
  <c r="S25" i="1"/>
  <c r="U25" i="1" s="1"/>
  <c r="AY21" i="1"/>
  <c r="AZ21" i="1" s="1"/>
  <c r="AU29" i="1"/>
  <c r="Z45" i="1"/>
  <c r="AF62" i="1"/>
  <c r="L81" i="1"/>
  <c r="M81" i="1" s="1"/>
  <c r="AU85" i="1"/>
  <c r="H93" i="1"/>
  <c r="H136" i="1"/>
  <c r="AK19" i="1"/>
  <c r="BG38" i="1"/>
  <c r="BH38" i="1" s="1"/>
  <c r="M43" i="1"/>
  <c r="X81" i="1"/>
  <c r="Z76" i="1"/>
  <c r="M140" i="1"/>
  <c r="BK38" i="1"/>
  <c r="BK28" i="1"/>
  <c r="BK29" i="1" s="1"/>
  <c r="AH20" i="1"/>
  <c r="AK27" i="1"/>
  <c r="Y81" i="1"/>
  <c r="AL15" i="1"/>
  <c r="AM15" i="1" s="1"/>
  <c r="AM14" i="1"/>
  <c r="AL27" i="1"/>
  <c r="U26" i="1"/>
  <c r="AH29" i="1"/>
  <c r="BL33" i="1"/>
  <c r="BM33" i="1" s="1"/>
  <c r="AY35" i="1"/>
  <c r="AU40" i="1"/>
  <c r="AX75" i="1"/>
  <c r="AZ75" i="1" s="1"/>
  <c r="Z80" i="1"/>
  <c r="AX91" i="1"/>
  <c r="AZ91" i="1" s="1"/>
  <c r="H109" i="1"/>
  <c r="M156" i="1"/>
  <c r="Y93" i="1"/>
  <c r="AT19" i="1"/>
  <c r="AU19" i="1" s="1"/>
  <c r="AM33" i="1"/>
  <c r="M35" i="1"/>
  <c r="AY42" i="1"/>
  <c r="AZ42" i="1" s="1"/>
  <c r="U44" i="1"/>
  <c r="H67" i="1"/>
  <c r="AT73" i="1"/>
  <c r="AU73" i="1" s="1"/>
  <c r="AU68" i="1"/>
  <c r="AT74" i="1"/>
  <c r="AU74" i="1" s="1"/>
  <c r="U72" i="1"/>
  <c r="AL75" i="1"/>
  <c r="AM75" i="1" s="1"/>
  <c r="G81" i="1"/>
  <c r="H81" i="1" s="1"/>
  <c r="AM76" i="1"/>
  <c r="AL79" i="1"/>
  <c r="AG79" i="1"/>
  <c r="AH79" i="1" s="1"/>
  <c r="AU81" i="1"/>
  <c r="AU87" i="1"/>
  <c r="M114" i="1"/>
  <c r="U138" i="1"/>
  <c r="H145" i="1"/>
  <c r="M151" i="1"/>
  <c r="AX35" i="1"/>
  <c r="M41" i="1"/>
  <c r="AY72" i="1"/>
  <c r="AZ72" i="1" s="1"/>
  <c r="AL69" i="1"/>
  <c r="AM69" i="1" s="1"/>
  <c r="M73" i="1"/>
  <c r="AH77" i="1"/>
  <c r="AM81" i="1"/>
  <c r="H148" i="1"/>
  <c r="Z155" i="1"/>
  <c r="U118" i="1"/>
  <c r="Z126" i="1"/>
  <c r="Z136" i="1"/>
  <c r="AG27" i="1"/>
  <c r="AH27" i="1" s="1"/>
  <c r="S37" i="1"/>
  <c r="G53" i="1"/>
  <c r="H53" i="1" s="1"/>
  <c r="AT76" i="1"/>
  <c r="AU76" i="1" s="1"/>
  <c r="AH75" i="1"/>
  <c r="G87" i="1"/>
  <c r="H87" i="1" s="1"/>
  <c r="X87" i="1"/>
  <c r="H85" i="1"/>
  <c r="U88" i="1"/>
  <c r="AZ88" i="1"/>
  <c r="AU97" i="1"/>
  <c r="Z104" i="1"/>
  <c r="H118" i="1"/>
  <c r="Z139" i="1"/>
  <c r="T37" i="1"/>
  <c r="AU36" i="1"/>
  <c r="BM36" i="1"/>
  <c r="BL39" i="1"/>
  <c r="BM39" i="1" s="1"/>
  <c r="BK44" i="1"/>
  <c r="U67" i="1"/>
  <c r="AU70" i="1"/>
  <c r="AY77" i="1"/>
  <c r="AZ77" i="1" s="1"/>
  <c r="AH72" i="1"/>
  <c r="Z78" i="1"/>
  <c r="Y87" i="1"/>
  <c r="X93" i="1"/>
  <c r="Z88" i="1"/>
  <c r="AY98" i="1"/>
  <c r="AZ98" i="1" s="1"/>
  <c r="U103" i="1"/>
  <c r="Z114" i="1"/>
  <c r="U123" i="1"/>
  <c r="H135" i="1"/>
  <c r="M146" i="1"/>
  <c r="Z162" i="1"/>
  <c r="AM67" i="1"/>
  <c r="AH68" i="1"/>
  <c r="U82" i="1"/>
  <c r="Z81" i="1" l="1"/>
  <c r="AZ35" i="1"/>
  <c r="AH15" i="1"/>
  <c r="U81" i="1"/>
  <c r="AZ17" i="1"/>
  <c r="AU28" i="1"/>
  <c r="AZ84" i="1"/>
  <c r="Z31" i="1"/>
  <c r="AU75" i="1"/>
  <c r="AM79" i="1"/>
  <c r="AH13" i="1"/>
  <c r="AU42" i="1"/>
  <c r="AZ73" i="1"/>
  <c r="U37" i="1"/>
  <c r="BH44" i="1"/>
  <c r="AU91" i="1"/>
  <c r="BH28" i="1"/>
  <c r="BG29" i="1"/>
  <c r="BH29" i="1" s="1"/>
  <c r="Z87" i="1"/>
  <c r="BH43" i="1"/>
  <c r="BL29" i="1"/>
  <c r="BM29" i="1" s="1"/>
  <c r="BM27" i="1"/>
  <c r="Z93" i="1"/>
  <c r="BM44" i="1"/>
  <c r="BH34" i="1"/>
  <c r="BM28" i="1"/>
  <c r="BM43" i="1"/>
  <c r="AM27" i="1"/>
</calcChain>
</file>

<file path=xl/sharedStrings.xml><?xml version="1.0" encoding="utf-8"?>
<sst xmlns="http://schemas.openxmlformats.org/spreadsheetml/2006/main" count="45" uniqueCount="12">
  <si>
    <t>Español</t>
  </si>
  <si>
    <t>esp</t>
  </si>
  <si>
    <t>English</t>
  </si>
  <si>
    <t>eng</t>
  </si>
  <si>
    <t>idioma</t>
  </si>
  <si>
    <t>PRISA MEDIA</t>
  </si>
  <si>
    <t>PRISA RADIO</t>
  </si>
  <si>
    <t>PRISA NOTICIAS</t>
  </si>
  <si>
    <t>Prisa Radio</t>
  </si>
  <si>
    <t>Prisa Noticias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</si>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</sst>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b/>
      <sz val="11"/>
      <color rgb="FF03678B"/>
      <name val="Neo Sans Pro"/>
      <family val="2"/>
    </font>
    <font>
      <b/>
      <sz val="11"/>
      <color theme="1"/>
      <name val="Neo Sans Pro"/>
      <family val="2"/>
    </font>
    <font>
      <i/>
      <sz val="11"/>
      <color theme="1"/>
      <name val="Neo Sans Pro"/>
      <family val="2"/>
    </font>
    <font>
      <sz val="11"/>
      <color rgb="FFFF0000"/>
      <name val="Neo Sans Pro"/>
      <family val="2"/>
    </font>
    <font>
      <sz val="8"/>
      <color rgb="FFFF0000"/>
      <name val="Neo Sans Pro"/>
      <family val="2"/>
    </font>
    <font>
      <b/>
      <sz val="10"/>
      <color theme="1"/>
      <name val="Neo Sans Pro"/>
      <family val="2"/>
    </font>
    <font>
      <sz val="9"/>
      <color rgb="FFFF0000"/>
      <name val="Neo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/>
      <right/>
      <top style="thin">
        <color rgb="FF03678B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6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2" fillId="2" borderId="0" xfId="0" applyFont="1" applyFill="1"/>
    <xf numFmtId="0" fontId="6" fillId="3" borderId="0" xfId="0" applyFont="1" applyFill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5" borderId="0" xfId="1" applyNumberFormat="1" applyFont="1" applyFill="1" applyAlignment="1">
      <alignment horizontal="right" vertical="center" indent="1"/>
    </xf>
    <xf numFmtId="0" fontId="8" fillId="2" borderId="7" xfId="0" applyFont="1" applyFill="1" applyBorder="1" applyAlignment="1">
      <alignment vertical="center"/>
    </xf>
    <xf numFmtId="165" fontId="8" fillId="4" borderId="7" xfId="0" applyNumberFormat="1" applyFont="1" applyFill="1" applyBorder="1" applyAlignment="1">
      <alignment horizontal="right" vertical="center" indent="1"/>
    </xf>
    <xf numFmtId="165" fontId="8" fillId="2" borderId="7" xfId="0" applyNumberFormat="1" applyFont="1" applyFill="1" applyBorder="1" applyAlignment="1">
      <alignment horizontal="right" vertical="center" indent="1"/>
    </xf>
    <xf numFmtId="164" fontId="8" fillId="5" borderId="7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4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5" borderId="0" xfId="1" applyNumberFormat="1" applyFont="1" applyFill="1" applyAlignment="1">
      <alignment horizontal="right" vertical="center" indent="1"/>
    </xf>
    <xf numFmtId="0" fontId="8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3"/>
    </xf>
    <xf numFmtId="165" fontId="4" fillId="4" borderId="0" xfId="0" applyNumberFormat="1" applyFont="1" applyFill="1" applyAlignment="1">
      <alignment horizontal="right" vertical="center" indent="1"/>
    </xf>
    <xf numFmtId="165" fontId="4" fillId="2" borderId="0" xfId="0" applyNumberFormat="1" applyFont="1" applyFill="1" applyAlignment="1">
      <alignment horizontal="right" vertical="center" indent="1"/>
    </xf>
    <xf numFmtId="164" fontId="4" fillId="5" borderId="0" xfId="1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left" vertical="center" indent="3"/>
    </xf>
    <xf numFmtId="0" fontId="4" fillId="2" borderId="0" xfId="0" applyFont="1" applyFill="1" applyAlignment="1">
      <alignment horizontal="left" vertical="center" indent="5"/>
    </xf>
    <xf numFmtId="0" fontId="9" fillId="2" borderId="0" xfId="0" applyFont="1" applyFill="1"/>
    <xf numFmtId="0" fontId="9" fillId="2" borderId="0" xfId="0" applyFont="1" applyFill="1" applyAlignment="1">
      <alignment horizontal="left" vertical="center" indent="1"/>
    </xf>
    <xf numFmtId="164" fontId="9" fillId="4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4" fontId="9" fillId="5" borderId="0" xfId="1" applyNumberFormat="1" applyFont="1" applyFill="1" applyAlignment="1">
      <alignment horizontal="right" vertical="center" indent="1"/>
    </xf>
    <xf numFmtId="0" fontId="8" fillId="2" borderId="0" xfId="0" applyFont="1" applyFill="1" applyBorder="1" applyAlignment="1">
      <alignment horizontal="left" vertical="center" indent="1"/>
    </xf>
    <xf numFmtId="0" fontId="8" fillId="2" borderId="0" xfId="0" applyFont="1" applyFill="1" applyBorder="1"/>
    <xf numFmtId="165" fontId="8" fillId="4" borderId="0" xfId="0" applyNumberFormat="1" applyFont="1" applyFill="1" applyBorder="1" applyAlignment="1">
      <alignment horizontal="right" vertical="center" indent="1"/>
    </xf>
    <xf numFmtId="165" fontId="8" fillId="2" borderId="0" xfId="0" applyNumberFormat="1" applyFont="1" applyFill="1" applyBorder="1" applyAlignment="1">
      <alignment horizontal="right" vertical="center" indent="1"/>
    </xf>
    <xf numFmtId="164" fontId="8" fillId="5" borderId="0" xfId="1" applyNumberFormat="1" applyFont="1" applyFill="1" applyBorder="1" applyAlignment="1">
      <alignment horizontal="right" vertical="center" indent="1"/>
    </xf>
    <xf numFmtId="0" fontId="8" fillId="2" borderId="8" xfId="0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horizontal="right" vertical="center" indent="1"/>
    </xf>
    <xf numFmtId="165" fontId="8" fillId="2" borderId="8" xfId="0" applyNumberFormat="1" applyFont="1" applyFill="1" applyBorder="1" applyAlignment="1">
      <alignment horizontal="right" vertical="center" indent="1"/>
    </xf>
    <xf numFmtId="164" fontId="8" fillId="5" borderId="8" xfId="1" applyNumberFormat="1" applyFont="1" applyFill="1" applyBorder="1" applyAlignment="1">
      <alignment horizontal="right" vertical="center" indent="1"/>
    </xf>
    <xf numFmtId="164" fontId="4" fillId="2" borderId="0" xfId="1" applyNumberFormat="1" applyFont="1" applyFill="1" applyAlignment="1">
      <alignment horizontal="righ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/>
    <xf numFmtId="165" fontId="3" fillId="4" borderId="0" xfId="0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 applyBorder="1" applyAlignment="1">
      <alignment horizontal="right" vertical="center" indent="1"/>
    </xf>
    <xf numFmtId="164" fontId="3" fillId="5" borderId="0" xfId="1" applyNumberFormat="1" applyFont="1" applyFill="1" applyBorder="1" applyAlignment="1">
      <alignment horizontal="right" vertical="center" indent="1"/>
    </xf>
    <xf numFmtId="0" fontId="8" fillId="2" borderId="0" xfId="0" applyFont="1" applyFill="1" applyBorder="1" applyAlignment="1">
      <alignment vertical="center"/>
    </xf>
    <xf numFmtId="0" fontId="3" fillId="6" borderId="0" xfId="0" applyFont="1" applyFill="1"/>
    <xf numFmtId="0" fontId="10" fillId="2" borderId="0" xfId="0" applyFont="1" applyFill="1" applyBorder="1"/>
    <xf numFmtId="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6.%20Junio/Nota%20IR/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GRUPO DIGITAL"/>
      <sheetName val="EDUCACIÓN"/>
      <sheetName val="MEDIA"/>
      <sheetName val="RADIO"/>
      <sheetName val="NOTICIAS"/>
      <sheetName val="To Publish"/>
    </sheetNames>
    <sheetDataSet>
      <sheetData sheetId="0">
        <row r="10">
          <cell r="K10">
            <v>306.214990084058</v>
          </cell>
          <cell r="L10">
            <v>353.15377432231816</v>
          </cell>
          <cell r="P10">
            <v>147.69840863559327</v>
          </cell>
          <cell r="Q10">
            <v>91.954695331452342</v>
          </cell>
        </row>
        <row r="11">
          <cell r="K11">
            <v>149.99664545000007</v>
          </cell>
          <cell r="L11">
            <v>126.16146029999955</v>
          </cell>
          <cell r="P11">
            <v>84.782958040000054</v>
          </cell>
          <cell r="Q11">
            <v>55.18926020999929</v>
          </cell>
        </row>
        <row r="12">
          <cell r="K12">
            <v>156.21834463405796</v>
          </cell>
          <cell r="L12">
            <v>226.9923140223186</v>
          </cell>
          <cell r="P12">
            <v>62.915450595593228</v>
          </cell>
          <cell r="Q12">
            <v>36.765435121453038</v>
          </cell>
        </row>
        <row r="13">
          <cell r="K13">
            <v>155.99367063405796</v>
          </cell>
          <cell r="L13">
            <v>226.1962380223186</v>
          </cell>
          <cell r="P13">
            <v>62.699906595593234</v>
          </cell>
          <cell r="Q13">
            <v>35.980124121453059</v>
          </cell>
        </row>
        <row r="14">
          <cell r="K14">
            <v>0.22467399999999998</v>
          </cell>
          <cell r="L14">
            <v>0.79607600000000012</v>
          </cell>
          <cell r="P14">
            <v>0.21554399999999999</v>
          </cell>
          <cell r="Q14">
            <v>0.78531099999999976</v>
          </cell>
        </row>
        <row r="15">
          <cell r="K15">
            <v>303.48870310825362</v>
          </cell>
          <cell r="L15">
            <v>333.34794221600362</v>
          </cell>
          <cell r="P15">
            <v>157.27823573462911</v>
          </cell>
          <cell r="Q15">
            <v>136.21714280744692</v>
          </cell>
        </row>
        <row r="16">
          <cell r="K16">
            <v>171.68382472000064</v>
          </cell>
          <cell r="L16">
            <v>154.6759768499999</v>
          </cell>
          <cell r="P16">
            <v>89.426199130000413</v>
          </cell>
          <cell r="Q16">
            <v>72.971339319999984</v>
          </cell>
        </row>
        <row r="17">
          <cell r="K17">
            <v>131.804878388253</v>
          </cell>
          <cell r="L17">
            <v>178.67196536600372</v>
          </cell>
          <cell r="P17">
            <v>67.852036604628694</v>
          </cell>
          <cell r="Q17">
            <v>63.245803487446906</v>
          </cell>
        </row>
        <row r="18">
          <cell r="K18">
            <v>131.26677681825299</v>
          </cell>
          <cell r="L18">
            <v>178.03198077600371</v>
          </cell>
          <cell r="P18">
            <v>67.546005694628704</v>
          </cell>
          <cell r="Q18">
            <v>62.827067577446932</v>
          </cell>
        </row>
        <row r="19">
          <cell r="K19">
            <v>0.53810156999999992</v>
          </cell>
          <cell r="L19">
            <v>0.63998459000000829</v>
          </cell>
          <cell r="P19">
            <v>0.30603090999999988</v>
          </cell>
          <cell r="Q19">
            <v>0.41873591000000721</v>
          </cell>
        </row>
        <row r="20">
          <cell r="K20">
            <v>2.7262869758044044</v>
          </cell>
          <cell r="L20">
            <v>19.805832106314533</v>
          </cell>
          <cell r="P20">
            <v>-9.5798270990358318</v>
          </cell>
          <cell r="Q20">
            <v>-44.26244747599457</v>
          </cell>
        </row>
        <row r="21">
          <cell r="K21">
            <v>-21.687179270000559</v>
          </cell>
          <cell r="L21">
            <v>-28.514516550000341</v>
          </cell>
          <cell r="P21">
            <v>-4.6432410900003589</v>
          </cell>
          <cell r="Q21">
            <v>-17.782079110000694</v>
          </cell>
        </row>
        <row r="22">
          <cell r="K22">
            <v>24.413466245804965</v>
          </cell>
          <cell r="L22">
            <v>48.320348656314877</v>
          </cell>
          <cell r="P22">
            <v>-4.936586009035473</v>
          </cell>
          <cell r="Q22">
            <v>-26.480368365993868</v>
          </cell>
        </row>
        <row r="23">
          <cell r="K23">
            <v>24.726893815804964</v>
          </cell>
          <cell r="L23">
            <v>48.164257246314882</v>
          </cell>
          <cell r="P23">
            <v>-4.8460990990354738</v>
          </cell>
          <cell r="Q23">
            <v>-26.846943455993873</v>
          </cell>
        </row>
        <row r="24">
          <cell r="K24">
            <v>-0.31342756999999993</v>
          </cell>
          <cell r="L24">
            <v>0.1560914099999918</v>
          </cell>
          <cell r="P24">
            <v>-9.0486909999999893E-2</v>
          </cell>
          <cell r="Q24">
            <v>0.36657508999999255</v>
          </cell>
        </row>
        <row r="25">
          <cell r="K25">
            <v>8.9031793481306083E-3</v>
          </cell>
          <cell r="L25">
            <v>5.6082742268069453E-2</v>
          </cell>
          <cell r="P25">
            <v>-6.4860733352053376E-2</v>
          </cell>
          <cell r="Q25">
            <v>-0.48135059679606124</v>
          </cell>
        </row>
        <row r="26">
          <cell r="K26">
            <v>17.966641545918876</v>
          </cell>
          <cell r="L26">
            <v>23.381537486640795</v>
          </cell>
          <cell r="P26">
            <v>0.88292938203533566</v>
          </cell>
          <cell r="Q26">
            <v>-42.865121448289329</v>
          </cell>
        </row>
        <row r="27">
          <cell r="K27">
            <v>-9.0853515000005629</v>
          </cell>
          <cell r="L27">
            <v>-26.242758760000346</v>
          </cell>
          <cell r="P27">
            <v>4.6712142799996386</v>
          </cell>
          <cell r="Q27">
            <v>-16.818345350000698</v>
          </cell>
        </row>
        <row r="28">
          <cell r="K28">
            <v>27.051993045919435</v>
          </cell>
          <cell r="L28">
            <v>49.624296246641144</v>
          </cell>
          <cell r="P28">
            <v>-3.7882848979643065</v>
          </cell>
          <cell r="Q28">
            <v>-26.046776098288625</v>
          </cell>
        </row>
        <row r="29">
          <cell r="K29">
            <v>27.355420615919435</v>
          </cell>
          <cell r="L29">
            <v>49.468204836641149</v>
          </cell>
          <cell r="P29">
            <v>-3.6977979879643073</v>
          </cell>
          <cell r="Q29">
            <v>-26.413351188288615</v>
          </cell>
        </row>
        <row r="30">
          <cell r="K30">
            <v>-0.30342756999999992</v>
          </cell>
          <cell r="L30">
            <v>0.1560914099999918</v>
          </cell>
          <cell r="P30">
            <v>-9.0486909999999893E-2</v>
          </cell>
          <cell r="Q30">
            <v>0.36657508999999255</v>
          </cell>
        </row>
        <row r="31">
          <cell r="K31">
            <v>5.8673292058585756E-2</v>
          </cell>
          <cell r="L31">
            <v>6.6207808571517104E-2</v>
          </cell>
          <cell r="P31">
            <v>5.9779207521032281E-3</v>
          </cell>
          <cell r="Q31">
            <v>-0.46615478735241561</v>
          </cell>
        </row>
        <row r="32">
          <cell r="K32">
            <v>-28.408900839821811</v>
          </cell>
          <cell r="L32">
            <v>-38.077860875869277</v>
          </cell>
          <cell r="P32">
            <v>-23.866604623914224</v>
          </cell>
          <cell r="Q32">
            <v>-79.577377339430967</v>
          </cell>
        </row>
        <row r="33">
          <cell r="K33">
            <v>-33.388095170000767</v>
          </cell>
          <cell r="L33">
            <v>-43.225206240000368</v>
          </cell>
          <cell r="P33">
            <v>-10.448778210000604</v>
          </cell>
          <cell r="Q33">
            <v>-25.795157100000743</v>
          </cell>
        </row>
        <row r="34">
          <cell r="K34">
            <v>4.9791943301789523</v>
          </cell>
          <cell r="L34">
            <v>5.1473453641310929</v>
          </cell>
          <cell r="P34">
            <v>-13.417826413913623</v>
          </cell>
          <cell r="Q34">
            <v>-53.782220239430231</v>
          </cell>
        </row>
        <row r="35">
          <cell r="K35">
            <v>5.3009049001789528</v>
          </cell>
          <cell r="L35">
            <v>4.9995409541311053</v>
          </cell>
          <cell r="P35">
            <v>-13.323197503913622</v>
          </cell>
          <cell r="Q35">
            <v>-54.14465332943022</v>
          </cell>
        </row>
        <row r="36">
          <cell r="K36">
            <v>-0.32171056999999997</v>
          </cell>
          <cell r="L36">
            <v>0.14780440999998695</v>
          </cell>
          <cell r="P36">
            <v>-9.4628909999999983E-2</v>
          </cell>
          <cell r="Q36">
            <v>0.36243308999999002</v>
          </cell>
        </row>
        <row r="37">
          <cell r="K37">
            <v>-9.2774363632633999E-2</v>
          </cell>
          <cell r="L37">
            <v>-0.10782232456367911</v>
          </cell>
          <cell r="P37">
            <v>-0.16159012710014198</v>
          </cell>
          <cell r="Q37">
            <v>-0.86539765101273936</v>
          </cell>
        </row>
        <row r="38">
          <cell r="K38">
            <v>-29.054100709737511</v>
          </cell>
          <cell r="L38">
            <v>-37.123482151478193</v>
          </cell>
          <cell r="P38">
            <v>-21.914505012863955</v>
          </cell>
          <cell r="Q38">
            <v>-22.036393860818443</v>
          </cell>
        </row>
        <row r="39">
          <cell r="K39">
            <v>-26.360682611798971</v>
          </cell>
          <cell r="L39">
            <v>-33.883836092595551</v>
          </cell>
          <cell r="P39">
            <v>-13.61107869423207</v>
          </cell>
          <cell r="Q39">
            <v>-19.082805798571449</v>
          </cell>
        </row>
        <row r="40">
          <cell r="K40">
            <v>-2.6934180979385403</v>
          </cell>
          <cell r="L40">
            <v>-3.2396460588826415</v>
          </cell>
          <cell r="P40">
            <v>-8.3034263186318853</v>
          </cell>
          <cell r="Q40">
            <v>-2.9535880622469932</v>
          </cell>
        </row>
        <row r="41">
          <cell r="K41">
            <v>-0.30586592488873349</v>
          </cell>
          <cell r="L41">
            <v>-6.9411877612081554</v>
          </cell>
          <cell r="P41">
            <v>6.7027162512925231E-2</v>
          </cell>
          <cell r="Q41">
            <v>-8.4421102961105419</v>
          </cell>
        </row>
        <row r="42">
          <cell r="K42">
            <v>-57.768867474448058</v>
          </cell>
          <cell r="L42">
            <v>-82.142530788555618</v>
          </cell>
          <cell r="P42">
            <v>-45.714082474265254</v>
          </cell>
          <cell r="Q42">
            <v>-110.05588149635994</v>
          </cell>
        </row>
        <row r="43">
          <cell r="K43">
            <v>0.66403303953440396</v>
          </cell>
          <cell r="L43">
            <v>67.51069697953514</v>
          </cell>
          <cell r="P43">
            <v>-3.0053918607993206</v>
          </cell>
          <cell r="Q43">
            <v>42.517852466728598</v>
          </cell>
        </row>
        <row r="44">
          <cell r="K44">
            <v>-1.9999999999998863E-4</v>
          </cell>
          <cell r="L44">
            <v>-73.976331410083503</v>
          </cell>
          <cell r="P44">
            <v>-1.8081999999998286E-4</v>
          </cell>
          <cell r="Q44">
            <v>-43.671621438837008</v>
          </cell>
        </row>
        <row r="45">
          <cell r="K45">
            <v>-2.2545073777286304</v>
          </cell>
          <cell r="L45">
            <v>-11.5787647254216</v>
          </cell>
          <cell r="P45">
            <v>-0.30650079300727939</v>
          </cell>
          <cell r="Q45">
            <v>-10.330659655714181</v>
          </cell>
        </row>
        <row r="46">
          <cell r="K46">
            <v>-56.178593136253028</v>
          </cell>
          <cell r="L46">
            <v>-212.05079445275265</v>
          </cell>
          <cell r="P46">
            <v>-42.402370640457946</v>
          </cell>
          <cell r="Q46">
            <v>-185.91469574621138</v>
          </cell>
        </row>
        <row r="49">
          <cell r="L49">
            <v>77.290000000000006</v>
          </cell>
          <cell r="Q49">
            <v>48.522000000000006</v>
          </cell>
        </row>
        <row r="50">
          <cell r="L50">
            <v>64.486310131588951</v>
          </cell>
          <cell r="Q50">
            <v>64.486310131588951</v>
          </cell>
        </row>
        <row r="51">
          <cell r="L51">
            <v>21.921520523455278</v>
          </cell>
          <cell r="Q51">
            <v>21.921520523455278</v>
          </cell>
        </row>
        <row r="66">
          <cell r="K66">
            <v>329.69390008885136</v>
          </cell>
          <cell r="L66">
            <v>353.15377432231816</v>
          </cell>
          <cell r="P66">
            <v>151.10277966774564</v>
          </cell>
          <cell r="Q66">
            <v>91.954695331452342</v>
          </cell>
        </row>
        <row r="67">
          <cell r="K67">
            <v>149.9966454500001</v>
          </cell>
          <cell r="L67">
            <v>126.16146029999955</v>
          </cell>
          <cell r="P67">
            <v>84.782958040000082</v>
          </cell>
          <cell r="Q67">
            <v>55.18926020999929</v>
          </cell>
        </row>
        <row r="68">
          <cell r="K68">
            <v>179.69725463885123</v>
          </cell>
          <cell r="L68">
            <v>226.9923140223186</v>
          </cell>
          <cell r="P68">
            <v>66.319821627745512</v>
          </cell>
          <cell r="Q68">
            <v>36.765435121453038</v>
          </cell>
        </row>
        <row r="69">
          <cell r="K69">
            <v>179.47258063885124</v>
          </cell>
          <cell r="L69">
            <v>226.1962380223186</v>
          </cell>
          <cell r="P69">
            <v>66.104277627745532</v>
          </cell>
          <cell r="Q69">
            <v>35.980124121453059</v>
          </cell>
        </row>
        <row r="70">
          <cell r="K70">
            <v>0.22467399999999998</v>
          </cell>
          <cell r="L70">
            <v>0.79607600000000012</v>
          </cell>
          <cell r="P70">
            <v>0.21554399999999999</v>
          </cell>
          <cell r="Q70">
            <v>0.78531099999999976</v>
          </cell>
        </row>
        <row r="71">
          <cell r="K71">
            <v>322.32972337939464</v>
          </cell>
          <cell r="L71">
            <v>333.34794221600362</v>
          </cell>
          <cell r="P71">
            <v>162.50051935118137</v>
          </cell>
          <cell r="Q71">
            <v>136.21714280744692</v>
          </cell>
        </row>
        <row r="72">
          <cell r="K72">
            <v>171.68382472000067</v>
          </cell>
          <cell r="L72">
            <v>154.6759768499999</v>
          </cell>
          <cell r="P72">
            <v>89.426199130000441</v>
          </cell>
          <cell r="Q72">
            <v>72.971339319999984</v>
          </cell>
        </row>
        <row r="73">
          <cell r="K73">
            <v>150.64589865939396</v>
          </cell>
          <cell r="L73">
            <v>178.67196536600372</v>
          </cell>
          <cell r="P73">
            <v>73.074320221180898</v>
          </cell>
          <cell r="Q73">
            <v>63.245803487446906</v>
          </cell>
        </row>
        <row r="74">
          <cell r="K74">
            <v>150.10779708939396</v>
          </cell>
          <cell r="L74">
            <v>178.03198077600371</v>
          </cell>
          <cell r="P74">
            <v>72.768289311180908</v>
          </cell>
          <cell r="Q74">
            <v>62.827067577446932</v>
          </cell>
        </row>
        <row r="75">
          <cell r="K75">
            <v>0.53810156999999992</v>
          </cell>
          <cell r="L75">
            <v>0.63998459000000829</v>
          </cell>
          <cell r="P75">
            <v>0.30603090999999988</v>
          </cell>
          <cell r="Q75">
            <v>0.41873591000000721</v>
          </cell>
        </row>
        <row r="76">
          <cell r="K76">
            <v>7.3641767094567125</v>
          </cell>
          <cell r="L76">
            <v>19.805832106314533</v>
          </cell>
          <cell r="P76">
            <v>-11.397739683435733</v>
          </cell>
          <cell r="Q76">
            <v>-44.26244747599457</v>
          </cell>
        </row>
        <row r="77">
          <cell r="K77">
            <v>-21.687179270000559</v>
          </cell>
          <cell r="L77">
            <v>-28.514516550000341</v>
          </cell>
          <cell r="P77">
            <v>-4.6432410900003518</v>
          </cell>
          <cell r="Q77">
            <v>-17.782079110000694</v>
          </cell>
        </row>
        <row r="78">
          <cell r="K78">
            <v>29.051355979457274</v>
          </cell>
          <cell r="L78">
            <v>48.320348656314877</v>
          </cell>
          <cell r="P78">
            <v>-6.7544985934353825</v>
          </cell>
          <cell r="Q78">
            <v>-26.480368365993868</v>
          </cell>
        </row>
        <row r="79">
          <cell r="K79">
            <v>29.364783549457272</v>
          </cell>
          <cell r="L79">
            <v>48.164257246314882</v>
          </cell>
          <cell r="P79">
            <v>-6.6640116834353762</v>
          </cell>
          <cell r="Q79">
            <v>-26.846943455993873</v>
          </cell>
        </row>
        <row r="80">
          <cell r="K80">
            <v>-0.31342756999999993</v>
          </cell>
          <cell r="L80">
            <v>0.1560914099999918</v>
          </cell>
          <cell r="P80">
            <v>-9.0486909999999893E-2</v>
          </cell>
          <cell r="Q80">
            <v>0.36657508999999255</v>
          </cell>
        </row>
        <row r="82">
          <cell r="K82">
            <v>22.879704366155959</v>
          </cell>
          <cell r="L82">
            <v>23.381537486640795</v>
          </cell>
          <cell r="P82">
            <v>-0.78928231645005908</v>
          </cell>
          <cell r="Q82">
            <v>-42.865121448289329</v>
          </cell>
        </row>
        <row r="83">
          <cell r="K83">
            <v>-9.0853515000005611</v>
          </cell>
          <cell r="L83">
            <v>-26.242758760000346</v>
          </cell>
          <cell r="P83">
            <v>4.6712142799996403</v>
          </cell>
          <cell r="Q83">
            <v>-16.818345350000698</v>
          </cell>
        </row>
        <row r="84">
          <cell r="K84">
            <v>31.965055866156519</v>
          </cell>
          <cell r="L84">
            <v>49.624296246641144</v>
          </cell>
          <cell r="P84">
            <v>-5.4604965964497012</v>
          </cell>
          <cell r="Q84">
            <v>-26.046776098288625</v>
          </cell>
        </row>
        <row r="85">
          <cell r="K85">
            <v>32.268483436156522</v>
          </cell>
          <cell r="L85">
            <v>49.468204836641149</v>
          </cell>
          <cell r="P85">
            <v>-5.3700096864496984</v>
          </cell>
          <cell r="Q85">
            <v>-26.413351188288615</v>
          </cell>
        </row>
        <row r="86">
          <cell r="K86">
            <v>-0.30342756999999992</v>
          </cell>
          <cell r="L86">
            <v>0.1560914099999918</v>
          </cell>
          <cell r="P86">
            <v>-9.0486909999999893E-2</v>
          </cell>
          <cell r="Q86">
            <v>0.36657508999999255</v>
          </cell>
        </row>
        <row r="88">
          <cell r="K88">
            <v>-25.893038137026771</v>
          </cell>
          <cell r="L88">
            <v>-38.077860875869277</v>
          </cell>
          <cell r="P88">
            <v>-25.657182360961187</v>
          </cell>
          <cell r="Q88">
            <v>-79.577377339430967</v>
          </cell>
        </row>
        <row r="89">
          <cell r="K89">
            <v>-33.388095170000767</v>
          </cell>
          <cell r="L89">
            <v>-43.225206240000368</v>
          </cell>
          <cell r="P89">
            <v>-10.448778210000604</v>
          </cell>
          <cell r="Q89">
            <v>-25.795157100000743</v>
          </cell>
        </row>
        <row r="90">
          <cell r="K90">
            <v>7.4950570329739925</v>
          </cell>
          <cell r="L90">
            <v>5.1473453641310929</v>
          </cell>
          <cell r="P90">
            <v>-15.208404150960586</v>
          </cell>
          <cell r="Q90">
            <v>-53.782220239430231</v>
          </cell>
        </row>
        <row r="91">
          <cell r="K91">
            <v>7.8167676029739921</v>
          </cell>
          <cell r="L91">
            <v>4.9995409541311053</v>
          </cell>
          <cell r="P91">
            <v>-15.113775240960585</v>
          </cell>
          <cell r="Q91">
            <v>-54.14465332943022</v>
          </cell>
        </row>
        <row r="92">
          <cell r="K92">
            <v>-0.32171056999999997</v>
          </cell>
          <cell r="L92">
            <v>0.14780440999998695</v>
          </cell>
          <cell r="P92">
            <v>-9.4628909999999983E-2</v>
          </cell>
          <cell r="Q92">
            <v>0.36243308999999002</v>
          </cell>
        </row>
        <row r="101">
          <cell r="K101">
            <v>306.214990084058</v>
          </cell>
          <cell r="L101">
            <v>353.15377432231816</v>
          </cell>
          <cell r="P101">
            <v>147.69840863559327</v>
          </cell>
          <cell r="Q101">
            <v>91.954695331452342</v>
          </cell>
        </row>
        <row r="102">
          <cell r="K102">
            <v>131.73807410550592</v>
          </cell>
          <cell r="L102">
            <v>204.80019036987886</v>
          </cell>
          <cell r="P102">
            <v>49.76480190289135</v>
          </cell>
          <cell r="Q102">
            <v>28.21730253666766</v>
          </cell>
        </row>
        <row r="103">
          <cell r="K103">
            <v>175.15462103967022</v>
          </cell>
          <cell r="L103">
            <v>149.18822384493686</v>
          </cell>
          <cell r="P103">
            <v>98.159916884460756</v>
          </cell>
          <cell r="Q103">
            <v>64.328569360638113</v>
          </cell>
        </row>
        <row r="104">
          <cell r="K104">
            <v>96.605438902318483</v>
          </cell>
          <cell r="L104">
            <v>81.409019257958064</v>
          </cell>
          <cell r="P104">
            <v>55.328367574104291</v>
          </cell>
          <cell r="Q104">
            <v>34.054356911138981</v>
          </cell>
        </row>
        <row r="105">
          <cell r="K105">
            <v>87.081717117560501</v>
          </cell>
          <cell r="L105">
            <v>75.579894746428039</v>
          </cell>
          <cell r="P105">
            <v>47.128621012340211</v>
          </cell>
          <cell r="Q105">
            <v>33.884859971802271</v>
          </cell>
        </row>
        <row r="106">
          <cell r="K106">
            <v>-0.67770506111813233</v>
          </cell>
          <cell r="L106">
            <v>-0.8346398924975631</v>
          </cell>
          <cell r="P106">
            <v>-0.22631015175883817</v>
          </cell>
          <cell r="Q106">
            <v>-0.5911765658534307</v>
          </cell>
        </row>
        <row r="109">
          <cell r="K109">
            <v>2.7262869758044044</v>
          </cell>
          <cell r="L109">
            <v>19.805832106314533</v>
          </cell>
          <cell r="P109">
            <v>-9.5798270990358318</v>
          </cell>
          <cell r="Q109">
            <v>-44.26244747599457</v>
          </cell>
        </row>
        <row r="110">
          <cell r="K110">
            <v>12.920538632294845</v>
          </cell>
          <cell r="L110">
            <v>42.246165727421904</v>
          </cell>
          <cell r="P110">
            <v>-10.318471353568489</v>
          </cell>
          <cell r="Q110">
            <v>-28.160007777659494</v>
          </cell>
        </row>
        <row r="111">
          <cell r="K111">
            <v>-1.2238059564902413</v>
          </cell>
          <cell r="L111">
            <v>-18.821808011107301</v>
          </cell>
          <cell r="P111">
            <v>6.251348124532659</v>
          </cell>
          <cell r="Q111">
            <v>-13.527137988335063</v>
          </cell>
        </row>
        <row r="112">
          <cell r="K112">
            <v>-1.9177552145363055</v>
          </cell>
          <cell r="L112">
            <v>-5.1827484440266032</v>
          </cell>
          <cell r="P112">
            <v>2.5739971539811677</v>
          </cell>
          <cell r="Q112">
            <v>-5.855112174989662</v>
          </cell>
        </row>
        <row r="113">
          <cell r="K113">
            <v>0.8672362980461763</v>
          </cell>
          <cell r="L113">
            <v>-13.639059567080702</v>
          </cell>
          <cell r="P113">
            <v>3.8506380105515889</v>
          </cell>
          <cell r="Q113">
            <v>-7.67202581334538</v>
          </cell>
        </row>
        <row r="114">
          <cell r="K114">
            <v>-8.970445700000198</v>
          </cell>
          <cell r="L114">
            <v>-3.61852561000007</v>
          </cell>
          <cell r="P114">
            <v>-5.5127038700000011</v>
          </cell>
          <cell r="Q114">
            <v>-2.5753017100000122</v>
          </cell>
        </row>
        <row r="117">
          <cell r="K117">
            <v>17.966641545918876</v>
          </cell>
          <cell r="L117">
            <v>23.381537486640795</v>
          </cell>
          <cell r="P117">
            <v>0.88292938203533566</v>
          </cell>
          <cell r="Q117">
            <v>-42.865121448289329</v>
          </cell>
        </row>
        <row r="118">
          <cell r="K118">
            <v>15.00584539737293</v>
          </cell>
          <cell r="L118">
            <v>43.350591255133224</v>
          </cell>
          <cell r="P118">
            <v>-9.5344177713742972</v>
          </cell>
          <cell r="Q118">
            <v>-27.747162910287614</v>
          </cell>
        </row>
        <row r="119">
          <cell r="K119">
            <v>8.4601676185461461</v>
          </cell>
          <cell r="L119">
            <v>-17.137273298492364</v>
          </cell>
          <cell r="P119">
            <v>13.219190103409636</v>
          </cell>
          <cell r="Q119">
            <v>-12.874638118001712</v>
          </cell>
        </row>
        <row r="120">
          <cell r="K120">
            <v>5.1545418504404443</v>
          </cell>
          <cell r="L120">
            <v>-4.8860160727546562</v>
          </cell>
          <cell r="P120">
            <v>8.480111072342309</v>
          </cell>
          <cell r="Q120">
            <v>-5.7767204646563117</v>
          </cell>
        </row>
        <row r="121">
          <cell r="K121">
            <v>3.7363065981058163</v>
          </cell>
          <cell r="L121">
            <v>-12.251257225737712</v>
          </cell>
          <cell r="P121">
            <v>4.9201160910674293</v>
          </cell>
          <cell r="Q121">
            <v>-7.0979176533453803</v>
          </cell>
        </row>
        <row r="122">
          <cell r="K122">
            <v>-5.4993714700002005</v>
          </cell>
          <cell r="L122">
            <v>-2.8317804700000657</v>
          </cell>
          <cell r="P122">
            <v>-2.8018429500000028</v>
          </cell>
          <cell r="Q122">
            <v>-2.2433204200000034</v>
          </cell>
        </row>
        <row r="129">
          <cell r="K129">
            <v>329.69390008885136</v>
          </cell>
          <cell r="L129">
            <v>353.15377432231816</v>
          </cell>
          <cell r="P129">
            <v>151.10277966774564</v>
          </cell>
          <cell r="Q129">
            <v>91.954695331452342</v>
          </cell>
        </row>
        <row r="130">
          <cell r="K130">
            <v>154.36526084699727</v>
          </cell>
          <cell r="L130">
            <v>204.80019036987886</v>
          </cell>
          <cell r="P130">
            <v>52.861749190924414</v>
          </cell>
          <cell r="Q130">
            <v>28.21730253666766</v>
          </cell>
        </row>
        <row r="131">
          <cell r="K131">
            <v>176.0063443029722</v>
          </cell>
          <cell r="L131">
            <v>149.18822384493686</v>
          </cell>
          <cell r="P131">
            <v>98.467340628580061</v>
          </cell>
          <cell r="Q131">
            <v>64.328569360638113</v>
          </cell>
        </row>
        <row r="132">
          <cell r="K132">
            <v>97.357197941913384</v>
          </cell>
          <cell r="L132">
            <v>81.409019257958064</v>
          </cell>
          <cell r="P132">
            <v>55.599554536464403</v>
          </cell>
          <cell r="Q132">
            <v>34.054356911138981</v>
          </cell>
        </row>
        <row r="133">
          <cell r="K133">
            <v>87.181681341267549</v>
          </cell>
          <cell r="L133">
            <v>75.579894746428039</v>
          </cell>
          <cell r="P133">
            <v>47.164857794099369</v>
          </cell>
          <cell r="Q133">
            <v>33.884859971802271</v>
          </cell>
        </row>
        <row r="134">
          <cell r="K134">
            <v>-0.67770506111810391</v>
          </cell>
          <cell r="L134">
            <v>-0.8346398924975631</v>
          </cell>
          <cell r="P134">
            <v>-0.22631015175883817</v>
          </cell>
          <cell r="Q134">
            <v>-0.5911765658534307</v>
          </cell>
        </row>
        <row r="137">
          <cell r="K137">
            <v>7.3641767094567125</v>
          </cell>
          <cell r="L137">
            <v>19.805832106314533</v>
          </cell>
          <cell r="P137">
            <v>-11.397739683435733</v>
          </cell>
          <cell r="Q137">
            <v>-44.26244747599457</v>
          </cell>
        </row>
        <row r="138">
          <cell r="K138">
            <v>17.84912286919192</v>
          </cell>
          <cell r="L138">
            <v>42.246165727421904</v>
          </cell>
          <cell r="P138">
            <v>-12.167461083525556</v>
          </cell>
          <cell r="Q138">
            <v>-28.160007777659494</v>
          </cell>
        </row>
        <row r="139">
          <cell r="K139">
            <v>-1.5145004597350091</v>
          </cell>
          <cell r="L139">
            <v>-18.821808011107301</v>
          </cell>
          <cell r="P139">
            <v>6.2824252700898215</v>
          </cell>
          <cell r="Q139">
            <v>-13.527137988335063</v>
          </cell>
        </row>
        <row r="140">
          <cell r="K140">
            <v>-2.3393956402126661</v>
          </cell>
          <cell r="L140">
            <v>-5.1827484440266032</v>
          </cell>
          <cell r="P140">
            <v>2.5261907431118966</v>
          </cell>
          <cell r="Q140">
            <v>-5.855112174989662</v>
          </cell>
        </row>
        <row r="141">
          <cell r="K141">
            <v>0.99818222047776894</v>
          </cell>
          <cell r="L141">
            <v>-13.639059567080702</v>
          </cell>
          <cell r="P141">
            <v>3.9295215669780221</v>
          </cell>
          <cell r="Q141">
            <v>-7.67202581334538</v>
          </cell>
        </row>
        <row r="142">
          <cell r="K142">
            <v>-8.970445700000198</v>
          </cell>
          <cell r="L142">
            <v>-3.61852561000007</v>
          </cell>
          <cell r="P142">
            <v>-5.5127038699999984</v>
          </cell>
          <cell r="Q142">
            <v>-2.5753017100000122</v>
          </cell>
        </row>
        <row r="145">
          <cell r="K145">
            <v>22.879704366155959</v>
          </cell>
          <cell r="L145">
            <v>23.381537486640795</v>
          </cell>
          <cell r="P145">
            <v>-0.78928231645005908</v>
          </cell>
          <cell r="Q145">
            <v>-42.865121448289329</v>
          </cell>
        </row>
        <row r="146">
          <cell r="K146">
            <v>20.201854978949854</v>
          </cell>
          <cell r="L146">
            <v>43.350591255133224</v>
          </cell>
          <cell r="P146">
            <v>-11.23794809181355</v>
          </cell>
          <cell r="Q146">
            <v>-27.747162910287614</v>
          </cell>
        </row>
        <row r="147">
          <cell r="K147">
            <v>8.1772208572063079</v>
          </cell>
          <cell r="L147">
            <v>-17.137273298492364</v>
          </cell>
          <cell r="P147">
            <v>13.250508725363499</v>
          </cell>
          <cell r="Q147">
            <v>-12.874638118001712</v>
          </cell>
        </row>
        <row r="148">
          <cell r="K148">
            <v>4.7414666907706557</v>
          </cell>
          <cell r="L148">
            <v>-4.8860160727546562</v>
          </cell>
          <cell r="P148">
            <v>8.4338364813719586</v>
          </cell>
          <cell r="Q148">
            <v>-5.7767204646563117</v>
          </cell>
        </row>
        <row r="149">
          <cell r="K149">
            <v>3.8664349964357663</v>
          </cell>
          <cell r="L149">
            <v>-12.251257225737712</v>
          </cell>
          <cell r="P149">
            <v>4.9977093039916411</v>
          </cell>
          <cell r="Q149">
            <v>-7.0979176533453803</v>
          </cell>
        </row>
        <row r="150">
          <cell r="K150">
            <v>-5.4993714700002023</v>
          </cell>
          <cell r="L150">
            <v>-2.8317804700000657</v>
          </cell>
          <cell r="P150">
            <v>-2.8018429500000082</v>
          </cell>
          <cell r="Q150">
            <v>-2.2433204200000034</v>
          </cell>
        </row>
      </sheetData>
      <sheetData sheetId="1"/>
      <sheetData sheetId="2">
        <row r="10">
          <cell r="K10">
            <v>131.73807410550592</v>
          </cell>
          <cell r="L10">
            <v>204.80019036987886</v>
          </cell>
          <cell r="P10">
            <v>49.76480190289135</v>
          </cell>
          <cell r="Q10">
            <v>28.21730253666766</v>
          </cell>
        </row>
        <row r="11">
          <cell r="K11">
            <v>128.48066007550591</v>
          </cell>
          <cell r="L11">
            <v>204.04301018987886</v>
          </cell>
          <cell r="P11">
            <v>47.840066592891347</v>
          </cell>
          <cell r="Q11">
            <v>27.742070036667656</v>
          </cell>
        </row>
        <row r="12">
          <cell r="K12">
            <v>35.908146420910917</v>
          </cell>
          <cell r="L12">
            <v>70.37990826162212</v>
          </cell>
          <cell r="P12">
            <v>13.071611226610266</v>
          </cell>
          <cell r="Q12">
            <v>1.9864372354770268</v>
          </cell>
        </row>
        <row r="13">
          <cell r="K13">
            <v>92.572513654594985</v>
          </cell>
          <cell r="L13">
            <v>133.66310192825674</v>
          </cell>
          <cell r="P13">
            <v>34.768455366281074</v>
          </cell>
          <cell r="Q13">
            <v>25.755632801190629</v>
          </cell>
        </row>
        <row r="14">
          <cell r="K14">
            <v>3.257414030000001</v>
          </cell>
          <cell r="L14">
            <v>0.75718017999999965</v>
          </cell>
          <cell r="P14">
            <v>1.9247353100000009</v>
          </cell>
          <cell r="Q14">
            <v>0.47523249999999956</v>
          </cell>
        </row>
        <row r="15">
          <cell r="K15">
            <v>118.81753547321107</v>
          </cell>
          <cell r="L15">
            <v>162.55402464245697</v>
          </cell>
          <cell r="P15">
            <v>60.08327325645984</v>
          </cell>
          <cell r="Q15">
            <v>56.377310314327154</v>
          </cell>
        </row>
        <row r="16">
          <cell r="K16">
            <v>107.06362334321106</v>
          </cell>
          <cell r="L16">
            <v>151.28061712245696</v>
          </cell>
          <cell r="P16">
            <v>55.384121106459837</v>
          </cell>
          <cell r="Q16">
            <v>51.304177984327154</v>
          </cell>
        </row>
        <row r="17">
          <cell r="K17">
            <v>36.816798104445134</v>
          </cell>
          <cell r="L17">
            <v>49.772196108160685</v>
          </cell>
          <cell r="P17">
            <v>18.225137868505634</v>
          </cell>
          <cell r="Q17">
            <v>13.33535343980607</v>
          </cell>
        </row>
        <row r="18">
          <cell r="K18">
            <v>70.246825238765922</v>
          </cell>
          <cell r="L18">
            <v>101.50842101429627</v>
          </cell>
          <cell r="P18">
            <v>37.158983237954189</v>
          </cell>
          <cell r="Q18">
            <v>37.968824544521084</v>
          </cell>
        </row>
        <row r="19">
          <cell r="K19">
            <v>11.75391213</v>
          </cell>
          <cell r="L19">
            <v>11.273407519999994</v>
          </cell>
          <cell r="P19">
            <v>4.6991521500000006</v>
          </cell>
          <cell r="Q19">
            <v>5.0731323299999946</v>
          </cell>
        </row>
        <row r="20">
          <cell r="K20">
            <v>12.920538632294845</v>
          </cell>
          <cell r="L20">
            <v>42.246165727421904</v>
          </cell>
          <cell r="P20">
            <v>-10.318471353568489</v>
          </cell>
          <cell r="Q20">
            <v>-28.160007777659494</v>
          </cell>
        </row>
        <row r="21">
          <cell r="K21">
            <v>21.417036732294843</v>
          </cell>
          <cell r="L21">
            <v>52.762393067421897</v>
          </cell>
          <cell r="P21">
            <v>-7.54405451356849</v>
          </cell>
          <cell r="Q21">
            <v>-23.562107947659499</v>
          </cell>
        </row>
        <row r="22">
          <cell r="K22">
            <v>-0.90865168353421921</v>
          </cell>
          <cell r="L22">
            <v>20.607712153461435</v>
          </cell>
          <cell r="P22">
            <v>-5.15352664189537</v>
          </cell>
          <cell r="Q22">
            <v>-11.348916204329043</v>
          </cell>
        </row>
        <row r="23">
          <cell r="K23">
            <v>22.325688415829063</v>
          </cell>
          <cell r="L23">
            <v>32.154680913960462</v>
          </cell>
          <cell r="P23">
            <v>-2.3905278716731182</v>
          </cell>
          <cell r="Q23">
            <v>-12.213191743330455</v>
          </cell>
        </row>
        <row r="24">
          <cell r="K24">
            <v>-8.4964980999999984</v>
          </cell>
          <cell r="L24">
            <v>-10.516227339999995</v>
          </cell>
          <cell r="P24">
            <v>-2.7744168399999998</v>
          </cell>
          <cell r="Q24">
            <v>-4.5978998299999949</v>
          </cell>
        </row>
        <row r="26">
          <cell r="K26">
            <v>15.00584539737293</v>
          </cell>
          <cell r="L26">
            <v>43.350591255133224</v>
          </cell>
          <cell r="P26">
            <v>-9.5344177713742972</v>
          </cell>
          <cell r="Q26">
            <v>-27.747162910287614</v>
          </cell>
        </row>
        <row r="27">
          <cell r="K27">
            <v>23.763099137372926</v>
          </cell>
          <cell r="L27">
            <v>53.866818595133218</v>
          </cell>
          <cell r="P27">
            <v>-6.4987264313743012</v>
          </cell>
          <cell r="Q27">
            <v>-23.149263080287618</v>
          </cell>
        </row>
        <row r="28">
          <cell r="K28">
            <v>-0.96764458472351911</v>
          </cell>
          <cell r="L28">
            <v>21.235249662887895</v>
          </cell>
          <cell r="P28">
            <v>-5.4665998936800415</v>
          </cell>
          <cell r="Q28">
            <v>-11.203101349032089</v>
          </cell>
        </row>
        <row r="29">
          <cell r="K29">
            <v>24.730743722096445</v>
          </cell>
          <cell r="L29">
            <v>32.631568932245322</v>
          </cell>
          <cell r="P29">
            <v>-1.0321265376942605</v>
          </cell>
          <cell r="Q29">
            <v>-11.946161731255529</v>
          </cell>
        </row>
        <row r="30">
          <cell r="K30">
            <v>-8.7572537399999977</v>
          </cell>
          <cell r="L30">
            <v>-10.516227339999995</v>
          </cell>
          <cell r="P30">
            <v>-3.0356913399999987</v>
          </cell>
          <cell r="Q30">
            <v>-4.5978998299999949</v>
          </cell>
        </row>
        <row r="32">
          <cell r="K32">
            <v>-5.2981010494050098</v>
          </cell>
          <cell r="L32">
            <v>20.182640723910691</v>
          </cell>
          <cell r="P32">
            <v>-18.173263257193977</v>
          </cell>
          <cell r="Q32">
            <v>-35.295746866178135</v>
          </cell>
        </row>
        <row r="33">
          <cell r="K33">
            <v>4.8158748968962497</v>
          </cell>
          <cell r="L33">
            <v>32.164350372242069</v>
          </cell>
          <cell r="P33">
            <v>-14.621641090892716</v>
          </cell>
          <cell r="Q33">
            <v>-30.085966867804302</v>
          </cell>
        </row>
        <row r="34">
          <cell r="K34">
            <v>-6.3226912161269011</v>
          </cell>
          <cell r="L34">
            <v>11.780855868000545</v>
          </cell>
          <cell r="P34">
            <v>-7.3052705973911456</v>
          </cell>
          <cell r="Q34">
            <v>-13.398037292138183</v>
          </cell>
        </row>
        <row r="35">
          <cell r="K35">
            <v>11.138566113023151</v>
          </cell>
          <cell r="L35">
            <v>20.383494504241526</v>
          </cell>
          <cell r="P35">
            <v>-7.3163704935015712</v>
          </cell>
          <cell r="Q35">
            <v>-16.687929575666118</v>
          </cell>
        </row>
        <row r="36">
          <cell r="K36">
            <v>-10.11397594630126</v>
          </cell>
          <cell r="L36">
            <v>-11.981709648331377</v>
          </cell>
          <cell r="P36">
            <v>-3.5516221663012599</v>
          </cell>
          <cell r="Q36">
            <v>-5.2097799983738309</v>
          </cell>
        </row>
        <row r="38">
          <cell r="K38">
            <v>-5.1638293293789355</v>
          </cell>
          <cell r="L38">
            <v>-3.1457254681459812</v>
          </cell>
          <cell r="P38">
            <v>-5.4441188129893412</v>
          </cell>
          <cell r="Q38">
            <v>-3.1147826626985582</v>
          </cell>
        </row>
        <row r="39">
          <cell r="K39">
            <v>-4.8118623335758084</v>
          </cell>
          <cell r="L39">
            <v>-3.98931324513411</v>
          </cell>
          <cell r="P39">
            <v>-2.730435474775041</v>
          </cell>
          <cell r="Q39">
            <v>-1.89032595792782</v>
          </cell>
        </row>
        <row r="40">
          <cell r="K40">
            <v>-0.35196699580312707</v>
          </cell>
          <cell r="L40">
            <v>0.84358777698812881</v>
          </cell>
          <cell r="P40">
            <v>-2.7136833382143006</v>
          </cell>
          <cell r="Q40">
            <v>-1.2244567047707382</v>
          </cell>
        </row>
        <row r="41">
          <cell r="K41">
            <v>0</v>
          </cell>
          <cell r="L41">
            <v>0</v>
          </cell>
          <cell r="P41">
            <v>0</v>
          </cell>
          <cell r="Q41">
            <v>0</v>
          </cell>
        </row>
        <row r="42">
          <cell r="K42">
            <v>-10.461930378783945</v>
          </cell>
          <cell r="L42">
            <v>17.036915255764711</v>
          </cell>
          <cell r="P42">
            <v>-23.617382070183318</v>
          </cell>
          <cell r="Q42">
            <v>-38.410529528876694</v>
          </cell>
        </row>
        <row r="43">
          <cell r="K43">
            <v>0.68476731634569732</v>
          </cell>
          <cell r="L43">
            <v>11.91647994998384</v>
          </cell>
          <cell r="P43">
            <v>-3.562829439080911</v>
          </cell>
          <cell r="Q43">
            <v>-8.8125231407796196</v>
          </cell>
        </row>
        <row r="44">
          <cell r="K44">
            <v>0</v>
          </cell>
          <cell r="L44">
            <v>1.16703526</v>
          </cell>
          <cell r="P44">
            <v>0</v>
          </cell>
          <cell r="Q44">
            <v>6.4694787199999997</v>
          </cell>
        </row>
        <row r="45">
          <cell r="K45">
            <v>6.7265280608634834E-2</v>
          </cell>
          <cell r="L45">
            <v>0.129357621686295</v>
          </cell>
          <cell r="P45">
            <v>-2.1595441130966508E-2</v>
          </cell>
          <cell r="Q45">
            <v>-0.14948768062352502</v>
          </cell>
        </row>
        <row r="46">
          <cell r="K46">
            <v>-11.213962975738321</v>
          </cell>
          <cell r="L46">
            <v>6.158112944094488</v>
          </cell>
          <cell r="P46">
            <v>-20.032957189971505</v>
          </cell>
          <cell r="Q46">
            <v>-22.979039987473652</v>
          </cell>
        </row>
        <row r="55">
          <cell r="K55">
            <v>154.36526084699727</v>
          </cell>
          <cell r="L55">
            <v>204.80019036987886</v>
          </cell>
          <cell r="P55">
            <v>52.861749190924414</v>
          </cell>
          <cell r="Q55">
            <v>28.21730253666766</v>
          </cell>
        </row>
        <row r="56">
          <cell r="K56">
            <v>151.10784681699727</v>
          </cell>
          <cell r="L56">
            <v>204.04301018987886</v>
          </cell>
          <cell r="P56">
            <v>50.937013880924411</v>
          </cell>
          <cell r="Q56">
            <v>27.742070036667656</v>
          </cell>
        </row>
        <row r="57">
          <cell r="K57">
            <v>48.574802289126566</v>
          </cell>
          <cell r="L57">
            <v>70.37990826162212</v>
          </cell>
          <cell r="P57">
            <v>16.750903400370611</v>
          </cell>
          <cell r="Q57">
            <v>1.9864372354770268</v>
          </cell>
        </row>
        <row r="58">
          <cell r="K58">
            <v>102.5330445278707</v>
          </cell>
          <cell r="L58">
            <v>133.66310192825674</v>
          </cell>
          <cell r="P58">
            <v>34.186110480553808</v>
          </cell>
          <cell r="Q58">
            <v>25.755632801190629</v>
          </cell>
        </row>
        <row r="59">
          <cell r="K59">
            <v>3.257414030000001</v>
          </cell>
          <cell r="L59">
            <v>0.75718017999999965</v>
          </cell>
          <cell r="P59">
            <v>1.9247353100000009</v>
          </cell>
          <cell r="Q59">
            <v>0.47523249999999956</v>
          </cell>
        </row>
        <row r="60">
          <cell r="K60">
            <v>136.51613797780536</v>
          </cell>
          <cell r="L60">
            <v>162.55402464245697</v>
          </cell>
          <cell r="P60">
            <v>65.029210274449966</v>
          </cell>
          <cell r="Q60">
            <v>56.377310314327154</v>
          </cell>
        </row>
        <row r="61">
          <cell r="K61">
            <v>124.76222584780535</v>
          </cell>
          <cell r="L61">
            <v>151.28061712245696</v>
          </cell>
          <cell r="P61">
            <v>60.330058124449963</v>
          </cell>
          <cell r="Q61">
            <v>51.304177984327154</v>
          </cell>
        </row>
        <row r="62">
          <cell r="K62">
            <v>47.236304858047312</v>
          </cell>
          <cell r="L62">
            <v>49.772196108160685</v>
          </cell>
          <cell r="P62">
            <v>21.37044756485448</v>
          </cell>
          <cell r="Q62">
            <v>13.33535343980607</v>
          </cell>
        </row>
        <row r="63">
          <cell r="K63">
            <v>77.525920989758035</v>
          </cell>
          <cell r="L63">
            <v>101.50842101429627</v>
          </cell>
          <cell r="P63">
            <v>38.95961055959549</v>
          </cell>
          <cell r="Q63">
            <v>37.968824544521084</v>
          </cell>
        </row>
        <row r="64">
          <cell r="K64">
            <v>11.75391213</v>
          </cell>
          <cell r="L64">
            <v>11.273407519999994</v>
          </cell>
          <cell r="P64">
            <v>4.6991521500000006</v>
          </cell>
          <cell r="Q64">
            <v>5.0731323299999946</v>
          </cell>
        </row>
        <row r="65">
          <cell r="K65">
            <v>17.84912286919192</v>
          </cell>
          <cell r="L65">
            <v>42.246165727421904</v>
          </cell>
          <cell r="P65">
            <v>-12.167461083525556</v>
          </cell>
          <cell r="Q65">
            <v>-28.160007777659494</v>
          </cell>
        </row>
        <row r="66">
          <cell r="K66">
            <v>26.34562096919192</v>
          </cell>
          <cell r="L66">
            <v>52.762393067421897</v>
          </cell>
          <cell r="P66">
            <v>-9.3930442435255515</v>
          </cell>
          <cell r="Q66">
            <v>-23.562107947659499</v>
          </cell>
        </row>
        <row r="67">
          <cell r="K67">
            <v>1.338497431079255</v>
          </cell>
          <cell r="L67">
            <v>20.607712153461435</v>
          </cell>
          <cell r="P67">
            <v>-4.6195441644838695</v>
          </cell>
          <cell r="Q67">
            <v>-11.348916204329043</v>
          </cell>
        </row>
        <row r="68">
          <cell r="K68">
            <v>25.007123538112666</v>
          </cell>
          <cell r="L68">
            <v>32.154680913960462</v>
          </cell>
          <cell r="P68">
            <v>-4.7735000790416819</v>
          </cell>
          <cell r="Q68">
            <v>-12.213191743330455</v>
          </cell>
        </row>
        <row r="69">
          <cell r="K69">
            <v>-8.4964980999999984</v>
          </cell>
          <cell r="L69">
            <v>-10.516227339999995</v>
          </cell>
          <cell r="P69">
            <v>-2.7744168399999998</v>
          </cell>
          <cell r="Q69">
            <v>-4.5978998299999949</v>
          </cell>
        </row>
        <row r="71">
          <cell r="K71">
            <v>20.201854978949854</v>
          </cell>
          <cell r="L71">
            <v>43.350591255133224</v>
          </cell>
          <cell r="P71">
            <v>-11.23794809181355</v>
          </cell>
          <cell r="Q71">
            <v>-27.747162910287614</v>
          </cell>
        </row>
        <row r="72">
          <cell r="K72">
            <v>28.95910871894985</v>
          </cell>
          <cell r="L72">
            <v>53.866818595133218</v>
          </cell>
          <cell r="P72">
            <v>-8.2022567518135503</v>
          </cell>
          <cell r="Q72">
            <v>-23.149263080287618</v>
          </cell>
        </row>
        <row r="73">
          <cell r="K73">
            <v>1.3163675276866953</v>
          </cell>
          <cell r="L73">
            <v>21.235249662887895</v>
          </cell>
          <cell r="P73">
            <v>-4.9699023060753724</v>
          </cell>
          <cell r="Q73">
            <v>-11.203101349032089</v>
          </cell>
        </row>
        <row r="74">
          <cell r="K74">
            <v>27.642741191263156</v>
          </cell>
          <cell r="L74">
            <v>32.631568932245322</v>
          </cell>
          <cell r="P74">
            <v>-3.2323544457381743</v>
          </cell>
          <cell r="Q74">
            <v>-11.946161731255529</v>
          </cell>
        </row>
        <row r="75">
          <cell r="K75">
            <v>-8.7572537399999977</v>
          </cell>
          <cell r="L75">
            <v>-10.516227339999995</v>
          </cell>
          <cell r="P75">
            <v>-3.0356913399999987</v>
          </cell>
          <cell r="Q75">
            <v>-4.5978998299999949</v>
          </cell>
        </row>
        <row r="77">
          <cell r="K77">
            <v>-2.3047937274044421</v>
          </cell>
          <cell r="L77">
            <v>20.182640723910691</v>
          </cell>
          <cell r="P77">
            <v>-19.938329004834845</v>
          </cell>
          <cell r="Q77">
            <v>-35.295746866178135</v>
          </cell>
        </row>
        <row r="78">
          <cell r="K78">
            <v>7.809182218896817</v>
          </cell>
          <cell r="L78">
            <v>32.164350372242069</v>
          </cell>
          <cell r="P78">
            <v>-16.386706838533584</v>
          </cell>
          <cell r="Q78">
            <v>-30.085966867804302</v>
          </cell>
        </row>
        <row r="79">
          <cell r="K79">
            <v>-5.5137223575747685</v>
          </cell>
          <cell r="L79">
            <v>11.780855868000545</v>
          </cell>
          <cell r="P79">
            <v>-6.9685371304189241</v>
          </cell>
          <cell r="Q79">
            <v>-13.398037292138183</v>
          </cell>
        </row>
        <row r="80">
          <cell r="K80">
            <v>13.322904576471586</v>
          </cell>
          <cell r="L80">
            <v>20.383494504241526</v>
          </cell>
          <cell r="P80">
            <v>-9.4181697081146609</v>
          </cell>
          <cell r="Q80">
            <v>-16.687929575666118</v>
          </cell>
        </row>
        <row r="81">
          <cell r="K81">
            <v>-10.11397594630126</v>
          </cell>
          <cell r="L81">
            <v>-11.981709648331377</v>
          </cell>
          <cell r="P81">
            <v>-3.5516221663012599</v>
          </cell>
          <cell r="Q81">
            <v>-5.2097799983738309</v>
          </cell>
        </row>
        <row r="90">
          <cell r="K90">
            <v>131.73807410550592</v>
          </cell>
          <cell r="L90">
            <v>204.80019036987886</v>
          </cell>
          <cell r="P90">
            <v>49.76480190289135</v>
          </cell>
          <cell r="Q90">
            <v>28.21730253666766</v>
          </cell>
        </row>
        <row r="91">
          <cell r="K91">
            <v>89.763699171938697</v>
          </cell>
          <cell r="L91">
            <v>164.3506983123886</v>
          </cell>
          <cell r="P91">
            <v>15.684682545229492</v>
          </cell>
          <cell r="Q91">
            <v>2.2707324390386816</v>
          </cell>
        </row>
        <row r="92">
          <cell r="K92">
            <v>35.908146420910917</v>
          </cell>
          <cell r="L92">
            <v>70.37990826162212</v>
          </cell>
          <cell r="P92">
            <v>13.071611226610266</v>
          </cell>
          <cell r="Q92">
            <v>1.9864372354770268</v>
          </cell>
        </row>
        <row r="93">
          <cell r="K93">
            <v>53.85555275102778</v>
          </cell>
          <cell r="L93">
            <v>93.970790050766482</v>
          </cell>
          <cell r="P93">
            <v>2.6130713186192267</v>
          </cell>
          <cell r="Q93">
            <v>0.28429520356165483</v>
          </cell>
        </row>
        <row r="94">
          <cell r="K94">
            <v>38.721048480676416</v>
          </cell>
          <cell r="L94">
            <v>39.695816881328959</v>
          </cell>
          <cell r="P94">
            <v>32.159120918928572</v>
          </cell>
          <cell r="Q94">
            <v>25.460141269627321</v>
          </cell>
        </row>
        <row r="95">
          <cell r="K95">
            <v>29.871608081160236</v>
          </cell>
          <cell r="L95">
            <v>29.639305610686922</v>
          </cell>
          <cell r="P95">
            <v>24.099078868614729</v>
          </cell>
          <cell r="Q95">
            <v>22.193063736037619</v>
          </cell>
        </row>
        <row r="96">
          <cell r="K96">
            <v>8.8494403995161797</v>
          </cell>
          <cell r="L96">
            <v>10.056511270642037</v>
          </cell>
          <cell r="P96">
            <v>8.0600420503138466</v>
          </cell>
          <cell r="Q96">
            <v>3.2670775335897018</v>
          </cell>
        </row>
        <row r="97">
          <cell r="K97">
            <v>3.257414030000001</v>
          </cell>
          <cell r="L97">
            <v>0.75718017999999965</v>
          </cell>
          <cell r="P97">
            <v>1.9247353100000009</v>
          </cell>
          <cell r="Q97">
            <v>0.47523249999999956</v>
          </cell>
        </row>
        <row r="100">
          <cell r="K100">
            <v>12.920538632294845</v>
          </cell>
          <cell r="L100">
            <v>42.246165727421904</v>
          </cell>
          <cell r="P100">
            <v>-10.318471353568489</v>
          </cell>
          <cell r="Q100">
            <v>-28.160007777659494</v>
          </cell>
        </row>
        <row r="101">
          <cell r="K101">
            <v>12.900365107764975</v>
          </cell>
          <cell r="L101">
            <v>51.875482560301016</v>
          </cell>
          <cell r="P101">
            <v>-19.316518011152311</v>
          </cell>
          <cell r="Q101">
            <v>-34.393903453733039</v>
          </cell>
        </row>
        <row r="102">
          <cell r="K102">
            <v>-0.90865168353421921</v>
          </cell>
          <cell r="L102">
            <v>20.607712153461435</v>
          </cell>
          <cell r="P102">
            <v>-5.15352664189537</v>
          </cell>
          <cell r="Q102">
            <v>-11.348916204329043</v>
          </cell>
        </row>
        <row r="103">
          <cell r="K103">
            <v>13.809016791299193</v>
          </cell>
          <cell r="L103">
            <v>31.267770406839581</v>
          </cell>
          <cell r="P103">
            <v>-14.162991369256943</v>
          </cell>
          <cell r="Q103">
            <v>-23.044987249403995</v>
          </cell>
        </row>
        <row r="104">
          <cell r="K104">
            <v>7.970950123469434</v>
          </cell>
          <cell r="L104">
            <v>3.687596651515161</v>
          </cell>
          <cell r="P104">
            <v>11.925469426767682</v>
          </cell>
          <cell r="Q104">
            <v>7.8271133702435298</v>
          </cell>
        </row>
        <row r="105">
          <cell r="K105">
            <v>6.0141558223984255</v>
          </cell>
          <cell r="L105">
            <v>5.2527257220726407</v>
          </cell>
          <cell r="P105">
            <v>8.1203495427287375</v>
          </cell>
          <cell r="Q105">
            <v>8.9107005911185642</v>
          </cell>
        </row>
        <row r="106">
          <cell r="K106">
            <v>1.9567943010710085</v>
          </cell>
          <cell r="L106">
            <v>-1.5651290705574796</v>
          </cell>
          <cell r="P106">
            <v>3.8051198840389451</v>
          </cell>
          <cell r="Q106">
            <v>-1.0835872208750343</v>
          </cell>
        </row>
        <row r="107">
          <cell r="K107">
            <v>-8.4964980999999984</v>
          </cell>
          <cell r="L107">
            <v>-10.516227339999995</v>
          </cell>
          <cell r="P107">
            <v>-2.7744168399999998</v>
          </cell>
          <cell r="Q107">
            <v>-4.5978998299999949</v>
          </cell>
        </row>
        <row r="110">
          <cell r="K110">
            <v>15.00584539737293</v>
          </cell>
          <cell r="L110">
            <v>43.350591255133224</v>
          </cell>
          <cell r="P110">
            <v>-9.5344177713742972</v>
          </cell>
          <cell r="Q110">
            <v>-27.747162910287614</v>
          </cell>
        </row>
        <row r="111">
          <cell r="K111">
            <v>14.521439982347884</v>
          </cell>
          <cell r="L111">
            <v>52.847463712239609</v>
          </cell>
          <cell r="P111">
            <v>-18.439619036740119</v>
          </cell>
          <cell r="Q111">
            <v>-34.060083366114533</v>
          </cell>
        </row>
        <row r="112">
          <cell r="K112">
            <v>-0.96764458472351911</v>
          </cell>
          <cell r="L112">
            <v>21.235249662887895</v>
          </cell>
          <cell r="P112">
            <v>-5.4665998936800415</v>
          </cell>
          <cell r="Q112">
            <v>-11.203101349032089</v>
          </cell>
        </row>
        <row r="113">
          <cell r="K113">
            <v>15.489084567071403</v>
          </cell>
          <cell r="L113">
            <v>31.612214049351714</v>
          </cell>
          <cell r="P113">
            <v>-12.97301914306008</v>
          </cell>
          <cell r="Q113">
            <v>-22.856982017082444</v>
          </cell>
        </row>
        <row r="114">
          <cell r="K114">
            <v>8.6925058618727942</v>
          </cell>
          <cell r="L114">
            <v>3.820058435043713</v>
          </cell>
          <cell r="P114">
            <v>12.087820816780889</v>
          </cell>
          <cell r="Q114">
            <v>7.9061359458686571</v>
          </cell>
        </row>
        <row r="115">
          <cell r="K115">
            <v>6.2744412890125965</v>
          </cell>
          <cell r="L115">
            <v>5.3716978348579802</v>
          </cell>
          <cell r="P115">
            <v>8.2827009327419443</v>
          </cell>
          <cell r="Q115">
            <v>8.9761785381063675</v>
          </cell>
        </row>
        <row r="116">
          <cell r="K116">
            <v>2.4180645728601977</v>
          </cell>
          <cell r="L116">
            <v>-1.5516393998142672</v>
          </cell>
          <cell r="P116">
            <v>3.8051198840389451</v>
          </cell>
          <cell r="Q116">
            <v>-1.0700425922377104</v>
          </cell>
        </row>
        <row r="117">
          <cell r="K117">
            <v>-8.7572537399999977</v>
          </cell>
          <cell r="L117">
            <v>-10.516227339999995</v>
          </cell>
          <cell r="P117">
            <v>-3.0356913399999987</v>
          </cell>
          <cell r="Q117">
            <v>-4.5978998299999949</v>
          </cell>
        </row>
        <row r="124">
          <cell r="K124">
            <v>154.36526084699727</v>
          </cell>
          <cell r="L124">
            <v>204.80019036987886</v>
          </cell>
          <cell r="P124">
            <v>52.861749190924414</v>
          </cell>
          <cell r="Q124">
            <v>28.21730253666766</v>
          </cell>
        </row>
        <row r="125">
          <cell r="K125">
            <v>111.98588208781767</v>
          </cell>
          <cell r="L125">
            <v>164.3506983123886</v>
          </cell>
          <cell r="P125">
            <v>19.125682180553483</v>
          </cell>
          <cell r="Q125">
            <v>2.2707324390386816</v>
          </cell>
        </row>
        <row r="126">
          <cell r="K126">
            <v>48.574802289126566</v>
          </cell>
          <cell r="L126">
            <v>70.37990826162212</v>
          </cell>
          <cell r="P126">
            <v>16.750903400370611</v>
          </cell>
          <cell r="Q126">
            <v>1.9864372354770268</v>
          </cell>
        </row>
        <row r="127">
          <cell r="K127">
            <v>63.411079798691105</v>
          </cell>
          <cell r="L127">
            <v>93.970790050766482</v>
          </cell>
          <cell r="P127">
            <v>2.3747787801828721</v>
          </cell>
          <cell r="Q127">
            <v>0.28429520356165483</v>
          </cell>
        </row>
        <row r="128">
          <cell r="K128">
            <v>39.126052306288777</v>
          </cell>
          <cell r="L128">
            <v>39.695816881328959</v>
          </cell>
          <cell r="P128">
            <v>31.815068571637632</v>
          </cell>
          <cell r="Q128">
            <v>25.460141269627321</v>
          </cell>
        </row>
        <row r="129">
          <cell r="K129">
            <v>29.479861159559928</v>
          </cell>
          <cell r="L129">
            <v>29.639305610686922</v>
          </cell>
          <cell r="P129">
            <v>23.03839642076759</v>
          </cell>
          <cell r="Q129">
            <v>22.193063736037619</v>
          </cell>
        </row>
        <row r="130">
          <cell r="K130">
            <v>9.6461911467288495</v>
          </cell>
          <cell r="L130">
            <v>10.056511270642037</v>
          </cell>
          <cell r="P130">
            <v>8.7766721508700414</v>
          </cell>
          <cell r="Q130">
            <v>3.2670775335897018</v>
          </cell>
        </row>
        <row r="131">
          <cell r="K131">
            <v>3.257414030000001</v>
          </cell>
          <cell r="L131">
            <v>0.75718017999999965</v>
          </cell>
          <cell r="P131">
            <v>1.9247353100000009</v>
          </cell>
          <cell r="Q131">
            <v>0.47523249999999956</v>
          </cell>
        </row>
        <row r="134">
          <cell r="K134">
            <v>17.84912286919192</v>
          </cell>
          <cell r="L134">
            <v>42.246165727421904</v>
          </cell>
          <cell r="P134">
            <v>-12.167461083525556</v>
          </cell>
          <cell r="Q134">
            <v>-28.160007777659494</v>
          </cell>
        </row>
        <row r="135">
          <cell r="K135">
            <v>18.498506216780449</v>
          </cell>
          <cell r="L135">
            <v>51.875482560301016</v>
          </cell>
          <cell r="P135">
            <v>-20.95501061597939</v>
          </cell>
          <cell r="Q135">
            <v>-34.393903453733039</v>
          </cell>
        </row>
        <row r="136">
          <cell r="K136">
            <v>1.338497431079255</v>
          </cell>
          <cell r="L136">
            <v>20.607712153461435</v>
          </cell>
          <cell r="P136">
            <v>-4.6195441644838695</v>
          </cell>
          <cell r="Q136">
            <v>-11.348916204329043</v>
          </cell>
        </row>
        <row r="137">
          <cell r="K137">
            <v>17.160008785701194</v>
          </cell>
          <cell r="L137">
            <v>31.267770406839581</v>
          </cell>
          <cell r="P137">
            <v>-16.33546645149552</v>
          </cell>
          <cell r="Q137">
            <v>-23.044987249403995</v>
          </cell>
        </row>
        <row r="138">
          <cell r="K138">
            <v>7.3013932513510316</v>
          </cell>
          <cell r="L138">
            <v>3.687596651515161</v>
          </cell>
          <cell r="P138">
            <v>11.71497230163768</v>
          </cell>
          <cell r="Q138">
            <v>7.8271133702435298</v>
          </cell>
        </row>
        <row r="139">
          <cell r="K139">
            <v>5.2241436500455167</v>
          </cell>
          <cell r="L139">
            <v>5.2527257220726407</v>
          </cell>
          <cell r="P139">
            <v>7.5617484465982496</v>
          </cell>
          <cell r="Q139">
            <v>8.9107005911185642</v>
          </cell>
        </row>
        <row r="140">
          <cell r="K140">
            <v>2.0772496013055148</v>
          </cell>
          <cell r="L140">
            <v>-1.5651290705574796</v>
          </cell>
          <cell r="P140">
            <v>4.15322385503943</v>
          </cell>
          <cell r="Q140">
            <v>-1.0835872208750343</v>
          </cell>
        </row>
        <row r="141">
          <cell r="K141">
            <v>-8.4964980999999984</v>
          </cell>
          <cell r="L141">
            <v>-10.516227339999995</v>
          </cell>
          <cell r="P141">
            <v>-2.7744168399999998</v>
          </cell>
          <cell r="Q141">
            <v>-4.5978998299999949</v>
          </cell>
        </row>
        <row r="144">
          <cell r="K144">
            <v>20.201854978949854</v>
          </cell>
          <cell r="L144">
            <v>43.350591255133224</v>
          </cell>
          <cell r="P144">
            <v>-11.23794809181355</v>
          </cell>
          <cell r="Q144">
            <v>-27.747162910287614</v>
          </cell>
        </row>
        <row r="145">
          <cell r="K145">
            <v>20.313544298811124</v>
          </cell>
          <cell r="L145">
            <v>52.847463712239609</v>
          </cell>
          <cell r="P145">
            <v>-19.973937555155558</v>
          </cell>
          <cell r="Q145">
            <v>-34.060083366114533</v>
          </cell>
        </row>
        <row r="146">
          <cell r="K146">
            <v>1.3163675276866953</v>
          </cell>
          <cell r="L146">
            <v>21.235249662887895</v>
          </cell>
          <cell r="P146">
            <v>-4.9699023060753724</v>
          </cell>
          <cell r="Q146">
            <v>-11.203101349032089</v>
          </cell>
        </row>
        <row r="147">
          <cell r="K147">
            <v>18.99717677112443</v>
          </cell>
          <cell r="L147">
            <v>31.612214049351714</v>
          </cell>
          <cell r="P147">
            <v>-15.004035249080182</v>
          </cell>
          <cell r="Q147">
            <v>-22.856982017082444</v>
          </cell>
        </row>
        <row r="148">
          <cell r="K148">
            <v>8.0964111269864834</v>
          </cell>
          <cell r="L148">
            <v>3.820058435043713</v>
          </cell>
          <cell r="P148">
            <v>11.918609014757072</v>
          </cell>
          <cell r="Q148">
            <v>7.9061359458686571</v>
          </cell>
        </row>
        <row r="149">
          <cell r="K149">
            <v>5.4892398699108256</v>
          </cell>
          <cell r="L149">
            <v>5.3716978348579802</v>
          </cell>
          <cell r="P149">
            <v>7.7146575916761275</v>
          </cell>
          <cell r="Q149">
            <v>8.9761785381063675</v>
          </cell>
        </row>
        <row r="150">
          <cell r="K150">
            <v>2.6071712570756578</v>
          </cell>
          <cell r="L150">
            <v>-1.5516393998142672</v>
          </cell>
          <cell r="P150">
            <v>4.2039514230809445</v>
          </cell>
          <cell r="Q150">
            <v>-1.0700425922377104</v>
          </cell>
        </row>
        <row r="151">
          <cell r="K151">
            <v>-8.7572537399999977</v>
          </cell>
          <cell r="L151">
            <v>-10.516227339999995</v>
          </cell>
          <cell r="P151">
            <v>-3.0356913399999987</v>
          </cell>
          <cell r="Q151">
            <v>-4.5978998299999949</v>
          </cell>
        </row>
      </sheetData>
      <sheetData sheetId="3">
        <row r="10">
          <cell r="K10">
            <v>175.15462103967022</v>
          </cell>
          <cell r="L10">
            <v>149.18822384493686</v>
          </cell>
          <cell r="P10">
            <v>98.159916884460756</v>
          </cell>
          <cell r="Q10">
            <v>64.328569360638113</v>
          </cell>
        </row>
        <row r="11">
          <cell r="K11">
            <v>96.605438902318483</v>
          </cell>
          <cell r="L11">
            <v>81.409019257958064</v>
          </cell>
          <cell r="P11">
            <v>55.328367574104291</v>
          </cell>
          <cell r="Q11">
            <v>34.054356911138981</v>
          </cell>
        </row>
        <row r="14">
          <cell r="K14">
            <v>87.081717117560501</v>
          </cell>
          <cell r="L14">
            <v>75.579894746428039</v>
          </cell>
          <cell r="P14">
            <v>47.128621012340211</v>
          </cell>
          <cell r="Q14">
            <v>33.884859971802271</v>
          </cell>
        </row>
        <row r="24">
          <cell r="K24">
            <v>-1.2238059564902413</v>
          </cell>
          <cell r="L24">
            <v>-18.821808011107301</v>
          </cell>
          <cell r="P24">
            <v>6.251348124532659</v>
          </cell>
          <cell r="Q24">
            <v>-13.527137988335063</v>
          </cell>
        </row>
        <row r="25">
          <cell r="K25">
            <v>-1.9177552145363055</v>
          </cell>
          <cell r="L25">
            <v>-5.1827484440266032</v>
          </cell>
          <cell r="P25">
            <v>2.5739971539811677</v>
          </cell>
          <cell r="Q25">
            <v>-5.855112174989662</v>
          </cell>
        </row>
        <row r="28">
          <cell r="K28">
            <v>0.8672362980461763</v>
          </cell>
          <cell r="L28">
            <v>-13.639059567080702</v>
          </cell>
          <cell r="P28">
            <v>3.8506380105515889</v>
          </cell>
          <cell r="Q28">
            <v>-7.67202581334538</v>
          </cell>
        </row>
        <row r="32">
          <cell r="K32">
            <v>8.4601676185461461</v>
          </cell>
          <cell r="L32">
            <v>-17.137273298492364</v>
          </cell>
          <cell r="P32">
            <v>13.219190103409636</v>
          </cell>
          <cell r="Q32">
            <v>-12.874638118001712</v>
          </cell>
        </row>
        <row r="33">
          <cell r="K33">
            <v>5.1545418504404443</v>
          </cell>
          <cell r="L33">
            <v>-4.8860160727546562</v>
          </cell>
          <cell r="P33">
            <v>8.480111072342309</v>
          </cell>
          <cell r="Q33">
            <v>-5.7767204646563117</v>
          </cell>
        </row>
        <row r="36">
          <cell r="K36">
            <v>3.7363065981058163</v>
          </cell>
          <cell r="L36">
            <v>-12.251257225737712</v>
          </cell>
          <cell r="P36">
            <v>4.9201160910674293</v>
          </cell>
          <cell r="Q36">
            <v>-7.0979176533453803</v>
          </cell>
        </row>
        <row r="40">
          <cell r="K40">
            <v>-13.695355660416233</v>
          </cell>
          <cell r="L40">
            <v>-53.993538359779912</v>
          </cell>
          <cell r="P40">
            <v>3.964037328010761E-2</v>
          </cell>
          <cell r="Q40">
            <v>-41.491539673252774</v>
          </cell>
        </row>
        <row r="41">
          <cell r="K41">
            <v>-9.519889202251985</v>
          </cell>
          <cell r="L41">
            <v>-33.808912967646762</v>
          </cell>
          <cell r="P41">
            <v>-1.1612055630127287</v>
          </cell>
          <cell r="Q41">
            <v>-29.733937840584584</v>
          </cell>
        </row>
        <row r="44">
          <cell r="K44">
            <v>-3.9890216981640805</v>
          </cell>
          <cell r="L44">
            <v>-20.184625392133121</v>
          </cell>
          <cell r="P44">
            <v>1.3872906962929772</v>
          </cell>
          <cell r="Q44">
            <v>-11.757601832668096</v>
          </cell>
        </row>
        <row r="48">
          <cell r="K48">
            <v>-3.539107690358597</v>
          </cell>
          <cell r="L48">
            <v>-1.0599334933322406</v>
          </cell>
          <cell r="P48">
            <v>-2.1737089498746358</v>
          </cell>
          <cell r="Q48">
            <v>-0.54809056811993162</v>
          </cell>
        </row>
        <row r="49">
          <cell r="K49">
            <v>-2.5222732782231634</v>
          </cell>
          <cell r="L49">
            <v>-2.7083869174614583</v>
          </cell>
          <cell r="P49">
            <v>-1.2437535294570292</v>
          </cell>
          <cell r="Q49">
            <v>-1.3366196206435996</v>
          </cell>
        </row>
        <row r="50">
          <cell r="K50">
            <v>-1.0168344121354336</v>
          </cell>
          <cell r="L50">
            <v>1.6484534241292177</v>
          </cell>
          <cell r="P50">
            <v>-0.92995542041760659</v>
          </cell>
          <cell r="Q50">
            <v>0.78852905252366801</v>
          </cell>
        </row>
        <row r="51">
          <cell r="K51">
            <v>-0.31720428738873341</v>
          </cell>
          <cell r="L51">
            <v>-2.9011257937081578</v>
          </cell>
          <cell r="P51">
            <v>6.3686177512925268E-2</v>
          </cell>
          <cell r="Q51">
            <v>-4.4081574561105468</v>
          </cell>
        </row>
        <row r="52">
          <cell r="K52">
            <v>-17.551667638163565</v>
          </cell>
          <cell r="L52">
            <v>-57.954597646820311</v>
          </cell>
          <cell r="P52">
            <v>-2.0703823990816037</v>
          </cell>
          <cell r="Q52">
            <v>-46.44778769748325</v>
          </cell>
        </row>
        <row r="53">
          <cell r="K53">
            <v>-4.3940286811298426E-2</v>
          </cell>
          <cell r="L53">
            <v>13.508227809551343</v>
          </cell>
          <cell r="P53">
            <v>0.5458345682815865</v>
          </cell>
          <cell r="Q53">
            <v>13.391548837508232</v>
          </cell>
        </row>
        <row r="54">
          <cell r="K54">
            <v>0</v>
          </cell>
          <cell r="L54">
            <v>0</v>
          </cell>
          <cell r="P54">
            <v>0</v>
          </cell>
          <cell r="Q54">
            <v>0</v>
          </cell>
        </row>
        <row r="55">
          <cell r="K55">
            <v>-10.534337303355896</v>
          </cell>
          <cell r="L55">
            <v>-2.1266152419166651</v>
          </cell>
          <cell r="P55">
            <v>-9.8947176438606608</v>
          </cell>
          <cell r="Q55">
            <v>-1.4034753401267497</v>
          </cell>
        </row>
        <row r="56">
          <cell r="K56">
            <v>-6.9733900479964737</v>
          </cell>
          <cell r="L56">
            <v>-69.336210214454894</v>
          </cell>
          <cell r="P56">
            <v>7.2785006764974272</v>
          </cell>
          <cell r="Q56">
            <v>-58.4358611948647</v>
          </cell>
        </row>
        <row r="66">
          <cell r="K66">
            <v>176.0063443029722</v>
          </cell>
          <cell r="L66">
            <v>149.18822384493686</v>
          </cell>
          <cell r="P66">
            <v>98.467340628580061</v>
          </cell>
          <cell r="Q66">
            <v>64.328569360638113</v>
          </cell>
        </row>
        <row r="67">
          <cell r="K67">
            <v>97.357197941913384</v>
          </cell>
          <cell r="L67">
            <v>81.409019257958064</v>
          </cell>
          <cell r="P67">
            <v>55.599554536464403</v>
          </cell>
          <cell r="Q67">
            <v>34.054356911138981</v>
          </cell>
        </row>
        <row r="70">
          <cell r="K70">
            <v>87.181681341267549</v>
          </cell>
          <cell r="L70">
            <v>75.579894746428039</v>
          </cell>
          <cell r="P70">
            <v>47.164857794099369</v>
          </cell>
          <cell r="Q70">
            <v>33.884859971802271</v>
          </cell>
        </row>
        <row r="80">
          <cell r="K80">
            <v>-1.5145004597350091</v>
          </cell>
          <cell r="L80">
            <v>-18.821808011107301</v>
          </cell>
          <cell r="P80">
            <v>6.2824252700898215</v>
          </cell>
          <cell r="Q80">
            <v>-13.527137988335063</v>
          </cell>
        </row>
        <row r="81">
          <cell r="K81">
            <v>-2.3393956402126661</v>
          </cell>
          <cell r="L81">
            <v>-5.1827484440266032</v>
          </cell>
          <cell r="P81">
            <v>2.5261907431118966</v>
          </cell>
          <cell r="Q81">
            <v>-5.855112174989662</v>
          </cell>
        </row>
        <row r="84">
          <cell r="K84">
            <v>0.99818222047776894</v>
          </cell>
          <cell r="L84">
            <v>-13.639059567080702</v>
          </cell>
          <cell r="P84">
            <v>3.9295215669780221</v>
          </cell>
          <cell r="Q84">
            <v>-7.67202581334538</v>
          </cell>
        </row>
        <row r="88">
          <cell r="K88">
            <v>8.1772208572063079</v>
          </cell>
          <cell r="L88">
            <v>-17.137273298492364</v>
          </cell>
          <cell r="P88">
            <v>13.250508725363499</v>
          </cell>
          <cell r="Q88">
            <v>-12.874638118001712</v>
          </cell>
        </row>
        <row r="89">
          <cell r="K89">
            <v>4.7414666907706557</v>
          </cell>
          <cell r="L89">
            <v>-4.8860160727546562</v>
          </cell>
          <cell r="P89">
            <v>8.4338364813719586</v>
          </cell>
          <cell r="Q89">
            <v>-5.7767204646563117</v>
          </cell>
        </row>
        <row r="92">
          <cell r="K92">
            <v>3.8664349964357663</v>
          </cell>
          <cell r="L92">
            <v>-12.251257225737712</v>
          </cell>
          <cell r="P92">
            <v>4.9977093039916411</v>
          </cell>
          <cell r="Q92">
            <v>-7.0979176533453803</v>
          </cell>
        </row>
        <row r="96">
          <cell r="K96">
            <v>-14.172800279621763</v>
          </cell>
          <cell r="L96">
            <v>-53.993538359779912</v>
          </cell>
          <cell r="P96">
            <v>1.4128383874016492E-2</v>
          </cell>
          <cell r="Q96">
            <v>-41.491539673252774</v>
          </cell>
        </row>
        <row r="97">
          <cell r="K97">
            <v>-10.124402803545532</v>
          </cell>
          <cell r="L97">
            <v>-33.808912967646762</v>
          </cell>
          <cell r="P97">
            <v>-1.2690805401897194</v>
          </cell>
          <cell r="Q97">
            <v>-29.733937840584584</v>
          </cell>
        </row>
        <row r="100">
          <cell r="K100">
            <v>-3.8619527160760616</v>
          </cell>
          <cell r="L100">
            <v>-20.184625392133121</v>
          </cell>
          <cell r="P100">
            <v>1.4696536840638781</v>
          </cell>
          <cell r="Q100">
            <v>-11.757601832668096</v>
          </cell>
        </row>
      </sheetData>
      <sheetData sheetId="4">
        <row r="10">
          <cell r="K10">
            <v>96.605438902318483</v>
          </cell>
          <cell r="L10">
            <v>81.409019257958064</v>
          </cell>
          <cell r="P10">
            <v>55.328367574104291</v>
          </cell>
          <cell r="Q10">
            <v>34.054356911138981</v>
          </cell>
        </row>
        <row r="11">
          <cell r="K11">
            <v>72.585775040000001</v>
          </cell>
          <cell r="L11">
            <v>60.852808519999989</v>
          </cell>
          <cell r="P11">
            <v>41.871797870000002</v>
          </cell>
          <cell r="Q11">
            <v>26.338815009999969</v>
          </cell>
        </row>
        <row r="12">
          <cell r="K12">
            <v>70.528162820000006</v>
          </cell>
          <cell r="L12">
            <v>58.615991619999996</v>
          </cell>
          <cell r="P12">
            <v>40.867743900000008</v>
          </cell>
          <cell r="Q12">
            <v>25.201723179999973</v>
          </cell>
        </row>
        <row r="13">
          <cell r="K13">
            <v>2.0576122199999998</v>
          </cell>
          <cell r="L13">
            <v>2.2368169000000009</v>
          </cell>
          <cell r="P13">
            <v>1.0040539699999997</v>
          </cell>
          <cell r="Q13">
            <v>1.137091830000001</v>
          </cell>
        </row>
        <row r="14">
          <cell r="K14">
            <v>25.459522123502925</v>
          </cell>
          <cell r="L14">
            <v>22.478095251301824</v>
          </cell>
          <cell r="P14">
            <v>14.260895295109719</v>
          </cell>
          <cell r="Q14">
            <v>8.6314028763423654</v>
          </cell>
        </row>
        <row r="15">
          <cell r="K15">
            <v>-1.4398582611844439</v>
          </cell>
          <cell r="L15">
            <v>-1.9218845133437483</v>
          </cell>
          <cell r="P15">
            <v>-0.80432559100542989</v>
          </cell>
          <cell r="Q15">
            <v>-0.91586097520335308</v>
          </cell>
        </row>
        <row r="22">
          <cell r="K22">
            <v>-1.9177552145363055</v>
          </cell>
          <cell r="L22">
            <v>-5.1827484440266032</v>
          </cell>
          <cell r="P22">
            <v>2.5739971539811677</v>
          </cell>
          <cell r="Q22">
            <v>-5.855112174989662</v>
          </cell>
        </row>
        <row r="23">
          <cell r="K23">
            <v>-2.5304449700000076</v>
          </cell>
          <cell r="L23">
            <v>-1.4656421500000092</v>
          </cell>
          <cell r="P23">
            <v>0.98629062999995787</v>
          </cell>
          <cell r="Q23">
            <v>-2.8418789700000318</v>
          </cell>
        </row>
        <row r="24">
          <cell r="K24">
            <v>4.5788083799999919</v>
          </cell>
          <cell r="L24">
            <v>0.55142346999999026</v>
          </cell>
          <cell r="P24">
            <v>5.2481292499999581</v>
          </cell>
          <cell r="Q24">
            <v>-1.7575275100000325</v>
          </cell>
        </row>
        <row r="25">
          <cell r="K25">
            <v>-7.1092533500000004</v>
          </cell>
          <cell r="L25">
            <v>-2.0170656199999994</v>
          </cell>
          <cell r="P25">
            <v>-4.2618386200000007</v>
          </cell>
          <cell r="Q25">
            <v>-1.0843514599999993</v>
          </cell>
        </row>
        <row r="26">
          <cell r="K26">
            <v>0.76524987966589297</v>
          </cell>
          <cell r="L26">
            <v>-4.057980754026528</v>
          </cell>
          <cell r="P26">
            <v>1.7899626839813663</v>
          </cell>
          <cell r="Q26">
            <v>-3.0087741949895546</v>
          </cell>
        </row>
        <row r="27">
          <cell r="K27">
            <v>-0.15256012420219089</v>
          </cell>
          <cell r="L27">
            <v>0.34087445999993404</v>
          </cell>
          <cell r="P27">
            <v>-0.20225616000015612</v>
          </cell>
          <cell r="Q27">
            <v>-4.4590100000758692E-3</v>
          </cell>
        </row>
        <row r="29">
          <cell r="K29">
            <v>5.1545418504404443</v>
          </cell>
          <cell r="L29">
            <v>-4.8860160727546562</v>
          </cell>
          <cell r="P29">
            <v>8.480111072342309</v>
          </cell>
          <cell r="Q29">
            <v>-5.7767204646563117</v>
          </cell>
        </row>
        <row r="30">
          <cell r="K30">
            <v>4.2773922999999918</v>
          </cell>
          <cell r="L30">
            <v>-1.2498838300000092</v>
          </cell>
          <cell r="P30">
            <v>6.8133018199999569</v>
          </cell>
          <cell r="Q30">
            <v>-2.7842346600000321</v>
          </cell>
        </row>
        <row r="31">
          <cell r="K31">
            <v>9.153270869999993</v>
          </cell>
          <cell r="L31">
            <v>0.76708943999999035</v>
          </cell>
          <cell r="P31">
            <v>8.7509446599999592</v>
          </cell>
          <cell r="Q31">
            <v>-1.6998832000000321</v>
          </cell>
        </row>
        <row r="32">
          <cell r="K32">
            <v>-4.8758785700000002</v>
          </cell>
          <cell r="L32">
            <v>-2.0169732699999994</v>
          </cell>
          <cell r="P32">
            <v>-1.9376428400000014</v>
          </cell>
          <cell r="Q32">
            <v>-1.0843514599999993</v>
          </cell>
        </row>
        <row r="33">
          <cell r="K33">
            <v>1.0297096746426413</v>
          </cell>
          <cell r="L33">
            <v>-3.977006702754581</v>
          </cell>
          <cell r="P33">
            <v>1.869065412342505</v>
          </cell>
          <cell r="Q33">
            <v>-2.9880267946562045</v>
          </cell>
        </row>
        <row r="34">
          <cell r="K34">
            <v>-0.15256012420218878</v>
          </cell>
          <cell r="L34">
            <v>0.34087445999993404</v>
          </cell>
          <cell r="P34">
            <v>-0.20225616000015367</v>
          </cell>
          <cell r="Q34">
            <v>-4.4590100000757582E-3</v>
          </cell>
        </row>
        <row r="36">
          <cell r="K36">
            <v>-9.519889202251985</v>
          </cell>
          <cell r="L36">
            <v>-33.808912967646762</v>
          </cell>
          <cell r="P36">
            <v>-1.1612055630127287</v>
          </cell>
          <cell r="Q36">
            <v>-29.733937840584584</v>
          </cell>
        </row>
        <row r="37">
          <cell r="K37">
            <v>-7.3825766799999943</v>
          </cell>
          <cell r="L37">
            <v>-7.3570408900000235</v>
          </cell>
          <cell r="P37">
            <v>-1.3681719300000204</v>
          </cell>
          <cell r="Q37">
            <v>-5.711401920000057</v>
          </cell>
        </row>
        <row r="38">
          <cell r="K38">
            <v>0.29073059000000528</v>
          </cell>
          <cell r="L38">
            <v>-4.6448598300000246</v>
          </cell>
          <cell r="P38">
            <v>3.1661786199999793</v>
          </cell>
          <cell r="Q38">
            <v>-4.2858304200000577</v>
          </cell>
        </row>
        <row r="39">
          <cell r="K39">
            <v>-7.6733072700000005</v>
          </cell>
          <cell r="L39">
            <v>-2.7121810599999989</v>
          </cell>
          <cell r="P39">
            <v>-4.534350550000001</v>
          </cell>
          <cell r="Q39">
            <v>-1.4255714999999989</v>
          </cell>
        </row>
        <row r="40">
          <cell r="K40">
            <v>-1.9391676422518951</v>
          </cell>
          <cell r="L40">
            <v>-23.234746537646647</v>
          </cell>
          <cell r="P40">
            <v>0.45535543698734893</v>
          </cell>
          <cell r="Q40">
            <v>-20.460076910584505</v>
          </cell>
        </row>
        <row r="41">
          <cell r="K41">
            <v>-0.19814488000009556</v>
          </cell>
          <cell r="L41">
            <v>-3.2171255400000938</v>
          </cell>
          <cell r="P41">
            <v>-0.24838907000005728</v>
          </cell>
          <cell r="Q41">
            <v>-3.5624590100000244</v>
          </cell>
        </row>
        <row r="49">
          <cell r="K49">
            <v>97.357197941913384</v>
          </cell>
          <cell r="L49">
            <v>81.409019257958064</v>
          </cell>
          <cell r="P49">
            <v>55.599554536464403</v>
          </cell>
          <cell r="Q49">
            <v>34.054356911138981</v>
          </cell>
        </row>
        <row r="50">
          <cell r="K50">
            <v>72.585775040000001</v>
          </cell>
          <cell r="L50">
            <v>60.852808519999989</v>
          </cell>
          <cell r="P50">
            <v>41.871797870000002</v>
          </cell>
          <cell r="Q50">
            <v>26.338815009999969</v>
          </cell>
        </row>
        <row r="51">
          <cell r="K51">
            <v>70.528162820000006</v>
          </cell>
          <cell r="L51">
            <v>58.615991619999996</v>
          </cell>
          <cell r="P51">
            <v>40.867743900000008</v>
          </cell>
          <cell r="Q51">
            <v>25.201723179999973</v>
          </cell>
        </row>
        <row r="52">
          <cell r="K52">
            <v>2.0576122199999998</v>
          </cell>
          <cell r="L52">
            <v>2.2368169000000009</v>
          </cell>
          <cell r="P52">
            <v>1.0040539699999997</v>
          </cell>
          <cell r="Q52">
            <v>1.137091830000001</v>
          </cell>
        </row>
        <row r="53">
          <cell r="K53">
            <v>26.245751193007411</v>
          </cell>
          <cell r="L53">
            <v>22.478095251301824</v>
          </cell>
          <cell r="P53">
            <v>14.549919919988502</v>
          </cell>
          <cell r="Q53">
            <v>8.6314028763423654</v>
          </cell>
        </row>
        <row r="54">
          <cell r="K54">
            <v>-1.4743282910940287</v>
          </cell>
          <cell r="L54">
            <v>-1.9218845133437483</v>
          </cell>
          <cell r="P54">
            <v>-0.82216325352410102</v>
          </cell>
          <cell r="Q54">
            <v>-0.91586097520335308</v>
          </cell>
        </row>
        <row r="61">
          <cell r="K61">
            <v>-2.3393956402126661</v>
          </cell>
          <cell r="L61">
            <v>-5.1827484440266032</v>
          </cell>
          <cell r="P61">
            <v>2.5261907431118966</v>
          </cell>
          <cell r="Q61">
            <v>-5.855112174989662</v>
          </cell>
        </row>
        <row r="62">
          <cell r="K62">
            <v>-2.5304449700000076</v>
          </cell>
          <cell r="L62">
            <v>-1.4656421500000092</v>
          </cell>
          <cell r="P62">
            <v>0.98629062999995787</v>
          </cell>
          <cell r="Q62">
            <v>-2.8418789700000318</v>
          </cell>
        </row>
        <row r="63">
          <cell r="K63">
            <v>4.5788083799999919</v>
          </cell>
          <cell r="L63">
            <v>0.55142346999999026</v>
          </cell>
          <cell r="P63">
            <v>5.2481292499999581</v>
          </cell>
          <cell r="Q63">
            <v>-1.7575275100000325</v>
          </cell>
        </row>
        <row r="64">
          <cell r="K64">
            <v>-7.1092533500000004</v>
          </cell>
          <cell r="L64">
            <v>-2.0170656199999994</v>
          </cell>
          <cell r="P64">
            <v>-4.2618386200000007</v>
          </cell>
          <cell r="Q64">
            <v>-1.0843514599999993</v>
          </cell>
        </row>
        <row r="65">
          <cell r="K65">
            <v>0.34360945398953319</v>
          </cell>
          <cell r="L65">
            <v>-4.057980754026528</v>
          </cell>
          <cell r="P65">
            <v>1.7421562731121474</v>
          </cell>
          <cell r="Q65">
            <v>-3.0087741949895546</v>
          </cell>
        </row>
        <row r="66">
          <cell r="K66">
            <v>-0.15256012420219173</v>
          </cell>
          <cell r="L66">
            <v>0.34087445999993404</v>
          </cell>
          <cell r="P66">
            <v>-0.20225616000020868</v>
          </cell>
          <cell r="Q66">
            <v>-4.4590100000758692E-3</v>
          </cell>
        </row>
        <row r="68">
          <cell r="K68">
            <v>4.7414666907706557</v>
          </cell>
          <cell r="L68">
            <v>-4.8860160727546562</v>
          </cell>
          <cell r="P68">
            <v>8.4338364813719586</v>
          </cell>
          <cell r="Q68">
            <v>-5.7767204646563117</v>
          </cell>
        </row>
        <row r="69">
          <cell r="K69">
            <v>4.2773922999999918</v>
          </cell>
          <cell r="L69">
            <v>-1.2498838300000092</v>
          </cell>
          <cell r="P69">
            <v>6.8133018199999569</v>
          </cell>
          <cell r="Q69">
            <v>-2.7842346600000321</v>
          </cell>
        </row>
        <row r="70">
          <cell r="K70">
            <v>9.153270869999993</v>
          </cell>
          <cell r="L70">
            <v>0.76708943999999035</v>
          </cell>
          <cell r="P70">
            <v>8.7509446599999592</v>
          </cell>
          <cell r="Q70">
            <v>-1.6998832000000321</v>
          </cell>
        </row>
        <row r="71">
          <cell r="K71">
            <v>-4.8758785700000002</v>
          </cell>
          <cell r="L71">
            <v>-2.0169732699999994</v>
          </cell>
          <cell r="P71">
            <v>-1.9376428400000014</v>
          </cell>
          <cell r="Q71">
            <v>-1.0843514599999993</v>
          </cell>
        </row>
        <row r="72">
          <cell r="K72">
            <v>0.61663451497285393</v>
          </cell>
          <cell r="L72">
            <v>-3.977006702754581</v>
          </cell>
          <cell r="P72">
            <v>1.8227908213722084</v>
          </cell>
          <cell r="Q72">
            <v>-2.9880267946562045</v>
          </cell>
        </row>
        <row r="73">
          <cell r="K73">
            <v>-0.15256012420219001</v>
          </cell>
          <cell r="L73">
            <v>0.34087445999993404</v>
          </cell>
          <cell r="P73">
            <v>-0.20225616000020719</v>
          </cell>
          <cell r="Q73">
            <v>-4.4590100000757582E-3</v>
          </cell>
        </row>
        <row r="75">
          <cell r="K75">
            <v>-10.124402803545532</v>
          </cell>
          <cell r="L75">
            <v>-33.808912967646762</v>
          </cell>
          <cell r="P75">
            <v>-1.2690805401897194</v>
          </cell>
          <cell r="Q75">
            <v>-29.733937840584584</v>
          </cell>
        </row>
        <row r="76">
          <cell r="K76">
            <v>-7.3825766799999943</v>
          </cell>
          <cell r="L76">
            <v>-7.3570408900000235</v>
          </cell>
          <cell r="P76">
            <v>-1.3681719300000204</v>
          </cell>
          <cell r="Q76">
            <v>-5.711401920000057</v>
          </cell>
        </row>
        <row r="77">
          <cell r="K77">
            <v>0.29073059000000528</v>
          </cell>
          <cell r="L77">
            <v>-4.6448598300000246</v>
          </cell>
          <cell r="P77">
            <v>3.1661786199999793</v>
          </cell>
          <cell r="Q77">
            <v>-4.2858304200000577</v>
          </cell>
        </row>
        <row r="78">
          <cell r="K78">
            <v>-7.6733072700000005</v>
          </cell>
          <cell r="L78">
            <v>-2.7121810599999989</v>
          </cell>
          <cell r="P78">
            <v>-4.534350550000001</v>
          </cell>
          <cell r="Q78">
            <v>-1.4255714999999989</v>
          </cell>
        </row>
        <row r="79">
          <cell r="K79">
            <v>-2.5436812435454788</v>
          </cell>
          <cell r="L79">
            <v>-23.234746537646647</v>
          </cell>
          <cell r="P79">
            <v>0.34748045981035247</v>
          </cell>
          <cell r="Q79">
            <v>-20.460076910584505</v>
          </cell>
        </row>
        <row r="80">
          <cell r="K80">
            <v>-0.19814488000005914</v>
          </cell>
          <cell r="L80">
            <v>-3.2171255400000938</v>
          </cell>
          <cell r="P80">
            <v>-0.2483890700000515</v>
          </cell>
          <cell r="Q80">
            <v>-3.5624590100000244</v>
          </cell>
        </row>
      </sheetData>
      <sheetData sheetId="5">
        <row r="10">
          <cell r="K10">
            <v>87.081717117560501</v>
          </cell>
          <cell r="L10">
            <v>75.579894746428039</v>
          </cell>
          <cell r="P10">
            <v>47.128621012340211</v>
          </cell>
          <cell r="Q10">
            <v>33.884859971802271</v>
          </cell>
        </row>
        <row r="11">
          <cell r="K11">
            <v>78.578211273103079</v>
          </cell>
          <cell r="L11">
            <v>66.499560406513496</v>
          </cell>
          <cell r="P11">
            <v>42.760549109240387</v>
          </cell>
          <cell r="Q11">
            <v>29.32860506074995</v>
          </cell>
        </row>
        <row r="12">
          <cell r="K12">
            <v>42.845196198303007</v>
          </cell>
          <cell r="L12">
            <v>35.149595652215808</v>
          </cell>
          <cell r="P12">
            <v>24.836307947151408</v>
          </cell>
          <cell r="Q12">
            <v>15.881036489480675</v>
          </cell>
        </row>
        <row r="13">
          <cell r="K13">
            <v>30.000655225834532</v>
          </cell>
          <cell r="L13">
            <v>24.171374805028485</v>
          </cell>
          <cell r="P13">
            <v>17.16024331214718</v>
          </cell>
          <cell r="Q13">
            <v>11.409593714218065</v>
          </cell>
        </row>
        <row r="14">
          <cell r="K14">
            <v>16.135888850000001</v>
          </cell>
          <cell r="L14">
            <v>14.939699359999999</v>
          </cell>
          <cell r="P14">
            <v>9.2135730600000016</v>
          </cell>
          <cell r="Q14">
            <v>6.9617493999999986</v>
          </cell>
        </row>
        <row r="15">
          <cell r="K15">
            <v>13.167972735834537</v>
          </cell>
          <cell r="L15">
            <v>8.2607589101892636</v>
          </cell>
          <cell r="P15">
            <v>7.5196038421471894</v>
          </cell>
          <cell r="Q15">
            <v>3.9265402556219193</v>
          </cell>
        </row>
        <row r="16">
          <cell r="K16">
            <v>0.69679363999999389</v>
          </cell>
          <cell r="L16">
            <v>0.97091653483922258</v>
          </cell>
          <cell r="P16">
            <v>0.42706640999999212</v>
          </cell>
          <cell r="Q16">
            <v>0.52130405859614726</v>
          </cell>
        </row>
        <row r="17">
          <cell r="K17">
            <v>12.844540972468476</v>
          </cell>
          <cell r="L17">
            <v>10.978220847187323</v>
          </cell>
          <cell r="P17">
            <v>7.6760646350042254</v>
          </cell>
          <cell r="Q17">
            <v>4.4714427752626094</v>
          </cell>
        </row>
        <row r="18">
          <cell r="K18">
            <v>9.6742721736480775</v>
          </cell>
          <cell r="L18">
            <v>8.7244673988837711</v>
          </cell>
          <cell r="P18">
            <v>5.6463857100000032</v>
          </cell>
          <cell r="Q18">
            <v>3.5744519834389461</v>
          </cell>
        </row>
        <row r="19">
          <cell r="K19">
            <v>1.504683518820384</v>
          </cell>
          <cell r="L19">
            <v>1.2986720531427682</v>
          </cell>
          <cell r="P19">
            <v>0.95366017500422462</v>
          </cell>
          <cell r="Q19">
            <v>0.46329570041979729</v>
          </cell>
        </row>
        <row r="20">
          <cell r="K20">
            <v>1.6655852800000144</v>
          </cell>
          <cell r="L20">
            <v>0.95508139516078394</v>
          </cell>
          <cell r="P20">
            <v>1.0760187499999976</v>
          </cell>
          <cell r="Q20">
            <v>0.43369509140386597</v>
          </cell>
        </row>
        <row r="21">
          <cell r="K21">
            <v>25.809010700000002</v>
          </cell>
          <cell r="L21">
            <v>23.026383030649804</v>
          </cell>
          <cell r="P21">
            <v>12.965401610000002</v>
          </cell>
          <cell r="Q21">
            <v>9.8046286872343753</v>
          </cell>
        </row>
        <row r="22">
          <cell r="K22">
            <v>20.894296170000001</v>
          </cell>
          <cell r="L22">
            <v>22.184186870649803</v>
          </cell>
          <cell r="P22">
            <v>10.386460540000002</v>
          </cell>
          <cell r="Q22">
            <v>9.1296637472343747</v>
          </cell>
        </row>
        <row r="23">
          <cell r="K23">
            <v>4.9147145300000004</v>
          </cell>
          <cell r="L23">
            <v>0.84219616000000008</v>
          </cell>
          <cell r="P23">
            <v>2.5789410700000004</v>
          </cell>
          <cell r="Q23">
            <v>0.67496494000000007</v>
          </cell>
        </row>
        <row r="24">
          <cell r="K24">
            <v>9.9240043748000701</v>
          </cell>
          <cell r="L24">
            <v>8.3235817236478837</v>
          </cell>
          <cell r="P24">
            <v>4.9588395520889765</v>
          </cell>
          <cell r="Q24">
            <v>3.6429398840349005</v>
          </cell>
        </row>
        <row r="25">
          <cell r="K25">
            <v>8.5035058444574219</v>
          </cell>
          <cell r="L25">
            <v>9.0803343399145433</v>
          </cell>
          <cell r="P25">
            <v>4.3680719030998247</v>
          </cell>
          <cell r="Q25">
            <v>4.5562549110523207</v>
          </cell>
        </row>
        <row r="31">
          <cell r="K31">
            <v>0.8672362980461763</v>
          </cell>
          <cell r="L31">
            <v>-13.639059567080702</v>
          </cell>
          <cell r="P31">
            <v>3.8506380105515889</v>
          </cell>
          <cell r="Q31">
            <v>-7.67202581334538</v>
          </cell>
        </row>
        <row r="32">
          <cell r="K32">
            <v>0.79160369924204055</v>
          </cell>
          <cell r="L32">
            <v>-13.288856957300466</v>
          </cell>
          <cell r="P32">
            <v>3.5717754239539996</v>
          </cell>
          <cell r="Q32">
            <v>-7.7453444486727712</v>
          </cell>
        </row>
        <row r="36">
          <cell r="K36">
            <v>3.7363065981058163</v>
          </cell>
          <cell r="L36">
            <v>-12.251257225737712</v>
          </cell>
          <cell r="P36">
            <v>4.9201160910674293</v>
          </cell>
          <cell r="Q36">
            <v>-7.0979176533453803</v>
          </cell>
        </row>
        <row r="37">
          <cell r="K37">
            <v>3.3154421079862959</v>
          </cell>
          <cell r="L37">
            <v>-11.939054615957478</v>
          </cell>
          <cell r="P37">
            <v>4.6166970394486189</v>
          </cell>
          <cell r="Q37">
            <v>-7.2092362886727726</v>
          </cell>
        </row>
        <row r="41">
          <cell r="K41">
            <v>-3.9890216981640805</v>
          </cell>
          <cell r="L41">
            <v>-20.184625392133121</v>
          </cell>
          <cell r="P41">
            <v>1.3872906962929772</v>
          </cell>
          <cell r="Q41">
            <v>-11.757601832668096</v>
          </cell>
        </row>
        <row r="42">
          <cell r="K42">
            <v>-3.2409022415874502</v>
          </cell>
          <cell r="L42">
            <v>-18.881597389141671</v>
          </cell>
          <cell r="P42">
            <v>1.5200793984299295</v>
          </cell>
          <cell r="Q42">
            <v>-11.365296284089361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00076"/>
  </sheetPr>
  <dimension ref="A1:BM162"/>
  <sheetViews>
    <sheetView tabSelected="1" zoomScale="60" zoomScaleNormal="60" workbookViewId="0">
      <selection activeCell="T162" sqref="T162"/>
    </sheetView>
  </sheetViews>
  <sheetFormatPr baseColWidth="10" defaultColWidth="11.44140625" defaultRowHeight="13.8"/>
  <cols>
    <col min="1" max="1" width="7.5546875" style="3" customWidth="1"/>
    <col min="2" max="2" width="8" style="3" customWidth="1"/>
    <col min="3" max="3" width="11.44140625" style="3"/>
    <col min="4" max="4" width="47.44140625" style="3" customWidth="1"/>
    <col min="5" max="5" width="1" style="3" customWidth="1"/>
    <col min="6" max="7" width="11.44140625" style="3"/>
    <col min="8" max="8" width="11.33203125" style="3" customWidth="1"/>
    <col min="9" max="10" width="1" style="3" customWidth="1"/>
    <col min="11" max="12" width="11.44140625" style="3"/>
    <col min="13" max="13" width="11.33203125" style="3" customWidth="1"/>
    <col min="14" max="15" width="11.44140625" style="3"/>
    <col min="16" max="16" width="2" style="3" customWidth="1"/>
    <col min="17" max="17" width="47.109375" style="3" customWidth="1"/>
    <col min="18" max="18" width="1" style="3" customWidth="1"/>
    <col min="19" max="21" width="11.44140625" style="3"/>
    <col min="22" max="23" width="1" style="3" customWidth="1"/>
    <col min="24" max="28" width="11.44140625" style="3"/>
    <col min="29" max="29" width="2" style="3" customWidth="1"/>
    <col min="30" max="30" width="47.109375" style="3" customWidth="1"/>
    <col min="31" max="31" width="0.6640625" style="3" customWidth="1"/>
    <col min="32" max="34" width="11.44140625" style="3"/>
    <col min="35" max="36" width="1" style="3" customWidth="1"/>
    <col min="37" max="41" width="11.44140625" style="3"/>
    <col min="42" max="42" width="2" style="3" customWidth="1"/>
    <col min="43" max="43" width="47" style="3" customWidth="1"/>
    <col min="44" max="44" width="0.6640625" style="3" customWidth="1"/>
    <col min="45" max="47" width="11.44140625" style="3"/>
    <col min="48" max="49" width="1" style="3" customWidth="1"/>
    <col min="50" max="54" width="11.44140625" style="3"/>
    <col min="55" max="55" width="2" style="3" customWidth="1"/>
    <col min="56" max="56" width="47.5546875" style="3" customWidth="1"/>
    <col min="57" max="57" width="1.33203125" style="3" customWidth="1"/>
    <col min="58" max="60" width="11.44140625" style="3"/>
    <col min="61" max="62" width="1" style="3" customWidth="1"/>
    <col min="63" max="16384" width="11.44140625" style="3"/>
  </cols>
  <sheetData>
    <row r="1" spans="1:65">
      <c r="A1" s="1" t="s">
        <v>0</v>
      </c>
      <c r="B1" s="2" t="s">
        <v>1</v>
      </c>
      <c r="D1" s="1"/>
    </row>
    <row r="2" spans="1:65" ht="14.4" thickBot="1">
      <c r="A2" s="1" t="s">
        <v>2</v>
      </c>
      <c r="B2" s="4" t="s">
        <v>3</v>
      </c>
      <c r="D2" s="1"/>
    </row>
    <row r="3" spans="1:65" ht="16.2" thickBot="1">
      <c r="A3" s="5" t="s">
        <v>4</v>
      </c>
      <c r="B3" s="6" t="s">
        <v>3</v>
      </c>
      <c r="D3" s="7" t="str">
        <f>+IF($B$3="esp","GRUPO","GROUP")</f>
        <v>GROUP</v>
      </c>
      <c r="E3" s="8"/>
      <c r="F3" s="8"/>
      <c r="G3" s="9"/>
      <c r="H3" s="8"/>
      <c r="I3" s="8"/>
      <c r="J3" s="10"/>
      <c r="K3" s="8"/>
      <c r="L3" s="9"/>
      <c r="M3" s="8"/>
      <c r="Q3" s="7" t="str">
        <f>+IF($B$3="esp","EDUCACIÓN","EDUCATION")</f>
        <v>EDUCATION</v>
      </c>
      <c r="R3" s="8"/>
      <c r="S3" s="8"/>
      <c r="T3" s="9"/>
      <c r="U3" s="8"/>
      <c r="V3" s="8"/>
      <c r="W3" s="10"/>
      <c r="X3" s="8"/>
      <c r="Y3" s="9"/>
      <c r="Z3" s="8"/>
      <c r="AD3" s="7" t="s">
        <v>5</v>
      </c>
      <c r="AE3" s="8"/>
      <c r="AF3" s="8"/>
      <c r="AG3" s="9"/>
      <c r="AH3" s="8"/>
      <c r="AI3" s="8"/>
      <c r="AJ3" s="10"/>
      <c r="AK3" s="8"/>
      <c r="AL3" s="9"/>
      <c r="AM3" s="8"/>
      <c r="AQ3" s="7" t="s">
        <v>6</v>
      </c>
      <c r="AR3" s="8"/>
      <c r="AS3" s="8"/>
      <c r="AT3" s="9"/>
      <c r="AU3" s="8"/>
      <c r="AV3" s="8"/>
      <c r="AW3" s="10"/>
      <c r="AX3" s="8"/>
      <c r="AY3" s="9"/>
      <c r="AZ3" s="8"/>
      <c r="BD3" s="7" t="s">
        <v>7</v>
      </c>
      <c r="BE3" s="8"/>
      <c r="BF3" s="8"/>
      <c r="BG3" s="9"/>
      <c r="BH3" s="8"/>
      <c r="BI3" s="8"/>
      <c r="BJ3" s="10"/>
      <c r="BK3" s="8"/>
      <c r="BL3" s="9"/>
      <c r="BM3" s="8"/>
    </row>
    <row r="6" spans="1:65" ht="15" customHeight="1">
      <c r="D6" s="11"/>
      <c r="E6" s="11"/>
      <c r="F6" s="12" t="str">
        <f>+IF($B$3="esp","ENERO - JUNIO","JANUARY - JUNE")</f>
        <v>JANUARY - JUNE</v>
      </c>
      <c r="G6" s="13"/>
      <c r="H6" s="13"/>
      <c r="I6" s="11"/>
      <c r="J6" s="11"/>
      <c r="K6" s="12" t="str">
        <f>+IF($B$3="esp","ABRIL - JUNIO","APRIL - JUNE")</f>
        <v>APRIL - JUNE</v>
      </c>
      <c r="L6" s="13"/>
      <c r="M6" s="13"/>
      <c r="Q6" s="11"/>
      <c r="R6" s="11"/>
      <c r="S6" s="12" t="str">
        <f>+IF($B$3="esp","ENERO - JUNIO","JANUARY - JUNE")</f>
        <v>JANUARY - JUNE</v>
      </c>
      <c r="T6" s="13"/>
      <c r="U6" s="13"/>
      <c r="V6" s="11"/>
      <c r="W6" s="11"/>
      <c r="X6" s="12" t="str">
        <f>+IF($B$3="esp","ABRIL - JUNIO","APRIL - JUNE")</f>
        <v>APRIL - JUNE</v>
      </c>
      <c r="Y6" s="13"/>
      <c r="Z6" s="13"/>
      <c r="AD6" s="11"/>
      <c r="AE6" s="11"/>
      <c r="AF6" s="12" t="str">
        <f>+IF($B$3="esp","ENERO - JUNIO","JANUARY - JUNE")</f>
        <v>JANUARY - JUNE</v>
      </c>
      <c r="AG6" s="13"/>
      <c r="AH6" s="13"/>
      <c r="AI6" s="11"/>
      <c r="AJ6" s="11"/>
      <c r="AK6" s="12" t="str">
        <f>+IF($B$3="esp","ABRIL - JUNIO","APRIL - JUNE")</f>
        <v>APRIL - JUNE</v>
      </c>
      <c r="AL6" s="13"/>
      <c r="AM6" s="13"/>
      <c r="AQ6" s="11"/>
      <c r="AR6" s="11"/>
      <c r="AS6" s="12" t="str">
        <f>+IF($B$3="esp","ENERO - JUNIO","JANUARY - JUNE")</f>
        <v>JANUARY - JUNE</v>
      </c>
      <c r="AT6" s="13"/>
      <c r="AU6" s="13"/>
      <c r="AV6" s="11"/>
      <c r="AW6" s="11"/>
      <c r="AX6" s="12" t="str">
        <f>+IF($B$3="esp","ABRIL - JUNIO","APRIL - JUNE")</f>
        <v>APRIL - JUNE</v>
      </c>
      <c r="AY6" s="13"/>
      <c r="AZ6" s="13"/>
      <c r="BD6" s="11"/>
      <c r="BE6" s="11"/>
      <c r="BF6" s="12" t="str">
        <f>+IF($B$3="esp","ENERO - JUNIO","JANUARY - JUNE")</f>
        <v>JANUARY - JUNE</v>
      </c>
      <c r="BG6" s="13"/>
      <c r="BH6" s="13"/>
      <c r="BI6" s="11"/>
      <c r="BJ6" s="11"/>
      <c r="BK6" s="12" t="str">
        <f>+IF($B$3="esp","ABRIL - JUNIO","APRIL - JUNE")</f>
        <v>APRIL - JUNE</v>
      </c>
      <c r="BL6" s="13"/>
      <c r="BM6" s="13"/>
    </row>
    <row r="7" spans="1:65">
      <c r="D7" s="11"/>
      <c r="E7" s="11"/>
      <c r="F7" s="11"/>
      <c r="G7" s="11"/>
      <c r="H7" s="11"/>
      <c r="I7" s="11"/>
      <c r="J7" s="11"/>
      <c r="K7" s="11"/>
      <c r="L7" s="11"/>
      <c r="M7" s="11"/>
      <c r="Q7" s="11"/>
      <c r="R7" s="11"/>
      <c r="S7" s="11"/>
      <c r="T7" s="11"/>
      <c r="U7" s="11"/>
      <c r="V7" s="11"/>
      <c r="W7" s="11"/>
      <c r="X7" s="11"/>
      <c r="Y7" s="11"/>
      <c r="Z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>
      <c r="D8" s="14" t="str">
        <f>+IF($B$3="esp","Millones de €","€ Millions")</f>
        <v>€ Millions</v>
      </c>
      <c r="E8" s="11"/>
      <c r="F8" s="15">
        <v>2021</v>
      </c>
      <c r="G8" s="15">
        <v>2020</v>
      </c>
      <c r="H8" s="15" t="str">
        <f>+IF($B$3="esp","Var.","Chg.")</f>
        <v>Chg.</v>
      </c>
      <c r="I8" s="11"/>
      <c r="J8" s="11"/>
      <c r="K8" s="15">
        <v>2021</v>
      </c>
      <c r="L8" s="15">
        <v>2020</v>
      </c>
      <c r="M8" s="15" t="str">
        <f>+IF($B$3="esp","Var.","Chg.")</f>
        <v>Chg.</v>
      </c>
      <c r="Q8" s="14" t="str">
        <f>+IF($B$3="esp","Millones de €","€ Millions")</f>
        <v>€ Millions</v>
      </c>
      <c r="R8" s="11"/>
      <c r="S8" s="15">
        <v>2021</v>
      </c>
      <c r="T8" s="15">
        <v>2020</v>
      </c>
      <c r="U8" s="15" t="str">
        <f>+IF($B$3="esp","Var.","Chg.")</f>
        <v>Chg.</v>
      </c>
      <c r="V8" s="11"/>
      <c r="W8" s="11"/>
      <c r="X8" s="15">
        <v>2021</v>
      </c>
      <c r="Y8" s="15">
        <v>2020</v>
      </c>
      <c r="Z8" s="15" t="str">
        <f>+IF($B$3="esp","Var.","Chg.")</f>
        <v>Chg.</v>
      </c>
      <c r="AD8" s="14" t="str">
        <f>+IF($B$3="esp","Millones de €","€ Millions")</f>
        <v>€ Millions</v>
      </c>
      <c r="AE8" s="11"/>
      <c r="AF8" s="15">
        <v>2021</v>
      </c>
      <c r="AG8" s="15">
        <v>2020</v>
      </c>
      <c r="AH8" s="15" t="str">
        <f>+IF($B$3="esp","Var.","Chg.")</f>
        <v>Chg.</v>
      </c>
      <c r="AI8" s="11"/>
      <c r="AJ8" s="11"/>
      <c r="AK8" s="15">
        <v>2021</v>
      </c>
      <c r="AL8" s="15">
        <v>2020</v>
      </c>
      <c r="AM8" s="15" t="str">
        <f>+IF($B$3="esp","Var.","Chg.")</f>
        <v>Chg.</v>
      </c>
      <c r="AQ8" s="14" t="str">
        <f>+IF($B$3="esp","Millones de €","€ Millions")</f>
        <v>€ Millions</v>
      </c>
      <c r="AR8" s="11"/>
      <c r="AS8" s="15">
        <v>2021</v>
      </c>
      <c r="AT8" s="15">
        <v>2020</v>
      </c>
      <c r="AU8" s="15" t="str">
        <f>+IF($B$3="esp","Var.","Chg.")</f>
        <v>Chg.</v>
      </c>
      <c r="AV8" s="11"/>
      <c r="AW8" s="11"/>
      <c r="AX8" s="15">
        <v>2021</v>
      </c>
      <c r="AY8" s="15">
        <v>2020</v>
      </c>
      <c r="AZ8" s="15" t="str">
        <f>+IF($B$3="esp","Var.","Chg.")</f>
        <v>Chg.</v>
      </c>
      <c r="BD8" s="14" t="str">
        <f>+IF($B$3="esp","Millones de €","€ Millions")</f>
        <v>€ Millions</v>
      </c>
      <c r="BE8" s="11"/>
      <c r="BF8" s="15">
        <v>2021</v>
      </c>
      <c r="BG8" s="15">
        <v>2020</v>
      </c>
      <c r="BH8" s="15" t="str">
        <f>+IF($B$3="esp","Var.","Chg.")</f>
        <v>Chg.</v>
      </c>
      <c r="BI8" s="11"/>
      <c r="BJ8" s="11"/>
      <c r="BK8" s="15">
        <v>2021</v>
      </c>
      <c r="BL8" s="15">
        <v>2020</v>
      </c>
      <c r="BM8" s="15" t="str">
        <f>+IF($B$3="esp","Var.","Chg.")</f>
        <v>Chg.</v>
      </c>
    </row>
    <row r="9" spans="1:65">
      <c r="D9" s="16" t="str">
        <f>+IF($B$3="esp","Resultados Reportados","Reported Results")</f>
        <v>Reported Results</v>
      </c>
      <c r="F9" s="17"/>
      <c r="G9" s="17"/>
      <c r="H9" s="17"/>
      <c r="K9" s="17"/>
      <c r="L9" s="17"/>
      <c r="M9" s="17"/>
      <c r="Q9" s="16" t="str">
        <f>+IF($B$3="esp","Resultados Reportados","Reported Results")</f>
        <v>Reported Results</v>
      </c>
      <c r="S9" s="17"/>
      <c r="T9" s="17"/>
      <c r="U9" s="17"/>
      <c r="X9" s="17"/>
      <c r="Y9" s="17"/>
      <c r="Z9" s="17"/>
      <c r="AD9" s="16" t="str">
        <f>+IF($B$3="esp","Resultados Reportados","Reported Results")</f>
        <v>Reported Results</v>
      </c>
      <c r="AF9" s="17"/>
      <c r="AG9" s="17"/>
      <c r="AH9" s="17"/>
      <c r="AK9" s="17"/>
      <c r="AL9" s="17"/>
      <c r="AM9" s="17"/>
      <c r="AQ9" s="16" t="str">
        <f>+IF($B$3="esp","Resultados Reportados","Reported Results")</f>
        <v>Reported Results</v>
      </c>
      <c r="AS9" s="17"/>
      <c r="AT9" s="17"/>
      <c r="AU9" s="17"/>
      <c r="AX9" s="17"/>
      <c r="AY9" s="17"/>
      <c r="AZ9" s="17"/>
      <c r="BD9" s="16" t="str">
        <f>+IF($B$3="esp","Resultados Reportados","Reported Results")</f>
        <v>Reported Results</v>
      </c>
      <c r="BF9" s="17"/>
      <c r="BG9" s="17"/>
      <c r="BH9" s="17"/>
      <c r="BK9" s="17"/>
      <c r="BL9" s="17"/>
      <c r="BM9" s="17"/>
    </row>
    <row r="10" spans="1:65" s="18" customFormat="1" ht="17.25" customHeight="1" thickBot="1">
      <c r="D10" s="19" t="str">
        <f>+IF($B$3="esp","Ingresos de Explotación","Operating Revenues")</f>
        <v>Operating Revenues</v>
      </c>
      <c r="F10" s="20">
        <f>+[1]GRUPO!K10</f>
        <v>306.214990084058</v>
      </c>
      <c r="G10" s="21">
        <f>+[1]GRUPO!L10</f>
        <v>353.15377432231816</v>
      </c>
      <c r="H10" s="22">
        <f>IF(G10=0,"---",IF(OR(ABS((F10-G10)/ABS(G10))&gt;9,(F10*G10)&lt;0),"---",IF(G10="0","---",((F10-G10)/ABS(G10)))))</f>
        <v>-0.13291316036005277</v>
      </c>
      <c r="K10" s="20">
        <f>+[1]GRUPO!P10</f>
        <v>147.69840863559327</v>
      </c>
      <c r="L10" s="21">
        <f>+[1]GRUPO!Q10</f>
        <v>91.954695331452342</v>
      </c>
      <c r="M10" s="22">
        <f>IF(L10=0,"---",IF(OR(ABS((K10-L10)/ABS(L10))&gt;9,(K10*L10)&lt;0),"---",IF(L10="0","---",((K10-L10)/ABS(L10)))))</f>
        <v>0.60620844975030053</v>
      </c>
      <c r="Q10" s="19" t="str">
        <f>+IF($B$3="esp","Ingresos de Explotación","Operating Revenues")</f>
        <v>Operating Revenues</v>
      </c>
      <c r="S10" s="20">
        <f>+[1]EDUCACIÓN!K10</f>
        <v>131.73807410550592</v>
      </c>
      <c r="T10" s="21">
        <f>+[1]EDUCACIÓN!L10</f>
        <v>204.80019036987886</v>
      </c>
      <c r="U10" s="22">
        <f>IF(T10=0,"---",IF(OR(ABS((S10-T10)/ABS(T10))&gt;9,(S10*T10)&lt;0),"---",IF(T10="0","---",((S10-T10)/ABS(T10)))))</f>
        <v>-0.35674828296018329</v>
      </c>
      <c r="X10" s="20">
        <f>+[1]EDUCACIÓN!P10</f>
        <v>49.76480190289135</v>
      </c>
      <c r="Y10" s="21">
        <f>+[1]EDUCACIÓN!Q10</f>
        <v>28.21730253666766</v>
      </c>
      <c r="Z10" s="22">
        <f>IF(Y10=0,"---",IF(OR(ABS((X10-Y10)/ABS(Y10))&gt;9,(X10*Y10)&lt;0),"---",IF(Y10="0","---",((X10-Y10)/ABS(Y10)))))</f>
        <v>0.76362718719208778</v>
      </c>
      <c r="AD10" s="19" t="str">
        <f>+IF($B$3="esp","Ingresos de Explotación","Operating Revenues")</f>
        <v>Operating Revenues</v>
      </c>
      <c r="AF10" s="20">
        <f>+[1]MEDIA!K10</f>
        <v>175.15462103967022</v>
      </c>
      <c r="AG10" s="21">
        <f>+[1]MEDIA!L10</f>
        <v>149.18822384493686</v>
      </c>
      <c r="AH10" s="22">
        <f>IF(AG10=0,"---",IF(OR(ABS((AF10-AG10)/ABS(AG10))&gt;9,(AF10*AG10)&lt;0),"---",IF(AG10="0","---",((AF10-AG10)/ABS(AG10)))))</f>
        <v>0.17405125234095081</v>
      </c>
      <c r="AK10" s="20">
        <f>+[1]MEDIA!P10</f>
        <v>98.159916884460756</v>
      </c>
      <c r="AL10" s="21">
        <f>+[1]MEDIA!Q10</f>
        <v>64.328569360638113</v>
      </c>
      <c r="AM10" s="22">
        <f>IF(AL10=0,"---",IF(OR(ABS((AK10-AL10)/ABS(AL10))&gt;9,(AK10*AL10)&lt;0),"---",IF(AL10="0","---",((AK10-AL10)/ABS(AL10)))))</f>
        <v>0.5259148129683674</v>
      </c>
      <c r="AQ10" s="19" t="str">
        <f>+IF($B$3="esp","Ingresos de Explotación","Operating Revenues")</f>
        <v>Operating Revenues</v>
      </c>
      <c r="AS10" s="20">
        <f>+[1]RADIO!K10</f>
        <v>96.605438902318483</v>
      </c>
      <c r="AT10" s="21">
        <f>+[1]RADIO!L10</f>
        <v>81.409019257958064</v>
      </c>
      <c r="AU10" s="22">
        <f>IF(AT10=0,"---",IF(OR(ABS((AS10-AT10)/ABS(AT10))&gt;9,(AS10*AT10)&lt;0),"---",IF(AT10="0","---",((AS10-AT10)/ABS(AT10)))))</f>
        <v>0.18666751894170383</v>
      </c>
      <c r="AX10" s="20">
        <f>+[1]RADIO!P10</f>
        <v>55.328367574104291</v>
      </c>
      <c r="AY10" s="21">
        <f>+[1]RADIO!Q10</f>
        <v>34.054356911138981</v>
      </c>
      <c r="AZ10" s="22">
        <f>IF(AY10=0,"---",IF(OR(ABS((AX10-AY10)/ABS(AY10))&gt;9,(AX10*AY10)&lt;0),"---",IF(AY10="0","---",((AX10-AY10)/ABS(AY10)))))</f>
        <v>0.6247074557442811</v>
      </c>
      <c r="BD10" s="23" t="str">
        <f>+IF($B$3="esp","Ingresos de Explotación","Operating Revenues")</f>
        <v>Operating Revenues</v>
      </c>
      <c r="BF10" s="24">
        <f>+[1]NOTICIAS!K10</f>
        <v>87.081717117560501</v>
      </c>
      <c r="BG10" s="25">
        <f>+[1]NOTICIAS!L10</f>
        <v>75.579894746428039</v>
      </c>
      <c r="BH10" s="26">
        <f>IF(BG10=0,"---",IF(OR(ABS((BF10-BG10)/ABS(BG10))&gt;9,(BF10*BG10)&lt;0),"---",IF(BG10="0","---",((BF10-BG10)/ABS(BG10)))))</f>
        <v>0.15218097894580684</v>
      </c>
      <c r="BK10" s="24">
        <f>+[1]NOTICIAS!P10</f>
        <v>47.128621012340211</v>
      </c>
      <c r="BL10" s="25">
        <f>+[1]NOTICIAS!Q10</f>
        <v>33.884859971802271</v>
      </c>
      <c r="BM10" s="26">
        <f>IF(BL10=0,"---",IF(OR(ABS((BK10-BL10)/ABS(BL10))&gt;9,(BK10*BL10)&lt;0),"---",IF(BL10="0","---",((BK10-BL10)/ABS(BL10)))))</f>
        <v>0.39084597225896489</v>
      </c>
    </row>
    <row r="11" spans="1:65" ht="17.25" customHeight="1" thickTop="1">
      <c r="D11" s="27" t="str">
        <f>+IF($B$3="esp","España","Spain")</f>
        <v>Spain</v>
      </c>
      <c r="F11" s="28">
        <f>+[1]GRUPO!K11</f>
        <v>149.99664545000007</v>
      </c>
      <c r="G11" s="29">
        <f>+[1]GRUPO!L11</f>
        <v>126.16146029999955</v>
      </c>
      <c r="H11" s="30">
        <f t="shared" ref="H11:H51" si="0">IF(G11=0,"---",IF(OR(ABS((F11-G11)/ABS(G11))&gt;9,(F11*G11)&lt;0),"---",IF(G11="0","---",((F11-G11)/ABS(G11)))))</f>
        <v>0.18892604043519154</v>
      </c>
      <c r="K11" s="28">
        <f>+[1]GRUPO!P11</f>
        <v>84.782958040000054</v>
      </c>
      <c r="L11" s="29">
        <f>+[1]GRUPO!Q11</f>
        <v>55.18926020999929</v>
      </c>
      <c r="M11" s="30">
        <f t="shared" ref="M11:M46" si="1">IF(L11=0,"---",IF(OR(ABS((K11-L11)/ABS(L11))&gt;9,(K11*L11)&lt;0),"---",IF(L11="0","---",((K11-L11)/ABS(L11)))))</f>
        <v>0.53622204242989513</v>
      </c>
      <c r="Q11" s="27" t="str">
        <f>+IF($B$3="esp","Negocio Internacional","International business")</f>
        <v>International business</v>
      </c>
      <c r="S11" s="28">
        <f>+[1]EDUCACIÓN!K11</f>
        <v>128.48066007550591</v>
      </c>
      <c r="T11" s="29">
        <f>+[1]EDUCACIÓN!L11</f>
        <v>204.04301018987886</v>
      </c>
      <c r="U11" s="30">
        <f t="shared" ref="U11:U46" si="2">IF(T11=0,"---",IF(OR(ABS((S11-T11)/ABS(T11))&gt;9,(S11*T11)&lt;0),"---",IF(T11="0","---",((S11-T11)/ABS(T11)))))</f>
        <v>-0.37032559970594409</v>
      </c>
      <c r="X11" s="28">
        <f>+[1]EDUCACIÓN!P11</f>
        <v>47.840066592891347</v>
      </c>
      <c r="Y11" s="29">
        <f>+[1]EDUCACIÓN!Q11</f>
        <v>27.742070036667656</v>
      </c>
      <c r="Z11" s="30">
        <f t="shared" ref="Z11" si="3">IF(Y11=0,"---",IF(OR(ABS((X11-Y11)/ABS(Y11))&gt;9,(X11*Y11)&lt;0),"---",IF(Y11="0","---",((X11-Y11)/ABS(Y11)))))</f>
        <v>0.72445915281950746</v>
      </c>
      <c r="AD11" s="27" t="s">
        <v>8</v>
      </c>
      <c r="AF11" s="28">
        <f>+[1]MEDIA!K11</f>
        <v>96.605438902318483</v>
      </c>
      <c r="AG11" s="29">
        <f>+[1]MEDIA!L11</f>
        <v>81.409019257958064</v>
      </c>
      <c r="AH11" s="30">
        <f t="shared" ref="AH11:AH36" si="4">IF(AG11=0,"---",IF(OR(ABS((AF11-AG11)/ABS(AG11))&gt;9,(AF11*AG11)&lt;0),"---",IF(AG11="0","---",((AF11-AG11)/ABS(AG11)))))</f>
        <v>0.18666751894170383</v>
      </c>
      <c r="AK11" s="28">
        <f>+[1]MEDIA!P11</f>
        <v>55.328367574104291</v>
      </c>
      <c r="AL11" s="29">
        <f>+[1]MEDIA!Q11</f>
        <v>34.054356911138981</v>
      </c>
      <c r="AM11" s="30">
        <f t="shared" ref="AM11:AM36" si="5">IF(AL11=0,"---",IF(OR(ABS((AK11-AL11)/ABS(AL11))&gt;9,(AK11*AL11)&lt;0),"---",IF(AL11="0","---",((AK11-AL11)/ABS(AL11)))))</f>
        <v>0.6247074557442811</v>
      </c>
      <c r="AQ11" s="27" t="str">
        <f>+IF($B$3="esp","España","Spain")</f>
        <v>Spain</v>
      </c>
      <c r="AS11" s="28">
        <f>+[1]RADIO!K11</f>
        <v>72.585775040000001</v>
      </c>
      <c r="AT11" s="29">
        <f>+[1]RADIO!L11</f>
        <v>60.852808519999989</v>
      </c>
      <c r="AU11" s="30">
        <f t="shared" ref="AU11:AU42" si="6">IF(AT11=0,"---",IF(OR(ABS((AS11-AT11)/ABS(AT11))&gt;9,(AS11*AT11)&lt;0),"---",IF(AT11="0","---",((AS11-AT11)/ABS(AT11)))))</f>
        <v>0.19280895665060119</v>
      </c>
      <c r="AX11" s="28">
        <f>+[1]RADIO!P11</f>
        <v>41.871797870000002</v>
      </c>
      <c r="AY11" s="29">
        <f>+[1]RADIO!Q11</f>
        <v>26.338815009999969</v>
      </c>
      <c r="AZ11" s="30">
        <f t="shared" ref="AZ11" si="7">IF(AY11=0,"---",IF(OR(ABS((AX11-AY11)/ABS(AY11))&gt;9,(AX11*AY11)&lt;0),"---",IF(AY11="0","---",((AX11-AY11)/ABS(AY11)))))</f>
        <v>0.58973734597029814</v>
      </c>
      <c r="BD11" s="31" t="str">
        <f>+IF($B$3="esp","Ingresos Prensa","Operating Revenues Press")</f>
        <v>Operating Revenues Press</v>
      </c>
      <c r="BE11" s="18"/>
      <c r="BF11" s="20">
        <f>+[1]NOTICIAS!K11</f>
        <v>78.578211273103079</v>
      </c>
      <c r="BG11" s="21">
        <f>+[1]NOTICIAS!L11</f>
        <v>66.499560406513496</v>
      </c>
      <c r="BH11" s="22">
        <f>IF(BG11=0,"---",IF(OR(ABS((BF11-BG11)/ABS(BG11))&gt;9,(BF11*BG11)&lt;0),"---",IF(BG11="0","---",((BF11-BG11)/ABS(BG11)))))</f>
        <v>0.18163504830336449</v>
      </c>
      <c r="BK11" s="20">
        <f>+[1]NOTICIAS!P11</f>
        <v>42.760549109240387</v>
      </c>
      <c r="BL11" s="21">
        <f>+[1]NOTICIAS!Q11</f>
        <v>29.32860506074995</v>
      </c>
      <c r="BM11" s="22">
        <f>IF(BL11=0,"---",IF(OR(ABS((BK11-BL11)/ABS(BL11))&gt;9,(BK11*BL11)&lt;0),"---",IF(BL11="0","---",((BK11-BL11)/ABS(BL11)))))</f>
        <v>0.45798100593833607</v>
      </c>
    </row>
    <row r="12" spans="1:65" ht="17.25" customHeight="1">
      <c r="D12" s="27" t="str">
        <f>+IF($B$3="esp","Internacional","International")</f>
        <v>International</v>
      </c>
      <c r="F12" s="28">
        <f>+[1]GRUPO!K12</f>
        <v>156.21834463405796</v>
      </c>
      <c r="G12" s="29">
        <f>+[1]GRUPO!L12</f>
        <v>226.9923140223186</v>
      </c>
      <c r="H12" s="30">
        <f t="shared" si="0"/>
        <v>-0.31179015771125151</v>
      </c>
      <c r="K12" s="28">
        <f>+[1]GRUPO!P12</f>
        <v>62.915450595593228</v>
      </c>
      <c r="L12" s="29">
        <f>+[1]GRUPO!Q12</f>
        <v>36.765435121453038</v>
      </c>
      <c r="M12" s="30">
        <f t="shared" si="1"/>
        <v>0.71126631271341512</v>
      </c>
      <c r="Q12" s="32" t="str">
        <f>+IF($B$3="esp","Brasil","Brazil")</f>
        <v>Brazil</v>
      </c>
      <c r="S12" s="33">
        <f>+[1]EDUCACIÓN!K12</f>
        <v>35.908146420910917</v>
      </c>
      <c r="T12" s="34">
        <f>+[1]EDUCACIÓN!L12</f>
        <v>70.37990826162212</v>
      </c>
      <c r="U12" s="35">
        <f>IF(T12=0,"---",IF(OR(ABS((S12-T12)/ABS(T12))&gt;9,(S12*T12)&lt;0),"---",IF(T12="0","---",((S12-T12)/ABS(T12)))))</f>
        <v>-0.48979549266489331</v>
      </c>
      <c r="X12" s="33">
        <f>+[1]EDUCACIÓN!P12</f>
        <v>13.071611226610266</v>
      </c>
      <c r="Y12" s="34">
        <f>+[1]EDUCACIÓN!Q12</f>
        <v>1.9864372354770268</v>
      </c>
      <c r="Z12" s="35">
        <f>IF(Y12=0,"---",IF(OR(ABS((X12-Y12)/ABS(Y12))&gt;9,(X12*Y12)&lt;0),"---",IF(Y12="0","---",((X12-Y12)/ABS(Y12)))))</f>
        <v>5.5804300247479119</v>
      </c>
      <c r="AD12" s="27" t="s">
        <v>9</v>
      </c>
      <c r="AE12" s="11"/>
      <c r="AF12" s="28">
        <f>+[1]MEDIA!K14</f>
        <v>87.081717117560501</v>
      </c>
      <c r="AG12" s="29">
        <f>+[1]MEDIA!L14</f>
        <v>75.579894746428039</v>
      </c>
      <c r="AH12" s="30">
        <f t="shared" si="4"/>
        <v>0.15218097894580684</v>
      </c>
      <c r="AK12" s="28">
        <f>+[1]MEDIA!P14</f>
        <v>47.128621012340211</v>
      </c>
      <c r="AL12" s="29">
        <f>+[1]MEDIA!Q14</f>
        <v>33.884859971802271</v>
      </c>
      <c r="AM12" s="30">
        <f t="shared" si="5"/>
        <v>0.39084597225896489</v>
      </c>
      <c r="AQ12" s="32" t="str">
        <f>+IF($B$3="esp","España sin SSCC","Spain ex HQ")</f>
        <v>Spain ex HQ</v>
      </c>
      <c r="AR12" s="11"/>
      <c r="AS12" s="33">
        <f>+[1]RADIO!K12</f>
        <v>70.528162820000006</v>
      </c>
      <c r="AT12" s="34">
        <f>+[1]RADIO!L12</f>
        <v>58.615991619999996</v>
      </c>
      <c r="AU12" s="35">
        <f>IF(AT12=0,"---",IF(OR(ABS((AS12-AT12)/ABS(AT12))&gt;9,(AS12*AT12)&lt;0),"---",IF(AT12="0","---",((AS12-AT12)/ABS(AT12)))))</f>
        <v>0.2032239133174629</v>
      </c>
      <c r="AX12" s="33">
        <f>+[1]RADIO!P12</f>
        <v>40.867743900000008</v>
      </c>
      <c r="AY12" s="34">
        <f>+[1]RADIO!Q12</f>
        <v>25.201723179999973</v>
      </c>
      <c r="AZ12" s="35">
        <f>IF(AY12=0,"---",IF(OR(ABS((AX12-AY12)/ABS(AY12))&gt;9,(AX12*AY12)&lt;0),"---",IF(AY12="0","---",((AX12-AY12)/ABS(AY12)))))</f>
        <v>0.62162498207394601</v>
      </c>
      <c r="BD12" s="36" t="str">
        <f>+IF($B$3="esp","Publicidad Neta","Net Advertising")</f>
        <v>Net Advertising</v>
      </c>
      <c r="BF12" s="28">
        <f>+[1]NOTICIAS!K12</f>
        <v>42.845196198303007</v>
      </c>
      <c r="BG12" s="29">
        <f>+[1]NOTICIAS!L12</f>
        <v>35.149595652215808</v>
      </c>
      <c r="BH12" s="30">
        <f t="shared" ref="BH12:BH42" si="8">IF(BG12=0,"---",IF(OR(ABS((BF12-BG12)/ABS(BG12))&gt;9,(BF12*BG12)&lt;0),"---",IF(BG12="0","---",((BF12-BG12)/ABS(BG12)))))</f>
        <v>0.21893852271390421</v>
      </c>
      <c r="BK12" s="28">
        <f>+[1]NOTICIAS!P12</f>
        <v>24.836307947151408</v>
      </c>
      <c r="BL12" s="29">
        <f>+[1]NOTICIAS!Q12</f>
        <v>15.881036489480675</v>
      </c>
      <c r="BM12" s="30">
        <f t="shared" ref="BM12:BM21" si="9">IF(BL12=0,"---",IF(OR(ABS((BK12-BL12)/ABS(BL12))&gt;9,(BK12*BL12)&lt;0),"---",IF(BL12="0","---",((BK12-BL12)/ABS(BL12)))))</f>
        <v>0.56389716525130784</v>
      </c>
    </row>
    <row r="13" spans="1:65" s="11" customFormat="1" ht="17.25" customHeight="1">
      <c r="D13" s="32" t="str">
        <f>+IF($B$3="esp","Latam","Latam")</f>
        <v>Latam</v>
      </c>
      <c r="F13" s="33">
        <f>+[1]GRUPO!K13</f>
        <v>155.99367063405796</v>
      </c>
      <c r="G13" s="34">
        <f>+[1]GRUPO!L13</f>
        <v>226.1962380223186</v>
      </c>
      <c r="H13" s="35">
        <f t="shared" si="0"/>
        <v>-0.31036133934877291</v>
      </c>
      <c r="K13" s="33">
        <f>+[1]GRUPO!P13</f>
        <v>62.699906595593234</v>
      </c>
      <c r="L13" s="34">
        <f>+[1]GRUPO!Q13</f>
        <v>35.980124121453059</v>
      </c>
      <c r="M13" s="35">
        <f t="shared" si="1"/>
        <v>0.7426261895024584</v>
      </c>
      <c r="Q13" s="32" t="str">
        <f>+IF($B$3="esp","Otros","Other")</f>
        <v>Other</v>
      </c>
      <c r="S13" s="33">
        <f>+[1]EDUCACIÓN!K13</f>
        <v>92.572513654594985</v>
      </c>
      <c r="T13" s="34">
        <f>+[1]EDUCACIÓN!L13</f>
        <v>133.66310192825674</v>
      </c>
      <c r="U13" s="35">
        <f>IF(T13=0,"---",IF(OR(ABS((S13-T13)/ABS(T13))&gt;9,(S13*T13)&lt;0),"---",IF(T13="0","---",((S13-T13)/ABS(T13)))))</f>
        <v>-0.30741908335867441</v>
      </c>
      <c r="X13" s="33">
        <f>+[1]EDUCACIÓN!P13</f>
        <v>34.768455366281074</v>
      </c>
      <c r="Y13" s="34">
        <f>+[1]EDUCACIÓN!Q13</f>
        <v>25.755632801190629</v>
      </c>
      <c r="Z13" s="35">
        <f>IF(Y13=0,"---",IF(OR(ABS((X13-Y13)/ABS(Y13))&gt;9,(X13*Y13)&lt;0),"---",IF(Y13="0","---",((X13-Y13)/ABS(Y13)))))</f>
        <v>0.34993597845803276</v>
      </c>
      <c r="AD13" s="19" t="str">
        <f>+IF($B$3="esp","Gastos de Explotación Contables","Reported Expenses")</f>
        <v>Reported Expenses</v>
      </c>
      <c r="AE13" s="3"/>
      <c r="AF13" s="20">
        <f t="shared" ref="AF13:AG15" si="10">+AF10-AF16</f>
        <v>176.37842699616047</v>
      </c>
      <c r="AG13" s="21">
        <f t="shared" si="10"/>
        <v>168.01003185604415</v>
      </c>
      <c r="AH13" s="22">
        <f t="shared" si="4"/>
        <v>4.9808901573726277E-2</v>
      </c>
      <c r="AK13" s="20">
        <f t="shared" ref="AK13:AL15" si="11">+AK10-AK16</f>
        <v>91.908568759928102</v>
      </c>
      <c r="AL13" s="21">
        <f t="shared" si="11"/>
        <v>77.855707348973169</v>
      </c>
      <c r="AM13" s="22">
        <f t="shared" si="5"/>
        <v>0.1804987956498256</v>
      </c>
      <c r="AQ13" s="32" t="str">
        <f>+IF($B$3="esp","Servicios Centrales","HQ")</f>
        <v>HQ</v>
      </c>
      <c r="AS13" s="33">
        <f>+[1]RADIO!K13</f>
        <v>2.0576122199999998</v>
      </c>
      <c r="AT13" s="34">
        <f>+[1]RADIO!L13</f>
        <v>2.2368169000000009</v>
      </c>
      <c r="AU13" s="35">
        <f>IF(AT13=0,"---",IF(OR(ABS((AS13-AT13)/ABS(AT13))&gt;9,(AS13*AT13)&lt;0),"---",IF(AT13="0","---",((AS13-AT13)/ABS(AT13)))))</f>
        <v>-8.0115936176984828E-2</v>
      </c>
      <c r="AX13" s="33">
        <f>+[1]RADIO!P13</f>
        <v>1.0040539699999997</v>
      </c>
      <c r="AY13" s="34">
        <f>+[1]RADIO!Q13</f>
        <v>1.137091830000001</v>
      </c>
      <c r="AZ13" s="35">
        <f>IF(AY13=0,"---",IF(OR(ABS((AX13-AY13)/ABS(AY13))&gt;9,(AX13*AY13)&lt;0),"---",IF(AY13="0","---",((AX13-AY13)/ABS(AY13)))))</f>
        <v>-0.11699834304499503</v>
      </c>
      <c r="BD13" s="37" t="str">
        <f>+IF($B$3="esp","Digital","Online")</f>
        <v>Online</v>
      </c>
      <c r="BE13" s="3"/>
      <c r="BF13" s="28">
        <f>+[1]NOTICIAS!K13</f>
        <v>30.000655225834532</v>
      </c>
      <c r="BG13" s="29">
        <f>+[1]NOTICIAS!L13</f>
        <v>24.171374805028485</v>
      </c>
      <c r="BH13" s="30">
        <f t="shared" si="8"/>
        <v>0.24116462004442354</v>
      </c>
      <c r="BK13" s="28">
        <f>+[1]NOTICIAS!P13</f>
        <v>17.16024331214718</v>
      </c>
      <c r="BL13" s="29">
        <f>+[1]NOTICIAS!Q13</f>
        <v>11.409593714218065</v>
      </c>
      <c r="BM13" s="30">
        <f t="shared" si="9"/>
        <v>0.50401878822056068</v>
      </c>
    </row>
    <row r="14" spans="1:65" s="11" customFormat="1" ht="17.25" customHeight="1">
      <c r="D14" s="32" t="str">
        <f>+IF($B$3="esp","Portugal","Portugal")</f>
        <v>Portugal</v>
      </c>
      <c r="F14" s="33">
        <f>+[1]GRUPO!K14</f>
        <v>0.22467399999999998</v>
      </c>
      <c r="G14" s="34">
        <f>+[1]GRUPO!L14</f>
        <v>0.79607600000000012</v>
      </c>
      <c r="H14" s="35">
        <f t="shared" si="0"/>
        <v>-0.71777317743532043</v>
      </c>
      <c r="K14" s="33">
        <f>+[1]GRUPO!P14</f>
        <v>0.21554399999999999</v>
      </c>
      <c r="L14" s="34">
        <f>+[1]GRUPO!Q14</f>
        <v>0.78531099999999976</v>
      </c>
      <c r="M14" s="35">
        <f t="shared" si="1"/>
        <v>-0.72553039496454264</v>
      </c>
      <c r="Q14" s="27" t="str">
        <f>+IF($B$3="esp","Tecnología Educativa global y Centro Corpor.","Global Educational IT &amp; HQ")</f>
        <v>Global Educational IT &amp; HQ</v>
      </c>
      <c r="S14" s="28">
        <f>+[1]EDUCACIÓN!K14</f>
        <v>3.257414030000001</v>
      </c>
      <c r="T14" s="29">
        <f>+[1]EDUCACIÓN!L14</f>
        <v>0.75718017999999965</v>
      </c>
      <c r="U14" s="30">
        <f t="shared" si="2"/>
        <v>3.3020328794131966</v>
      </c>
      <c r="X14" s="28">
        <f>+[1]EDUCACIÓN!P14</f>
        <v>1.9247353100000009</v>
      </c>
      <c r="Y14" s="29">
        <f>+[1]EDUCACIÓN!Q14</f>
        <v>0.47523249999999956</v>
      </c>
      <c r="Z14" s="30">
        <f t="shared" ref="Z14:Z16" si="12">IF(Y14=0,"---",IF(OR(ABS((X14-Y14)/ABS(Y14))&gt;9,(X14*Y14)&lt;0),"---",IF(Y14="0","---",((X14-Y14)/ABS(Y14)))))</f>
        <v>3.0500919234269599</v>
      </c>
      <c r="AD14" s="27" t="s">
        <v>8</v>
      </c>
      <c r="AE14" s="3"/>
      <c r="AF14" s="28">
        <f t="shared" si="10"/>
        <v>98.523194116854782</v>
      </c>
      <c r="AG14" s="29">
        <f t="shared" si="10"/>
        <v>86.591767701984665</v>
      </c>
      <c r="AH14" s="30">
        <f t="shared" si="4"/>
        <v>0.13778938496709603</v>
      </c>
      <c r="AK14" s="28">
        <f t="shared" si="11"/>
        <v>52.754370420123124</v>
      </c>
      <c r="AL14" s="29">
        <f t="shared" si="11"/>
        <v>39.909469086128645</v>
      </c>
      <c r="AM14" s="30">
        <f t="shared" si="5"/>
        <v>0.32185096991077206</v>
      </c>
      <c r="AQ14" s="27" t="str">
        <f>+IF($B$3="esp","Latam","Latam")</f>
        <v>Latam</v>
      </c>
      <c r="AR14" s="3"/>
      <c r="AS14" s="28">
        <f>+[1]RADIO!K14</f>
        <v>25.459522123502925</v>
      </c>
      <c r="AT14" s="29">
        <f>+[1]RADIO!L14</f>
        <v>22.478095251301824</v>
      </c>
      <c r="AU14" s="30">
        <f t="shared" si="6"/>
        <v>0.13263698898279344</v>
      </c>
      <c r="AX14" s="28">
        <f>+[1]RADIO!P14</f>
        <v>14.260895295109719</v>
      </c>
      <c r="AY14" s="29">
        <f>+[1]RADIO!Q14</f>
        <v>8.6314028763423654</v>
      </c>
      <c r="AZ14" s="30">
        <f t="shared" ref="AZ14:AZ17" si="13">IF(AY14=0,"---",IF(OR(ABS((AX14-AY14)/ABS(AY14))&gt;9,(AX14*AY14)&lt;0),"---",IF(AY14="0","---",((AX14-AY14)/ABS(AY14)))))</f>
        <v>0.65221059651810642</v>
      </c>
      <c r="BD14" s="38" t="s">
        <v>10</v>
      </c>
      <c r="BF14" s="33">
        <f>+[1]NOTICIAS!K14</f>
        <v>16.135888850000001</v>
      </c>
      <c r="BG14" s="34">
        <f>+[1]NOTICIAS!L14</f>
        <v>14.939699359999999</v>
      </c>
      <c r="BH14" s="35">
        <f t="shared" si="8"/>
        <v>8.0067842141637438E-2</v>
      </c>
      <c r="BK14" s="33">
        <f>+[1]NOTICIAS!P14</f>
        <v>9.2135730600000016</v>
      </c>
      <c r="BL14" s="34">
        <f>+[1]NOTICIAS!Q14</f>
        <v>6.9617493999999986</v>
      </c>
      <c r="BM14" s="35">
        <f t="shared" si="9"/>
        <v>0.32345658118633275</v>
      </c>
    </row>
    <row r="15" spans="1:65" s="18" customFormat="1" ht="17.25" customHeight="1">
      <c r="D15" s="19" t="str">
        <f>+IF($B$3="esp","Gastos de Explotación Contables","Reported Expenses")</f>
        <v>Reported Expenses</v>
      </c>
      <c r="F15" s="20">
        <f>+[1]GRUPO!K15</f>
        <v>303.48870310825362</v>
      </c>
      <c r="G15" s="21">
        <f>+[1]GRUPO!L15</f>
        <v>333.34794221600362</v>
      </c>
      <c r="H15" s="22">
        <f t="shared" si="0"/>
        <v>-8.9573791604214359E-2</v>
      </c>
      <c r="K15" s="20">
        <f>+[1]GRUPO!P15</f>
        <v>157.27823573462911</v>
      </c>
      <c r="L15" s="21">
        <f>+[1]GRUPO!Q15</f>
        <v>136.21714280744692</v>
      </c>
      <c r="M15" s="22">
        <f t="shared" si="1"/>
        <v>0.15461411459021432</v>
      </c>
      <c r="Q15" s="19" t="str">
        <f>+IF($B$3="esp","Gastos de Explotación Contables","Reported Expenses")</f>
        <v>Reported Expenses</v>
      </c>
      <c r="S15" s="20">
        <f>+[1]EDUCACIÓN!K15</f>
        <v>118.81753547321107</v>
      </c>
      <c r="T15" s="21">
        <f>+[1]EDUCACIÓN!L15</f>
        <v>162.55402464245697</v>
      </c>
      <c r="U15" s="22">
        <f t="shared" si="2"/>
        <v>-0.26905817475418264</v>
      </c>
      <c r="X15" s="20">
        <f>+[1]EDUCACIÓN!P15</f>
        <v>60.08327325645984</v>
      </c>
      <c r="Y15" s="21">
        <f>+[1]EDUCACIÓN!Q15</f>
        <v>56.377310314327154</v>
      </c>
      <c r="Z15" s="22">
        <f t="shared" si="12"/>
        <v>6.5735007957463523E-2</v>
      </c>
      <c r="AD15" s="27" t="s">
        <v>9</v>
      </c>
      <c r="AE15" s="3"/>
      <c r="AF15" s="28">
        <f t="shared" si="10"/>
        <v>86.214480819514321</v>
      </c>
      <c r="AG15" s="29">
        <f t="shared" si="10"/>
        <v>89.218954313508746</v>
      </c>
      <c r="AH15" s="30">
        <f t="shared" si="4"/>
        <v>-3.3675282535109402E-2</v>
      </c>
      <c r="AK15" s="28">
        <f t="shared" si="11"/>
        <v>43.27798300178862</v>
      </c>
      <c r="AL15" s="29">
        <f t="shared" si="11"/>
        <v>41.556885785147649</v>
      </c>
      <c r="AM15" s="30">
        <f t="shared" si="5"/>
        <v>4.1415452195796808E-2</v>
      </c>
      <c r="AQ15" s="27" t="str">
        <f>+IF($B$3="esp","Otros","Other")</f>
        <v>Other</v>
      </c>
      <c r="AR15" s="3"/>
      <c r="AS15" s="28">
        <f>+[1]RADIO!K15</f>
        <v>-1.4398582611844439</v>
      </c>
      <c r="AT15" s="29">
        <f>+[1]RADIO!L15</f>
        <v>-1.9218845133437483</v>
      </c>
      <c r="AU15" s="30">
        <f t="shared" si="6"/>
        <v>0.25080916611407711</v>
      </c>
      <c r="AX15" s="28">
        <f>+[1]RADIO!P15</f>
        <v>-0.80432559100542989</v>
      </c>
      <c r="AY15" s="29">
        <f>+[1]RADIO!Q15</f>
        <v>-0.91586097520335308</v>
      </c>
      <c r="AZ15" s="30">
        <f t="shared" si="13"/>
        <v>0.12178200318357101</v>
      </c>
      <c r="BD15" s="38" t="s">
        <v>11</v>
      </c>
      <c r="BE15" s="11"/>
      <c r="BF15" s="33">
        <f>+[1]NOTICIAS!K15</f>
        <v>13.167972735834537</v>
      </c>
      <c r="BG15" s="34">
        <f>+[1]NOTICIAS!L15</f>
        <v>8.2607589101892636</v>
      </c>
      <c r="BH15" s="35">
        <f t="shared" si="8"/>
        <v>0.59403910451767972</v>
      </c>
      <c r="BK15" s="33">
        <f>+[1]NOTICIAS!P15</f>
        <v>7.5196038421471894</v>
      </c>
      <c r="BL15" s="34">
        <f>+[1]NOTICIAS!Q15</f>
        <v>3.9265402556219193</v>
      </c>
      <c r="BM15" s="35">
        <f t="shared" si="9"/>
        <v>0.91507111925843976</v>
      </c>
    </row>
    <row r="16" spans="1:65" ht="17.25" customHeight="1">
      <c r="D16" s="27" t="str">
        <f>+IF($B$3="esp","España","Spain")</f>
        <v>Spain</v>
      </c>
      <c r="F16" s="28">
        <f>+[1]GRUPO!K16</f>
        <v>171.68382472000064</v>
      </c>
      <c r="G16" s="29">
        <f>+[1]GRUPO!L16</f>
        <v>154.6759768499999</v>
      </c>
      <c r="H16" s="30">
        <f t="shared" si="0"/>
        <v>0.10995791470898188</v>
      </c>
      <c r="K16" s="28">
        <f>+[1]GRUPO!P16</f>
        <v>89.426199130000413</v>
      </c>
      <c r="L16" s="29">
        <f>+[1]GRUPO!Q16</f>
        <v>72.971339319999984</v>
      </c>
      <c r="M16" s="30">
        <f t="shared" si="1"/>
        <v>0.2254975715580772</v>
      </c>
      <c r="Q16" s="27" t="str">
        <f>+IF($B$3="esp","Negocio Internacional","International business")</f>
        <v>International business</v>
      </c>
      <c r="S16" s="28">
        <f>+[1]EDUCACIÓN!K16</f>
        <v>107.06362334321106</v>
      </c>
      <c r="T16" s="29">
        <f>+[1]EDUCACIÓN!L16</f>
        <v>151.28061712245696</v>
      </c>
      <c r="U16" s="30">
        <f t="shared" si="2"/>
        <v>-0.29228459415559904</v>
      </c>
      <c r="X16" s="28">
        <f>+[1]EDUCACIÓN!P16</f>
        <v>55.384121106459837</v>
      </c>
      <c r="Y16" s="29">
        <f>+[1]EDUCACIÓN!Q16</f>
        <v>51.304177984327154</v>
      </c>
      <c r="Z16" s="30">
        <f t="shared" si="12"/>
        <v>7.9524578356543585E-2</v>
      </c>
      <c r="AD16" s="19" t="str">
        <f>+IF($B$3="esp","EBITDA Contable","Reported EBITDA")</f>
        <v>Reported EBITDA</v>
      </c>
      <c r="AF16" s="20">
        <f>+[1]MEDIA!K24</f>
        <v>-1.2238059564902413</v>
      </c>
      <c r="AG16" s="21">
        <f>+[1]MEDIA!L24</f>
        <v>-18.821808011107301</v>
      </c>
      <c r="AH16" s="22">
        <f t="shared" si="4"/>
        <v>0.93497936246252011</v>
      </c>
      <c r="AK16" s="20">
        <f>+[1]MEDIA!P24</f>
        <v>6.251348124532659</v>
      </c>
      <c r="AL16" s="21">
        <f>+[1]MEDIA!Q24</f>
        <v>-13.527137988335063</v>
      </c>
      <c r="AM16" s="22" t="str">
        <f t="shared" si="5"/>
        <v>---</v>
      </c>
      <c r="AQ16" s="19" t="str">
        <f>+IF($B$3="esp","Gastos de Explotación Contables","Reported Expenses")</f>
        <v>Reported Expenses</v>
      </c>
      <c r="AR16" s="18"/>
      <c r="AS16" s="20">
        <f>+AS10-AS22</f>
        <v>98.523194116854782</v>
      </c>
      <c r="AT16" s="21">
        <f>+AT10-AT22</f>
        <v>86.591767701984665</v>
      </c>
      <c r="AU16" s="22">
        <f t="shared" si="6"/>
        <v>0.13778938496709603</v>
      </c>
      <c r="AX16" s="20">
        <f>+AX10-AX22</f>
        <v>52.754370420123124</v>
      </c>
      <c r="AY16" s="21">
        <f>+AY10-AY22</f>
        <v>39.909469086128645</v>
      </c>
      <c r="AZ16" s="22">
        <f t="shared" si="13"/>
        <v>0.32185096991077206</v>
      </c>
      <c r="BD16" s="38" t="str">
        <f>+IF($B$3="esp","Otros","Other")</f>
        <v>Other</v>
      </c>
      <c r="BE16" s="11"/>
      <c r="BF16" s="33">
        <f>+[1]NOTICIAS!K16</f>
        <v>0.69679363999999389</v>
      </c>
      <c r="BG16" s="34">
        <f>+[1]NOTICIAS!L16</f>
        <v>0.97091653483922258</v>
      </c>
      <c r="BH16" s="35">
        <f t="shared" si="8"/>
        <v>-0.28233415026207342</v>
      </c>
      <c r="BK16" s="33">
        <f>+[1]NOTICIAS!P16</f>
        <v>0.42706640999999212</v>
      </c>
      <c r="BL16" s="34">
        <f>+[1]NOTICIAS!Q16</f>
        <v>0.52130405859614726</v>
      </c>
      <c r="BM16" s="35">
        <f t="shared" si="9"/>
        <v>-0.180772904108849</v>
      </c>
    </row>
    <row r="17" spans="4:65" ht="17.25" customHeight="1">
      <c r="D17" s="27" t="str">
        <f>+IF($B$3="esp","Internacional","International")</f>
        <v>International</v>
      </c>
      <c r="F17" s="28">
        <f>+[1]GRUPO!K17</f>
        <v>131.804878388253</v>
      </c>
      <c r="G17" s="29">
        <f>+[1]GRUPO!L17</f>
        <v>178.67196536600372</v>
      </c>
      <c r="H17" s="30">
        <f t="shared" si="0"/>
        <v>-0.26230800608111637</v>
      </c>
      <c r="K17" s="28">
        <f>+[1]GRUPO!P17</f>
        <v>67.852036604628694</v>
      </c>
      <c r="L17" s="29">
        <f>+[1]GRUPO!Q17</f>
        <v>63.245803487446906</v>
      </c>
      <c r="M17" s="30">
        <f t="shared" si="1"/>
        <v>7.2830652204395468E-2</v>
      </c>
      <c r="Q17" s="32" t="str">
        <f>+IF($B$3="esp","Brasil","Brazil")</f>
        <v>Brazil</v>
      </c>
      <c r="S17" s="33">
        <f>+[1]EDUCACIÓN!K17</f>
        <v>36.816798104445134</v>
      </c>
      <c r="T17" s="34">
        <f>+[1]EDUCACIÓN!L17</f>
        <v>49.772196108160685</v>
      </c>
      <c r="U17" s="35">
        <f>IF(T17=0,"---",IF(OR(ABS((S17-T17)/ABS(T17))&gt;9,(S17*T17)&lt;0),"---",IF(T17="0","---",((S17-T17)/ABS(T17)))))</f>
        <v>-0.26029387924860675</v>
      </c>
      <c r="X17" s="33">
        <f>+[1]EDUCACIÓN!P17</f>
        <v>18.225137868505634</v>
      </c>
      <c r="Y17" s="34">
        <f>+[1]EDUCACIÓN!Q17</f>
        <v>13.33535343980607</v>
      </c>
      <c r="Z17" s="35">
        <f>IF(Y17=0,"---",IF(OR(ABS((X17-Y17)/ABS(Y17))&gt;9,(X17*Y17)&lt;0),"---",IF(Y17="0","---",((X17-Y17)/ABS(Y17)))))</f>
        <v>0.36667827746533826</v>
      </c>
      <c r="AD17" s="27" t="s">
        <v>8</v>
      </c>
      <c r="AE17" s="39"/>
      <c r="AF17" s="28">
        <f>+[1]MEDIA!K25</f>
        <v>-1.9177552145363055</v>
      </c>
      <c r="AG17" s="29">
        <f>+[1]MEDIA!L25</f>
        <v>-5.1827484440266032</v>
      </c>
      <c r="AH17" s="30">
        <f t="shared" si="4"/>
        <v>0.62997331719878824</v>
      </c>
      <c r="AK17" s="28">
        <f>+[1]MEDIA!P25</f>
        <v>2.5739971539811677</v>
      </c>
      <c r="AL17" s="29">
        <f>+[1]MEDIA!Q25</f>
        <v>-5.855112174989662</v>
      </c>
      <c r="AM17" s="30" t="str">
        <f t="shared" si="5"/>
        <v>---</v>
      </c>
      <c r="AQ17" s="27" t="str">
        <f>+IF($B$3="esp","España","Spain")</f>
        <v>Spain</v>
      </c>
      <c r="AS17" s="28">
        <f>+AS11-AS23</f>
        <v>75.116220010000006</v>
      </c>
      <c r="AT17" s="29">
        <f>+AT11-AT23</f>
        <v>62.318450669999997</v>
      </c>
      <c r="AU17" s="30">
        <f t="shared" si="6"/>
        <v>0.20536083940483513</v>
      </c>
      <c r="AX17" s="28">
        <f>+AX11-AX23</f>
        <v>40.885507240000045</v>
      </c>
      <c r="AY17" s="29">
        <f>+AY11-AY23</f>
        <v>29.180693980000001</v>
      </c>
      <c r="AZ17" s="30">
        <f t="shared" si="13"/>
        <v>0.40111497238627508</v>
      </c>
      <c r="BD17" s="37" t="str">
        <f>+IF($B$3="esp","Papel","Offline")</f>
        <v>Offline</v>
      </c>
      <c r="BF17" s="28">
        <f>+[1]NOTICIAS!K17</f>
        <v>12.844540972468476</v>
      </c>
      <c r="BG17" s="29">
        <f>+[1]NOTICIAS!L17</f>
        <v>10.978220847187323</v>
      </c>
      <c r="BH17" s="30">
        <f t="shared" si="8"/>
        <v>0.1700020569142871</v>
      </c>
      <c r="BK17" s="28">
        <f>+[1]NOTICIAS!P17</f>
        <v>7.6760646350042254</v>
      </c>
      <c r="BL17" s="29">
        <f>+[1]NOTICIAS!Q17</f>
        <v>4.4714427752626094</v>
      </c>
      <c r="BM17" s="30">
        <f t="shared" si="9"/>
        <v>0.71668631822161866</v>
      </c>
    </row>
    <row r="18" spans="4:65" ht="17.25" customHeight="1">
      <c r="D18" s="32" t="str">
        <f>+IF($B$3="esp","Latam","Latam")</f>
        <v>Latam</v>
      </c>
      <c r="F18" s="33">
        <f>+[1]GRUPO!K18</f>
        <v>131.26677681825299</v>
      </c>
      <c r="G18" s="34">
        <f>+[1]GRUPO!L18</f>
        <v>178.03198077600371</v>
      </c>
      <c r="H18" s="35">
        <f t="shared" si="0"/>
        <v>-0.26267867016875895</v>
      </c>
      <c r="K18" s="33">
        <f>+[1]GRUPO!P18</f>
        <v>67.546005694628704</v>
      </c>
      <c r="L18" s="34">
        <f>+[1]GRUPO!Q18</f>
        <v>62.827067577446932</v>
      </c>
      <c r="M18" s="35">
        <f t="shared" si="1"/>
        <v>7.5109953386965508E-2</v>
      </c>
      <c r="Q18" s="32" t="str">
        <f>+IF($B$3="esp","Otros","Other")</f>
        <v>Other</v>
      </c>
      <c r="S18" s="33">
        <f>+[1]EDUCACIÓN!K18</f>
        <v>70.246825238765922</v>
      </c>
      <c r="T18" s="34">
        <f>+[1]EDUCACIÓN!L18</f>
        <v>101.50842101429627</v>
      </c>
      <c r="U18" s="35">
        <f>IF(T18=0,"---",IF(OR(ABS((S18-T18)/ABS(T18))&gt;9,(S18*T18)&lt;0),"---",IF(T18="0","---",((S18-T18)/ABS(T18)))))</f>
        <v>-0.30797046652048232</v>
      </c>
      <c r="X18" s="33">
        <f>+[1]EDUCACIÓN!P18</f>
        <v>37.158983237954189</v>
      </c>
      <c r="Y18" s="34">
        <f>+[1]EDUCACIÓN!Q18</f>
        <v>37.968824544521084</v>
      </c>
      <c r="Z18" s="35">
        <f>IF(Y18=0,"---",IF(OR(ABS((X18-Y18)/ABS(Y18))&gt;9,(X18*Y18)&lt;0),"---",IF(Y18="0","---",((X18-Y18)/ABS(Y18)))))</f>
        <v>-2.1329111877490436E-2</v>
      </c>
      <c r="AD18" s="27" t="s">
        <v>9</v>
      </c>
      <c r="AF18" s="28">
        <f>+[1]MEDIA!K28</f>
        <v>0.8672362980461763</v>
      </c>
      <c r="AG18" s="29">
        <f>+[1]MEDIA!L28</f>
        <v>-13.639059567080702</v>
      </c>
      <c r="AH18" s="30" t="str">
        <f t="shared" si="4"/>
        <v>---</v>
      </c>
      <c r="AK18" s="28">
        <f>+[1]MEDIA!P28</f>
        <v>3.8506380105515889</v>
      </c>
      <c r="AL18" s="29">
        <f>+[1]MEDIA!Q28</f>
        <v>-7.67202581334538</v>
      </c>
      <c r="AM18" s="30" t="str">
        <f t="shared" si="5"/>
        <v>---</v>
      </c>
      <c r="AQ18" s="32" t="str">
        <f>+IF($B$3="esp","España sin SSCC","Spain ex HQ")</f>
        <v>Spain ex HQ</v>
      </c>
      <c r="AR18" s="11"/>
      <c r="AS18" s="33">
        <f t="shared" ref="AS18:AT19" si="14">+AS12-AS24</f>
        <v>65.949354440000008</v>
      </c>
      <c r="AT18" s="34">
        <f t="shared" si="14"/>
        <v>58.064568150000007</v>
      </c>
      <c r="AU18" s="35">
        <f>IF(AT18=0,"---",IF(OR(ABS((AS18-AT18)/ABS(AT18))&gt;9,(AS18*AT18)&lt;0),"---",IF(AT18="0","---",((AS18-AT18)/ABS(AT18)))))</f>
        <v>0.13579342000152292</v>
      </c>
      <c r="AX18" s="33">
        <f t="shared" ref="AX18:AY19" si="15">+AX12-AX24</f>
        <v>35.619614650000052</v>
      </c>
      <c r="AY18" s="34">
        <f t="shared" si="15"/>
        <v>26.959250690000005</v>
      </c>
      <c r="AZ18" s="35">
        <f>IF(AY18=0,"---",IF(OR(ABS((AX18-AY18)/ABS(AY18))&gt;9,(AX18*AY18)&lt;0),"---",IF(AY18="0","---",((AX18-AY18)/ABS(AY18)))))</f>
        <v>0.32123904553520982</v>
      </c>
      <c r="BD18" s="38" t="s">
        <v>10</v>
      </c>
      <c r="BE18" s="11"/>
      <c r="BF18" s="33">
        <f>+[1]NOTICIAS!K18</f>
        <v>9.6742721736480775</v>
      </c>
      <c r="BG18" s="34">
        <f>+[1]NOTICIAS!L18</f>
        <v>8.7244673988837711</v>
      </c>
      <c r="BH18" s="35">
        <f t="shared" si="8"/>
        <v>0.10886679167209985</v>
      </c>
      <c r="BK18" s="33">
        <f>+[1]NOTICIAS!P18</f>
        <v>5.6463857100000032</v>
      </c>
      <c r="BL18" s="34">
        <f>+[1]NOTICIAS!Q18</f>
        <v>3.5744519834389461</v>
      </c>
      <c r="BM18" s="35">
        <f t="shared" si="9"/>
        <v>0.57965073699707936</v>
      </c>
    </row>
    <row r="19" spans="4:65" ht="17.25" customHeight="1">
      <c r="D19" s="32" t="str">
        <f>+IF($B$3="esp","Portugal","Portugal")</f>
        <v>Portugal</v>
      </c>
      <c r="F19" s="33">
        <f>+[1]GRUPO!K19</f>
        <v>0.53810156999999992</v>
      </c>
      <c r="G19" s="34">
        <f>+[1]GRUPO!L19</f>
        <v>0.63998459000000829</v>
      </c>
      <c r="H19" s="35">
        <f t="shared" si="0"/>
        <v>-0.15919605189244798</v>
      </c>
      <c r="K19" s="33">
        <f>+[1]GRUPO!P19</f>
        <v>0.30603090999999988</v>
      </c>
      <c r="L19" s="34">
        <f>+[1]GRUPO!Q19</f>
        <v>0.41873591000000721</v>
      </c>
      <c r="M19" s="35">
        <f t="shared" si="1"/>
        <v>-0.2691553251308334</v>
      </c>
      <c r="Q19" s="27" t="str">
        <f>+IF($B$3="esp","Tecnología Educativa global y Centro Corpor.","Global Educational IT &amp; HQ")</f>
        <v>Global Educational IT &amp; HQ</v>
      </c>
      <c r="S19" s="28">
        <f>+[1]EDUCACIÓN!K19</f>
        <v>11.75391213</v>
      </c>
      <c r="T19" s="29">
        <f>+[1]EDUCACIÓN!L19</f>
        <v>11.273407519999994</v>
      </c>
      <c r="U19" s="30">
        <f t="shared" si="2"/>
        <v>4.2622836897144842E-2</v>
      </c>
      <c r="X19" s="28">
        <f>+[1]EDUCACIÓN!P19</f>
        <v>4.6991521500000006</v>
      </c>
      <c r="Y19" s="29">
        <f>+[1]EDUCACIÓN!Q19</f>
        <v>5.0731323299999946</v>
      </c>
      <c r="Z19" s="30">
        <f t="shared" ref="Z19:Z21" si="16">IF(Y19=0,"---",IF(OR(ABS((X19-Y19)/ABS(Y19))&gt;9,(X19*Y19)&lt;0),"---",IF(Y19="0","---",((X19-Y19)/ABS(Y19)))))</f>
        <v>-7.3717805031116621E-2</v>
      </c>
      <c r="AD19" s="40" t="str">
        <f>+IF($B$3="esp","Margen EBITDA ","EBITDA Margin")</f>
        <v>EBITDA Margin</v>
      </c>
      <c r="AE19" s="39"/>
      <c r="AF19" s="41">
        <f>+AF16/AF10</f>
        <v>-6.9870035356535947E-3</v>
      </c>
      <c r="AG19" s="42">
        <f>+AG16/AG10</f>
        <v>-0.12616148598075877</v>
      </c>
      <c r="AH19" s="43">
        <f t="shared" si="4"/>
        <v>0.94461856975337777</v>
      </c>
      <c r="AK19" s="41">
        <f>+AK16/AK10</f>
        <v>6.3685344516854217E-2</v>
      </c>
      <c r="AL19" s="42">
        <f>+AL16/AL10</f>
        <v>-0.2102819652726827</v>
      </c>
      <c r="AM19" s="43" t="str">
        <f t="shared" si="5"/>
        <v>---</v>
      </c>
      <c r="AQ19" s="32" t="str">
        <f>+IF($B$3="esp","Servicios Centrales","HQ")</f>
        <v>HQ</v>
      </c>
      <c r="AR19" s="11"/>
      <c r="AS19" s="33">
        <f t="shared" si="14"/>
        <v>9.1668655700000006</v>
      </c>
      <c r="AT19" s="34">
        <f t="shared" si="14"/>
        <v>4.2538825200000003</v>
      </c>
      <c r="AU19" s="35">
        <f>IF(AT19=0,"---",IF(OR(ABS((AS19-AT19)/ABS(AT19))&gt;9,(AS19*AT19)&lt;0),"---",IF(AT19="0","---",((AS19-AT19)/ABS(AT19)))))</f>
        <v>1.1549409338177961</v>
      </c>
      <c r="AX19" s="33">
        <f t="shared" si="15"/>
        <v>5.26589259</v>
      </c>
      <c r="AY19" s="34">
        <f t="shared" si="15"/>
        <v>2.2214432900000003</v>
      </c>
      <c r="AZ19" s="35">
        <f>IF(AY19=0,"---",IF(OR(ABS((AX19-AY19)/ABS(AY19))&gt;9,(AX19*AY19)&lt;0),"---",IF(AY19="0","---",((AX19-AY19)/ABS(AY19)))))</f>
        <v>1.370482565863745</v>
      </c>
      <c r="BD19" s="38" t="s">
        <v>11</v>
      </c>
      <c r="BE19" s="11"/>
      <c r="BF19" s="33">
        <f>+[1]NOTICIAS!K19</f>
        <v>1.504683518820384</v>
      </c>
      <c r="BG19" s="34">
        <f>+[1]NOTICIAS!L19</f>
        <v>1.2986720531427682</v>
      </c>
      <c r="BH19" s="35">
        <f t="shared" si="8"/>
        <v>0.1586324008274998</v>
      </c>
      <c r="BK19" s="33">
        <f>+[1]NOTICIAS!P19</f>
        <v>0.95366017500422462</v>
      </c>
      <c r="BL19" s="34">
        <f>+[1]NOTICIAS!Q19</f>
        <v>0.46329570041979729</v>
      </c>
      <c r="BM19" s="35">
        <f t="shared" si="9"/>
        <v>1.0584265602726353</v>
      </c>
    </row>
    <row r="20" spans="4:65" s="18" customFormat="1" ht="17.25" customHeight="1">
      <c r="D20" s="19" t="str">
        <f>+IF($B$3="esp","EBITDA Contable","Reported EBITDA")</f>
        <v>Reported EBITDA</v>
      </c>
      <c r="F20" s="20">
        <f>+[1]GRUPO!K20</f>
        <v>2.7262869758044044</v>
      </c>
      <c r="G20" s="21">
        <f>+[1]GRUPO!L20</f>
        <v>19.805832106314533</v>
      </c>
      <c r="H20" s="22">
        <f t="shared" si="0"/>
        <v>-0.86234928372763464</v>
      </c>
      <c r="K20" s="20">
        <f>+[1]GRUPO!P20</f>
        <v>-9.5798270990358318</v>
      </c>
      <c r="L20" s="21">
        <f>+[1]GRUPO!Q20</f>
        <v>-44.26244747599457</v>
      </c>
      <c r="M20" s="22">
        <f t="shared" si="1"/>
        <v>0.78356761441555201</v>
      </c>
      <c r="Q20" s="19" t="str">
        <f>+IF($B$3="esp","EBITDA Contable","Reported EBITDA")</f>
        <v>Reported EBITDA</v>
      </c>
      <c r="S20" s="20">
        <f>+[1]EDUCACIÓN!K20</f>
        <v>12.920538632294845</v>
      </c>
      <c r="T20" s="21">
        <f>+[1]EDUCACIÓN!L20</f>
        <v>42.246165727421904</v>
      </c>
      <c r="U20" s="22">
        <f t="shared" si="2"/>
        <v>-0.69416067920435798</v>
      </c>
      <c r="X20" s="20">
        <f>+[1]EDUCACIÓN!P20</f>
        <v>-10.318471353568489</v>
      </c>
      <c r="Y20" s="21">
        <f>+[1]EDUCACIÓN!Q20</f>
        <v>-28.160007777659494</v>
      </c>
      <c r="Z20" s="22">
        <f t="shared" si="16"/>
        <v>0.63357711279630524</v>
      </c>
      <c r="AD20" s="19" t="str">
        <f>+IF($B$3="esp","EBITDA sin indemnizaciones","EBITDA ex severance expenses")</f>
        <v>EBITDA ex severance expenses</v>
      </c>
      <c r="AF20" s="20">
        <f>+[1]MEDIA!K32</f>
        <v>8.4601676185461461</v>
      </c>
      <c r="AG20" s="21">
        <f>+[1]MEDIA!L32</f>
        <v>-17.137273298492364</v>
      </c>
      <c r="AH20" s="22" t="str">
        <f t="shared" si="4"/>
        <v>---</v>
      </c>
      <c r="AK20" s="20">
        <f>+[1]MEDIA!P32</f>
        <v>13.219190103409636</v>
      </c>
      <c r="AL20" s="21">
        <f>+[1]MEDIA!Q32</f>
        <v>-12.874638118001712</v>
      </c>
      <c r="AM20" s="22" t="str">
        <f t="shared" si="5"/>
        <v>---</v>
      </c>
      <c r="AQ20" s="27" t="str">
        <f>+IF($B$3="esp","Latam","Latam")</f>
        <v>Latam</v>
      </c>
      <c r="AR20" s="3"/>
      <c r="AS20" s="28">
        <f>+AS14-AS26</f>
        <v>24.69427224383703</v>
      </c>
      <c r="AT20" s="29">
        <f>+AT14-AT26</f>
        <v>26.536076005328351</v>
      </c>
      <c r="AU20" s="30">
        <f t="shared" si="6"/>
        <v>-6.9407540177435903E-2</v>
      </c>
      <c r="AX20" s="28">
        <f>+AX14-AX26</f>
        <v>12.470932611128353</v>
      </c>
      <c r="AY20" s="29">
        <f>+AY14-AY26</f>
        <v>11.640177071331919</v>
      </c>
      <c r="AZ20" s="30">
        <f t="shared" ref="AZ20:AZ23" si="17">IF(AY20=0,"---",IF(OR(ABS((AX20-AY20)/ABS(AY20))&gt;9,(AX20*AY20)&lt;0),"---",IF(AY20="0","---",((AX20-AY20)/ABS(AY20)))))</f>
        <v>7.1369665143880379E-2</v>
      </c>
      <c r="BD20" s="38" t="str">
        <f>+IF($B$3="esp","Otros","Other")</f>
        <v>Other</v>
      </c>
      <c r="BE20" s="11"/>
      <c r="BF20" s="33">
        <f>+[1]NOTICIAS!K20</f>
        <v>1.6655852800000144</v>
      </c>
      <c r="BG20" s="34">
        <f>+[1]NOTICIAS!L20</f>
        <v>0.95508139516078394</v>
      </c>
      <c r="BH20" s="35">
        <f t="shared" si="8"/>
        <v>0.74391972081041335</v>
      </c>
      <c r="BK20" s="33">
        <f>+[1]NOTICIAS!P20</f>
        <v>1.0760187499999976</v>
      </c>
      <c r="BL20" s="34">
        <f>+[1]NOTICIAS!Q20</f>
        <v>0.43369509140386597</v>
      </c>
      <c r="BM20" s="35">
        <f t="shared" si="9"/>
        <v>1.481048947353629</v>
      </c>
    </row>
    <row r="21" spans="4:65" ht="17.25" customHeight="1">
      <c r="D21" s="27" t="str">
        <f>+IF($B$3="esp","España","Spain")</f>
        <v>Spain</v>
      </c>
      <c r="F21" s="28">
        <f>+[1]GRUPO!K21</f>
        <v>-21.687179270000559</v>
      </c>
      <c r="G21" s="29">
        <f>+[1]GRUPO!L21</f>
        <v>-28.514516550000341</v>
      </c>
      <c r="H21" s="30">
        <f t="shared" si="0"/>
        <v>0.23943373783062438</v>
      </c>
      <c r="K21" s="28">
        <f>+[1]GRUPO!P21</f>
        <v>-4.6432410900003589</v>
      </c>
      <c r="L21" s="29">
        <f>+[1]GRUPO!Q21</f>
        <v>-17.782079110000694</v>
      </c>
      <c r="M21" s="30">
        <f t="shared" si="1"/>
        <v>0.73888086644553352</v>
      </c>
      <c r="Q21" s="27" t="str">
        <f>+IF($B$3="esp","Negocio Internacional","International business")</f>
        <v>International business</v>
      </c>
      <c r="S21" s="28">
        <f>+[1]EDUCACIÓN!K21</f>
        <v>21.417036732294843</v>
      </c>
      <c r="T21" s="29">
        <f>+[1]EDUCACIÓN!L21</f>
        <v>52.762393067421897</v>
      </c>
      <c r="U21" s="30">
        <f t="shared" si="2"/>
        <v>-0.59408519047027875</v>
      </c>
      <c r="X21" s="28">
        <f>+[1]EDUCACIÓN!P21</f>
        <v>-7.54405451356849</v>
      </c>
      <c r="Y21" s="29">
        <f>+[1]EDUCACIÓN!Q21</f>
        <v>-23.562107947659499</v>
      </c>
      <c r="Z21" s="30">
        <f t="shared" si="16"/>
        <v>0.67982259777746812</v>
      </c>
      <c r="AD21" s="27" t="s">
        <v>8</v>
      </c>
      <c r="AF21" s="28">
        <f>+[1]MEDIA!K33</f>
        <v>5.1545418504404443</v>
      </c>
      <c r="AG21" s="29">
        <f>+[1]MEDIA!L33</f>
        <v>-4.8860160727546562</v>
      </c>
      <c r="AH21" s="30" t="str">
        <f t="shared" si="4"/>
        <v>---</v>
      </c>
      <c r="AK21" s="28">
        <f>+[1]MEDIA!P33</f>
        <v>8.480111072342309</v>
      </c>
      <c r="AL21" s="29">
        <f>+[1]MEDIA!Q33</f>
        <v>-5.7767204646563117</v>
      </c>
      <c r="AM21" s="30" t="str">
        <f t="shared" si="5"/>
        <v>---</v>
      </c>
      <c r="AQ21" s="27" t="str">
        <f>+IF($B$3="esp","Otros","Other")</f>
        <v>Other</v>
      </c>
      <c r="AS21" s="28">
        <f>+AS15-AS27</f>
        <v>-1.2872981369822529</v>
      </c>
      <c r="AT21" s="29">
        <f>+AT15-AT27</f>
        <v>-2.2627589733436824</v>
      </c>
      <c r="AU21" s="30">
        <f t="shared" si="6"/>
        <v>0.43109356668244231</v>
      </c>
      <c r="AX21" s="28">
        <f>+AX15-AX27</f>
        <v>-0.60206943100527377</v>
      </c>
      <c r="AY21" s="29">
        <f>+AY15-AY27</f>
        <v>-0.91140196520327721</v>
      </c>
      <c r="AZ21" s="30">
        <f t="shared" si="17"/>
        <v>0.33940297037763195</v>
      </c>
      <c r="BD21" s="36" t="str">
        <f>+IF($B$3="esp","Circulación","Circulation")</f>
        <v>Circulation</v>
      </c>
      <c r="BF21" s="28">
        <f>+[1]NOTICIAS!K21</f>
        <v>25.809010700000002</v>
      </c>
      <c r="BG21" s="29">
        <f>+[1]NOTICIAS!L21</f>
        <v>23.026383030649804</v>
      </c>
      <c r="BH21" s="30">
        <f t="shared" si="8"/>
        <v>0.12084519160678935</v>
      </c>
      <c r="BK21" s="28">
        <f>+[1]NOTICIAS!P21</f>
        <v>12.965401610000002</v>
      </c>
      <c r="BL21" s="29">
        <f>+[1]NOTICIAS!Q21</f>
        <v>9.8046286872343753</v>
      </c>
      <c r="BM21" s="30">
        <f t="shared" si="9"/>
        <v>0.32237558642898462</v>
      </c>
    </row>
    <row r="22" spans="4:65" ht="17.25" customHeight="1">
      <c r="D22" s="27" t="str">
        <f>+IF($B$3="esp","Internacional","International")</f>
        <v>International</v>
      </c>
      <c r="F22" s="28">
        <f>+[1]GRUPO!K22</f>
        <v>24.413466245804965</v>
      </c>
      <c r="G22" s="29">
        <f>+[1]GRUPO!L22</f>
        <v>48.320348656314877</v>
      </c>
      <c r="H22" s="30">
        <f t="shared" si="0"/>
        <v>-0.49475806932915362</v>
      </c>
      <c r="K22" s="28">
        <f>+[1]GRUPO!P22</f>
        <v>-4.936586009035473</v>
      </c>
      <c r="L22" s="29">
        <f>+[1]GRUPO!Q22</f>
        <v>-26.480368365993868</v>
      </c>
      <c r="M22" s="30">
        <f t="shared" si="1"/>
        <v>0.81357562928108496</v>
      </c>
      <c r="Q22" s="32" t="str">
        <f>+IF($B$3="esp","Brasil","Brazil")</f>
        <v>Brazil</v>
      </c>
      <c r="S22" s="33">
        <f>+[1]EDUCACIÓN!K22</f>
        <v>-0.90865168353421921</v>
      </c>
      <c r="T22" s="34">
        <f>+[1]EDUCACIÓN!L22</f>
        <v>20.607712153461435</v>
      </c>
      <c r="U22" s="35" t="str">
        <f>IF(T22=0,"---",IF(OR(ABS((S22-T22)/ABS(T22))&gt;9,(S22*T22)&lt;0),"---",IF(T22="0","---",((S22-T22)/ABS(T22)))))</f>
        <v>---</v>
      </c>
      <c r="X22" s="33">
        <f>+[1]EDUCACIÓN!P22</f>
        <v>-5.15352664189537</v>
      </c>
      <c r="Y22" s="34">
        <f>+[1]EDUCACIÓN!Q22</f>
        <v>-11.348916204329043</v>
      </c>
      <c r="Z22" s="35">
        <f>IF(Y22=0,"---",IF(OR(ABS((X22-Y22)/ABS(Y22))&gt;9,(X22*Y22)&lt;0),"---",IF(Y22="0","---",((X22-Y22)/ABS(Y22)))))</f>
        <v>0.54590142802098074</v>
      </c>
      <c r="AD22" s="27" t="s">
        <v>9</v>
      </c>
      <c r="AF22" s="28">
        <f>+[1]MEDIA!K36</f>
        <v>3.7363065981058163</v>
      </c>
      <c r="AG22" s="29">
        <f>+[1]MEDIA!L36</f>
        <v>-12.251257225737712</v>
      </c>
      <c r="AH22" s="30" t="str">
        <f t="shared" si="4"/>
        <v>---</v>
      </c>
      <c r="AK22" s="28">
        <f>+[1]MEDIA!P36</f>
        <v>4.9201160910674293</v>
      </c>
      <c r="AL22" s="29">
        <f>+[1]MEDIA!Q36</f>
        <v>-7.0979176533453803</v>
      </c>
      <c r="AM22" s="30" t="str">
        <f t="shared" si="5"/>
        <v>---</v>
      </c>
      <c r="AQ22" s="19" t="str">
        <f>+IF($B$3="esp","EBITDA Contable","Reported EBITDA")</f>
        <v>Reported EBITDA</v>
      </c>
      <c r="AR22" s="18"/>
      <c r="AS22" s="20">
        <f>+[1]RADIO!K22</f>
        <v>-1.9177552145363055</v>
      </c>
      <c r="AT22" s="21">
        <f>+[1]RADIO!L22</f>
        <v>-5.1827484440266032</v>
      </c>
      <c r="AU22" s="22">
        <f t="shared" si="6"/>
        <v>0.62997331719878824</v>
      </c>
      <c r="AX22" s="20">
        <f>+[1]RADIO!P22</f>
        <v>2.5739971539811677</v>
      </c>
      <c r="AY22" s="21">
        <f>+[1]RADIO!Q22</f>
        <v>-5.855112174989662</v>
      </c>
      <c r="AZ22" s="22" t="str">
        <f t="shared" si="17"/>
        <v>---</v>
      </c>
      <c r="BD22" s="37" t="str">
        <f>+IF($B$3="esp","Papel","Offline")</f>
        <v>Offline</v>
      </c>
      <c r="BF22" s="28">
        <f>+[1]NOTICIAS!K22</f>
        <v>20.894296170000001</v>
      </c>
      <c r="BG22" s="29">
        <f>+[1]NOTICIAS!L22</f>
        <v>22.184186870649803</v>
      </c>
      <c r="BH22" s="30">
        <f>IF(BG22=0,"---",IF(OR(ABS((BF22-BG22)/ABS(BG22))&gt;9,(BF22*BG22)&lt;0),"---",IF(BG22="0","---",((BF22-BG22)/ABS(BG22)))))</f>
        <v>-5.8144601295094495E-2</v>
      </c>
      <c r="BK22" s="28">
        <f>+[1]NOTICIAS!P22</f>
        <v>10.386460540000002</v>
      </c>
      <c r="BL22" s="29">
        <f>+[1]NOTICIAS!Q22</f>
        <v>9.1296637472343747</v>
      </c>
      <c r="BM22" s="30">
        <f>IF(BL22=0,"---",IF(OR(ABS((BK22-BL22)/ABS(BL22))&gt;9,(BK22*BL22)&lt;0),"---",IF(BL22="0","---",((BK22-BL22)/ABS(BL22)))))</f>
        <v>0.13766079754540195</v>
      </c>
    </row>
    <row r="23" spans="4:65" ht="17.25" customHeight="1">
      <c r="D23" s="32" t="str">
        <f>+IF($B$3="esp","Latam","Latam")</f>
        <v>Latam</v>
      </c>
      <c r="F23" s="33">
        <f>+[1]GRUPO!K23</f>
        <v>24.726893815804964</v>
      </c>
      <c r="G23" s="34">
        <f>+[1]GRUPO!L23</f>
        <v>48.164257246314882</v>
      </c>
      <c r="H23" s="35">
        <f t="shared" si="0"/>
        <v>-0.48661320179090162</v>
      </c>
      <c r="K23" s="33">
        <f>+[1]GRUPO!P23</f>
        <v>-4.8460990990354738</v>
      </c>
      <c r="L23" s="34">
        <f>+[1]GRUPO!Q23</f>
        <v>-26.846943455993873</v>
      </c>
      <c r="M23" s="35">
        <f t="shared" si="1"/>
        <v>0.81949158916436993</v>
      </c>
      <c r="Q23" s="32" t="str">
        <f>+IF($B$3="esp","Otros","Other")</f>
        <v>Other</v>
      </c>
      <c r="S23" s="33">
        <f>+[1]EDUCACIÓN!K23</f>
        <v>22.325688415829063</v>
      </c>
      <c r="T23" s="34">
        <f>+[1]EDUCACIÓN!L23</f>
        <v>32.154680913960462</v>
      </c>
      <c r="U23" s="35">
        <f>IF(T23=0,"---",IF(OR(ABS((S23-T23)/ABS(T23))&gt;9,(S23*T23)&lt;0),"---",IF(T23="0","---",((S23-T23)/ABS(T23)))))</f>
        <v>-0.3056784337071119</v>
      </c>
      <c r="X23" s="33">
        <f>+[1]EDUCACIÓN!P23</f>
        <v>-2.3905278716731182</v>
      </c>
      <c r="Y23" s="34">
        <f>+[1]EDUCACIÓN!Q23</f>
        <v>-12.213191743330455</v>
      </c>
      <c r="Z23" s="35">
        <f>IF(Y23=0,"---",IF(OR(ABS((X23-Y23)/ABS(Y23))&gt;9,(X23*Y23)&lt;0),"---",IF(Y23="0","---",((X23-Y23)/ABS(Y23)))))</f>
        <v>0.80426673699128892</v>
      </c>
      <c r="AD23" s="40" t="str">
        <f>+IF($B$3="esp","Margen EBITDA sin indemnizaciones ","EBITDA ex severance expenses Margin")</f>
        <v>EBITDA ex severance expenses Margin</v>
      </c>
      <c r="AF23" s="41">
        <f>+AF20/AF10</f>
        <v>4.8301138550207186E-2</v>
      </c>
      <c r="AG23" s="42">
        <f>+AG20/AG10</f>
        <v>-0.11487014763514103</v>
      </c>
      <c r="AH23" s="43" t="str">
        <f t="shared" si="4"/>
        <v>---</v>
      </c>
      <c r="AK23" s="41">
        <f>+AK20/AK10</f>
        <v>0.13466993985915146</v>
      </c>
      <c r="AL23" s="42">
        <f>+AL20/AL10</f>
        <v>-0.20013872912086789</v>
      </c>
      <c r="AM23" s="43" t="str">
        <f t="shared" si="5"/>
        <v>---</v>
      </c>
      <c r="AQ23" s="27" t="str">
        <f>+IF($B$3="esp","España","Spain")</f>
        <v>Spain</v>
      </c>
      <c r="AS23" s="28">
        <f>+[1]RADIO!K23</f>
        <v>-2.5304449700000076</v>
      </c>
      <c r="AT23" s="29">
        <f>+[1]RADIO!L23</f>
        <v>-1.4656421500000092</v>
      </c>
      <c r="AU23" s="30">
        <f t="shared" si="6"/>
        <v>-0.7265094143205364</v>
      </c>
      <c r="AX23" s="28">
        <f>+[1]RADIO!P23</f>
        <v>0.98629062999995787</v>
      </c>
      <c r="AY23" s="29">
        <f>+[1]RADIO!Q23</f>
        <v>-2.8418789700000318</v>
      </c>
      <c r="AZ23" s="30" t="str">
        <f t="shared" si="17"/>
        <v>---</v>
      </c>
      <c r="BD23" s="37" t="str">
        <f>+IF($B$3="esp","Digital (incluye modelo de pago)","Online (includes paywall)")</f>
        <v>Online (includes paywall)</v>
      </c>
      <c r="BF23" s="28">
        <f>+[1]NOTICIAS!K23</f>
        <v>4.9147145300000004</v>
      </c>
      <c r="BG23" s="29">
        <f>+[1]NOTICIAS!L23</f>
        <v>0.84219616000000008</v>
      </c>
      <c r="BH23" s="30">
        <f>IF(BG23=0,"---",IF(OR(ABS((BF23-BG23)/ABS(BG23))&gt;9,(BF23*BG23)&lt;0),"---",IF(BG23="0","---",((BF23-BG23)/ABS(BG23)))))</f>
        <v>4.8355936104006929</v>
      </c>
      <c r="BK23" s="28">
        <f>+[1]NOTICIAS!P23</f>
        <v>2.5789410700000004</v>
      </c>
      <c r="BL23" s="29">
        <f>+[1]NOTICIAS!Q23</f>
        <v>0.67496494000000007</v>
      </c>
      <c r="BM23" s="30">
        <f>IF(BL23=0,"---",IF(OR(ABS((BK23-BL23)/ABS(BL23))&gt;9,(BK23*BL23)&lt;0),"---",IF(BL23="0","---",((BK23-BL23)/ABS(BL23)))))</f>
        <v>2.8208518949147194</v>
      </c>
    </row>
    <row r="24" spans="4:65" ht="17.25" customHeight="1">
      <c r="D24" s="32" t="str">
        <f>+IF($B$3="esp","Portugal","Portugal")</f>
        <v>Portugal</v>
      </c>
      <c r="F24" s="33">
        <f>+[1]GRUPO!K24</f>
        <v>-0.31342756999999993</v>
      </c>
      <c r="G24" s="34">
        <f>+[1]GRUPO!L24</f>
        <v>0.1560914099999918</v>
      </c>
      <c r="H24" s="35" t="str">
        <f t="shared" si="0"/>
        <v>---</v>
      </c>
      <c r="K24" s="33">
        <f>+[1]GRUPO!P24</f>
        <v>-9.0486909999999893E-2</v>
      </c>
      <c r="L24" s="34">
        <f>+[1]GRUPO!Q24</f>
        <v>0.36657508999999255</v>
      </c>
      <c r="M24" s="35" t="str">
        <f t="shared" si="1"/>
        <v>---</v>
      </c>
      <c r="Q24" s="27" t="str">
        <f>+IF($B$3="esp","Tecnología Educativa global y Centro Corpor.","Global Educational IT &amp; HQ")</f>
        <v>Global Educational IT &amp; HQ</v>
      </c>
      <c r="S24" s="28">
        <f>+[1]EDUCACIÓN!K24</f>
        <v>-8.4964980999999984</v>
      </c>
      <c r="T24" s="29">
        <f>+[1]EDUCACIÓN!L24</f>
        <v>-10.516227339999995</v>
      </c>
      <c r="U24" s="30">
        <f t="shared" si="2"/>
        <v>0.19205834703835886</v>
      </c>
      <c r="X24" s="28">
        <f>+[1]EDUCACIÓN!P24</f>
        <v>-2.7744168399999998</v>
      </c>
      <c r="Y24" s="29">
        <f>+[1]EDUCACIÓN!Q24</f>
        <v>-4.5978998299999949</v>
      </c>
      <c r="Z24" s="30">
        <f t="shared" ref="Z24:Z27" si="18">IF(Y24=0,"---",IF(OR(ABS((X24-Y24)/ABS(Y24))&gt;9,(X24*Y24)&lt;0),"---",IF(Y24="0","---",((X24-Y24)/ABS(Y24)))))</f>
        <v>0.39659041245359128</v>
      </c>
      <c r="AD24" s="19" t="str">
        <f>+IF($B$3="esp","EBIT Contable","Reported EBIT")</f>
        <v>Reported EBIT</v>
      </c>
      <c r="AF24" s="20">
        <f>+[1]MEDIA!K40</f>
        <v>-13.695355660416233</v>
      </c>
      <c r="AG24" s="21">
        <f>+[1]MEDIA!L40</f>
        <v>-53.993538359779912</v>
      </c>
      <c r="AH24" s="22">
        <f t="shared" si="4"/>
        <v>0.74635195105831442</v>
      </c>
      <c r="AK24" s="20">
        <f>+[1]MEDIA!P40</f>
        <v>3.964037328010761E-2</v>
      </c>
      <c r="AL24" s="21">
        <f>+[1]MEDIA!Q40</f>
        <v>-41.491539673252774</v>
      </c>
      <c r="AM24" s="22" t="str">
        <f t="shared" si="5"/>
        <v>---</v>
      </c>
      <c r="AQ24" s="32" t="str">
        <f>+IF($B$3="esp","España sin SSCC","Spain ex HQ")</f>
        <v>Spain ex HQ</v>
      </c>
      <c r="AR24" s="11"/>
      <c r="AS24" s="33">
        <f>+[1]RADIO!K24</f>
        <v>4.5788083799999919</v>
      </c>
      <c r="AT24" s="34">
        <f>+[1]RADIO!L24</f>
        <v>0.55142346999999026</v>
      </c>
      <c r="AU24" s="35">
        <f>IF(AT24=0,"---",IF(OR(ABS((AS24-AT24)/ABS(AT24))&gt;9,(AS24*AT24)&lt;0),"---",IF(AT24="0","---",((AS24-AT24)/ABS(AT24)))))</f>
        <v>7.3036153321513018</v>
      </c>
      <c r="AX24" s="33">
        <f>+[1]RADIO!P24</f>
        <v>5.2481292499999581</v>
      </c>
      <c r="AY24" s="34">
        <f>+[1]RADIO!Q24</f>
        <v>-1.7575275100000325</v>
      </c>
      <c r="AZ24" s="35" t="str">
        <f>IF(AY24=0,"---",IF(OR(ABS((AX24-AY24)/ABS(AY24))&gt;9,(AX24*AY24)&lt;0),"---",IF(AY24="0","---",((AX24-AY24)/ABS(AY24)))))</f>
        <v>---</v>
      </c>
      <c r="BD24" s="36" t="str">
        <f>+IF($B$3="esp","Promociones y Otros","Add-ons and Others")</f>
        <v>Add-ons and Others</v>
      </c>
      <c r="BF24" s="28">
        <f>+[1]NOTICIAS!K24</f>
        <v>9.9240043748000701</v>
      </c>
      <c r="BG24" s="29">
        <f>+[1]NOTICIAS!L24</f>
        <v>8.3235817236478837</v>
      </c>
      <c r="BH24" s="30">
        <f t="shared" si="8"/>
        <v>0.19227571786857964</v>
      </c>
      <c r="BK24" s="28">
        <f>+[1]NOTICIAS!P24</f>
        <v>4.9588395520889765</v>
      </c>
      <c r="BL24" s="29">
        <f>+[1]NOTICIAS!Q24</f>
        <v>3.6429398840349005</v>
      </c>
      <c r="BM24" s="30">
        <f t="shared" ref="BM24" si="19">IF(BL24=0,"---",IF(OR(ABS((BK24-BL24)/ABS(BL24))&gt;9,(BK24*BL24)&lt;0),"---",IF(BL24="0","---",((BK24-BL24)/ABS(BL24)))))</f>
        <v>0.36121915539176908</v>
      </c>
    </row>
    <row r="25" spans="4:65" s="39" customFormat="1" ht="17.25" customHeight="1">
      <c r="D25" s="40" t="str">
        <f>+IF($B$3="esp","Margen EBITDA ","EBITDA Margin")</f>
        <v>EBITDA Margin</v>
      </c>
      <c r="F25" s="41">
        <f>+[1]GRUPO!K25</f>
        <v>8.9031793481306083E-3</v>
      </c>
      <c r="G25" s="42">
        <f>+[1]GRUPO!L25</f>
        <v>5.6082742268069453E-2</v>
      </c>
      <c r="H25" s="43">
        <f t="shared" si="0"/>
        <v>-0.84124921521179585</v>
      </c>
      <c r="K25" s="41">
        <f>+[1]GRUPO!P25</f>
        <v>-6.4860733352053376E-2</v>
      </c>
      <c r="L25" s="42">
        <f>+[1]GRUPO!Q25</f>
        <v>-0.48135059679606124</v>
      </c>
      <c r="M25" s="43">
        <f t="shared" si="1"/>
        <v>0.86525261673346676</v>
      </c>
      <c r="Q25" s="40" t="str">
        <f>+IF($B$3="esp","Margen EBITDA ","EBITDA Margin")</f>
        <v>EBITDA Margin</v>
      </c>
      <c r="S25" s="41">
        <f>+S20/S10</f>
        <v>9.8077482307408634E-2</v>
      </c>
      <c r="T25" s="42">
        <f>+T20/T10</f>
        <v>0.20627991434540818</v>
      </c>
      <c r="U25" s="43">
        <f t="shared" si="2"/>
        <v>-0.52454177315983619</v>
      </c>
      <c r="X25" s="41">
        <f>+X20/X10</f>
        <v>-0.20734476897352991</v>
      </c>
      <c r="Y25" s="42">
        <f>+Y20/Y10</f>
        <v>-0.99796951679085155</v>
      </c>
      <c r="Z25" s="43">
        <f t="shared" si="18"/>
        <v>0.79223336436138458</v>
      </c>
      <c r="AD25" s="27" t="s">
        <v>8</v>
      </c>
      <c r="AE25" s="18"/>
      <c r="AF25" s="28">
        <f>+[1]MEDIA!K41</f>
        <v>-9.519889202251985</v>
      </c>
      <c r="AG25" s="29">
        <f>+[1]MEDIA!L41</f>
        <v>-33.808912967646762</v>
      </c>
      <c r="AH25" s="30">
        <f t="shared" si="4"/>
        <v>0.71842072499160248</v>
      </c>
      <c r="AK25" s="28">
        <f>+[1]MEDIA!P41</f>
        <v>-1.1612055630127287</v>
      </c>
      <c r="AL25" s="29">
        <f>+[1]MEDIA!Q41</f>
        <v>-29.733937840584584</v>
      </c>
      <c r="AM25" s="30">
        <f t="shared" si="5"/>
        <v>0.96094679523316384</v>
      </c>
      <c r="AQ25" s="32" t="str">
        <f>+IF($B$3="esp","Servicios Centrales","HQ")</f>
        <v>HQ</v>
      </c>
      <c r="AR25" s="11"/>
      <c r="AS25" s="33">
        <f>+[1]RADIO!K25</f>
        <v>-7.1092533500000004</v>
      </c>
      <c r="AT25" s="34">
        <f>+[1]RADIO!L25</f>
        <v>-2.0170656199999994</v>
      </c>
      <c r="AU25" s="35">
        <f>IF(AT25=0,"---",IF(OR(ABS((AS25-AT25)/ABS(AT25))&gt;9,(AS25*AT25)&lt;0),"---",IF(AT25="0","---",((AS25-AT25)/ABS(AT25)))))</f>
        <v>-2.5245523395515521</v>
      </c>
      <c r="AX25" s="33">
        <f>+[1]RADIO!P25</f>
        <v>-4.2618386200000007</v>
      </c>
      <c r="AY25" s="34">
        <f>+[1]RADIO!Q25</f>
        <v>-1.0843514599999993</v>
      </c>
      <c r="AZ25" s="35">
        <f>IF(AY25=0,"---",IF(OR(ABS((AX25-AY25)/ABS(AY25))&gt;9,(AX25*AY25)&lt;0),"---",IF(AY25="0","---",((AX25-AY25)/ABS(AY25)))))</f>
        <v>-2.9303111373133612</v>
      </c>
      <c r="BD25" s="44" t="str">
        <f>+IF($B$3="esp","PBS y Prisa Tecnología (incluye elim.)","PBS&amp;Prisa IT (includes interco.elim.)")</f>
        <v>PBS&amp;Prisa IT (includes interco.elim.)</v>
      </c>
      <c r="BE25" s="45"/>
      <c r="BF25" s="46">
        <f>+[1]NOTICIAS!K25</f>
        <v>8.5035058444574219</v>
      </c>
      <c r="BG25" s="47">
        <f>+[1]NOTICIAS!L25</f>
        <v>9.0803343399145433</v>
      </c>
      <c r="BH25" s="48">
        <f>IF(BG25=0,"---",IF(OR(ABS((BF25-BG25)/ABS(BG25))&gt;9,(BF25*BG25)&lt;0),"---",IF(BG25="0","---",((BF25-BG25)/ABS(BG25)))))</f>
        <v>-6.3525028249405854E-2</v>
      </c>
      <c r="BK25" s="46">
        <f>+[1]NOTICIAS!P25</f>
        <v>4.3680719030998247</v>
      </c>
      <c r="BL25" s="47">
        <f>+[1]NOTICIAS!Q25</f>
        <v>4.5562549110523207</v>
      </c>
      <c r="BM25" s="48">
        <f>IF(BL25=0,"---",IF(OR(ABS((BK25-BL25)/ABS(BL25))&gt;9,(BK25*BL25)&lt;0),"---",IF(BL25="0","---",((BK25-BL25)/ABS(BL25)))))</f>
        <v>-4.1302124579555823E-2</v>
      </c>
    </row>
    <row r="26" spans="4:65" s="18" customFormat="1" ht="17.25" customHeight="1">
      <c r="D26" s="19" t="str">
        <f>+IF($B$3="esp","EBITDA sin indemnizaciones","EBITDA ex severance expenses")</f>
        <v>EBITDA ex severance expenses</v>
      </c>
      <c r="F26" s="20">
        <f>+[1]GRUPO!K26</f>
        <v>17.966641545918876</v>
      </c>
      <c r="G26" s="21">
        <f>+[1]GRUPO!L26</f>
        <v>23.381537486640795</v>
      </c>
      <c r="H26" s="22">
        <f t="shared" si="0"/>
        <v>-0.23158853192677162</v>
      </c>
      <c r="K26" s="20">
        <f>+[1]GRUPO!P26</f>
        <v>0.88292938203533566</v>
      </c>
      <c r="L26" s="21">
        <f>+[1]GRUPO!Q26</f>
        <v>-42.865121448289329</v>
      </c>
      <c r="M26" s="22" t="str">
        <f t="shared" si="1"/>
        <v>---</v>
      </c>
      <c r="Q26" s="19" t="str">
        <f>+IF($B$3="esp","EBITDA sin indemnizaciones","EBITDA ex severance expenses")</f>
        <v>EBITDA ex severance expenses</v>
      </c>
      <c r="S26" s="20">
        <f>+[1]EDUCACIÓN!K26</f>
        <v>15.00584539737293</v>
      </c>
      <c r="T26" s="21">
        <f>+[1]EDUCACIÓN!L26</f>
        <v>43.350591255133224</v>
      </c>
      <c r="U26" s="22">
        <f t="shared" si="2"/>
        <v>-0.65384911801875234</v>
      </c>
      <c r="X26" s="20">
        <f>+[1]EDUCACIÓN!P26</f>
        <v>-9.5344177713742972</v>
      </c>
      <c r="Y26" s="21">
        <f>+[1]EDUCACIÓN!Q26</f>
        <v>-27.747162910287614</v>
      </c>
      <c r="Z26" s="22">
        <f t="shared" si="18"/>
        <v>0.65638224699941161</v>
      </c>
      <c r="AD26" s="27" t="s">
        <v>9</v>
      </c>
      <c r="AF26" s="28">
        <f>+[1]MEDIA!K44</f>
        <v>-3.9890216981640805</v>
      </c>
      <c r="AG26" s="29">
        <f>+[1]MEDIA!L44</f>
        <v>-20.184625392133121</v>
      </c>
      <c r="AH26" s="30">
        <f t="shared" si="4"/>
        <v>0.80237326080280957</v>
      </c>
      <c r="AK26" s="28">
        <f>+[1]MEDIA!P44</f>
        <v>1.3872906962929772</v>
      </c>
      <c r="AL26" s="29">
        <f>+[1]MEDIA!Q44</f>
        <v>-11.757601832668096</v>
      </c>
      <c r="AM26" s="30" t="str">
        <f t="shared" si="5"/>
        <v>---</v>
      </c>
      <c r="AQ26" s="27" t="str">
        <f>+IF($B$3="esp","Latam","Latam")</f>
        <v>Latam</v>
      </c>
      <c r="AR26" s="3"/>
      <c r="AS26" s="28">
        <f>+[1]RADIO!K26</f>
        <v>0.76524987966589297</v>
      </c>
      <c r="AT26" s="29">
        <f>+[1]RADIO!L26</f>
        <v>-4.057980754026528</v>
      </c>
      <c r="AU26" s="30" t="str">
        <f t="shared" si="6"/>
        <v>---</v>
      </c>
      <c r="AX26" s="28">
        <f>+[1]RADIO!P26</f>
        <v>1.7899626839813663</v>
      </c>
      <c r="AY26" s="29">
        <f>+[1]RADIO!Q26</f>
        <v>-3.0087741949895546</v>
      </c>
      <c r="AZ26" s="30" t="str">
        <f t="shared" ref="AZ26:AZ30" si="20">IF(AY26=0,"---",IF(OR(ABS((AX26-AY26)/ABS(AY26))&gt;9,(AX26*AY26)&lt;0),"---",IF(AY26="0","---",((AX26-AY26)/ABS(AY26)))))</f>
        <v>---</v>
      </c>
      <c r="BD26" s="3"/>
      <c r="BE26" s="3"/>
      <c r="BF26" s="3"/>
      <c r="BG26" s="3"/>
      <c r="BH26" s="3"/>
      <c r="BK26" s="3"/>
      <c r="BL26" s="3"/>
      <c r="BM26" s="3"/>
    </row>
    <row r="27" spans="4:65" ht="17.25" customHeight="1" thickBot="1">
      <c r="D27" s="27" t="str">
        <f>+IF($B$3="esp","España","Spain")</f>
        <v>Spain</v>
      </c>
      <c r="F27" s="28">
        <f>+[1]GRUPO!K27</f>
        <v>-9.0853515000005629</v>
      </c>
      <c r="G27" s="29">
        <f>+[1]GRUPO!L27</f>
        <v>-26.242758760000346</v>
      </c>
      <c r="H27" s="30">
        <f t="shared" si="0"/>
        <v>0.65379586867792994</v>
      </c>
      <c r="K27" s="28">
        <f>+[1]GRUPO!P27</f>
        <v>4.6712142799996386</v>
      </c>
      <c r="L27" s="29">
        <f>+[1]GRUPO!Q27</f>
        <v>-16.818345350000698</v>
      </c>
      <c r="M27" s="30" t="str">
        <f t="shared" si="1"/>
        <v>---</v>
      </c>
      <c r="Q27" s="27" t="str">
        <f>+IF($B$3="esp","Negocio Internacional","International business")</f>
        <v>International business</v>
      </c>
      <c r="S27" s="28">
        <f>+[1]EDUCACIÓN!K27</f>
        <v>23.763099137372926</v>
      </c>
      <c r="T27" s="29">
        <f>+[1]EDUCACIÓN!L27</f>
        <v>53.866818595133218</v>
      </c>
      <c r="U27" s="30">
        <f t="shared" si="2"/>
        <v>-0.55885460182866853</v>
      </c>
      <c r="X27" s="28">
        <f>+[1]EDUCACIÓN!P27</f>
        <v>-6.4987264313743012</v>
      </c>
      <c r="Y27" s="29">
        <f>+[1]EDUCACIÓN!Q27</f>
        <v>-23.149263080287618</v>
      </c>
      <c r="Z27" s="30">
        <f t="shared" si="18"/>
        <v>0.71926853961462878</v>
      </c>
      <c r="AD27" s="40" t="str">
        <f>+IF($B$3="esp","Margen EBIT ","EBIT Margin")</f>
        <v>EBIT Margin</v>
      </c>
      <c r="AF27" s="41">
        <f>+AF24/AF10</f>
        <v>-7.8190090441943944E-2</v>
      </c>
      <c r="AG27" s="42">
        <f>+AG24/AG10</f>
        <v>-0.36191555183269475</v>
      </c>
      <c r="AH27" s="43">
        <f t="shared" si="4"/>
        <v>0.78395487553381127</v>
      </c>
      <c r="AK27" s="41">
        <f>+AK24/AK10</f>
        <v>4.0383462556072003E-4</v>
      </c>
      <c r="AL27" s="42">
        <f>+AL24/AL10</f>
        <v>-0.64499397523739976</v>
      </c>
      <c r="AM27" s="43" t="str">
        <f t="shared" si="5"/>
        <v>---</v>
      </c>
      <c r="AQ27" s="27" t="str">
        <f>+IF($B$3="esp","Otros","Other")</f>
        <v>Other</v>
      </c>
      <c r="AS27" s="28">
        <f>+[1]RADIO!K27</f>
        <v>-0.15256012420219089</v>
      </c>
      <c r="AT27" s="29">
        <f>+[1]RADIO!L27</f>
        <v>0.34087445999993404</v>
      </c>
      <c r="AU27" s="30" t="str">
        <f t="shared" si="6"/>
        <v>---</v>
      </c>
      <c r="AX27" s="28">
        <f>+[1]RADIO!P27</f>
        <v>-0.20225616000015612</v>
      </c>
      <c r="AY27" s="29">
        <f>+[1]RADIO!Q27</f>
        <v>-4.4590100000758692E-3</v>
      </c>
      <c r="AZ27" s="30" t="str">
        <f t="shared" si="20"/>
        <v>---</v>
      </c>
      <c r="BD27" s="49" t="str">
        <f>+IF($B$3="esp","Gastos de Explotación Contables","Reported Expenses")</f>
        <v>Reported Expenses</v>
      </c>
      <c r="BE27" s="18"/>
      <c r="BF27" s="50">
        <f>+BF10-BF31</f>
        <v>86.214480819514321</v>
      </c>
      <c r="BG27" s="51">
        <f>+BG10-BG31</f>
        <v>89.218954313508746</v>
      </c>
      <c r="BH27" s="52">
        <f t="shared" si="8"/>
        <v>-3.3675282535109402E-2</v>
      </c>
      <c r="BK27" s="50">
        <f>+BK10-BK31</f>
        <v>43.27798300178862</v>
      </c>
      <c r="BL27" s="51">
        <f>+BL10-BL31</f>
        <v>41.556885785147649</v>
      </c>
      <c r="BM27" s="52">
        <f t="shared" ref="BM27:BM28" si="21">IF(BL27=0,"---",IF(OR(ABS((BK27-BL27)/ABS(BL27))&gt;9,(BK27*BL27)&lt;0),"---",IF(BL27="0","---",((BK27-BL27)/ABS(BL27)))))</f>
        <v>4.1415452195796808E-2</v>
      </c>
    </row>
    <row r="28" spans="4:65" ht="17.25" customHeight="1" thickTop="1">
      <c r="D28" s="27" t="str">
        <f>+IF($B$3="esp","Internacional","International")</f>
        <v>International</v>
      </c>
      <c r="F28" s="28">
        <f>+[1]GRUPO!K28</f>
        <v>27.051993045919435</v>
      </c>
      <c r="G28" s="29">
        <f>+[1]GRUPO!L28</f>
        <v>49.624296246641144</v>
      </c>
      <c r="H28" s="30">
        <f t="shared" si="0"/>
        <v>-0.45486394584889517</v>
      </c>
      <c r="K28" s="28">
        <f>+[1]GRUPO!P28</f>
        <v>-3.7882848979643065</v>
      </c>
      <c r="L28" s="29">
        <f>+[1]GRUPO!Q28</f>
        <v>-26.046776098288625</v>
      </c>
      <c r="M28" s="30">
        <f t="shared" si="1"/>
        <v>0.85455839587713078</v>
      </c>
      <c r="Q28" s="32" t="str">
        <f>+IF($B$3="esp","Brasil","Brazil")</f>
        <v>Brazil</v>
      </c>
      <c r="S28" s="33">
        <f>+[1]EDUCACIÓN!K28</f>
        <v>-0.96764458472351911</v>
      </c>
      <c r="T28" s="34">
        <f>+[1]EDUCACIÓN!L28</f>
        <v>21.235249662887895</v>
      </c>
      <c r="U28" s="35" t="str">
        <f>IF(T28=0,"---",IF(OR(ABS((S28-T28)/ABS(T28))&gt;9,(S28*T28)&lt;0),"---",IF(T28="0","---",((S28-T28)/ABS(T28)))))</f>
        <v>---</v>
      </c>
      <c r="X28" s="33">
        <f>+[1]EDUCACIÓN!P28</f>
        <v>-5.4665998936800415</v>
      </c>
      <c r="Y28" s="34">
        <f>+[1]EDUCACIÓN!Q28</f>
        <v>-11.203101349032089</v>
      </c>
      <c r="Z28" s="35">
        <f>IF(Y28=0,"---",IF(OR(ABS((X28-Y28)/ABS(Y28))&gt;9,(X28*Y28)&lt;0),"---",IF(Y28="0","---",((X28-Y28)/ABS(Y28)))))</f>
        <v>0.51204584129265796</v>
      </c>
      <c r="AD28" s="19" t="str">
        <f>+IF($B$3="esp","Resultado Financiero","Financial Result")</f>
        <v>Financial Result</v>
      </c>
      <c r="AF28" s="20">
        <f>+[1]MEDIA!K48</f>
        <v>-3.539107690358597</v>
      </c>
      <c r="AG28" s="21">
        <f>+[1]MEDIA!L48</f>
        <v>-1.0599334933322406</v>
      </c>
      <c r="AH28" s="22">
        <f t="shared" si="4"/>
        <v>-2.3389903353580026</v>
      </c>
      <c r="AK28" s="20">
        <f>+[1]MEDIA!P48</f>
        <v>-2.1737089498746358</v>
      </c>
      <c r="AL28" s="21">
        <f>+[1]MEDIA!Q48</f>
        <v>-0.54809056811993162</v>
      </c>
      <c r="AM28" s="22">
        <f t="shared" si="5"/>
        <v>-2.9659667148276685</v>
      </c>
      <c r="AQ28" s="40" t="str">
        <f>+IF($B$3="esp","Margen EBITDA ","EBITDA Margin")</f>
        <v>EBITDA Margin</v>
      </c>
      <c r="AR28" s="39"/>
      <c r="AS28" s="41">
        <f>+AS22/AS10</f>
        <v>-1.9851420751531623E-2</v>
      </c>
      <c r="AT28" s="42">
        <f>+AT22/AT10</f>
        <v>-6.3663074328462299E-2</v>
      </c>
      <c r="AU28" s="43">
        <f t="shared" si="6"/>
        <v>0.6881799856364067</v>
      </c>
      <c r="AX28" s="41">
        <f>+AX22/AX10</f>
        <v>4.6522195879603233E-2</v>
      </c>
      <c r="AY28" s="42">
        <f>+AY22/AY10</f>
        <v>-0.17193430462562895</v>
      </c>
      <c r="AZ28" s="43" t="str">
        <f t="shared" si="20"/>
        <v>---</v>
      </c>
      <c r="BD28" s="31" t="str">
        <f>+IF($B$3="esp","Gastos Prensa","Expenses Press")</f>
        <v>Expenses Press</v>
      </c>
      <c r="BE28" s="18"/>
      <c r="BF28" s="20">
        <f>+BF11-BF32</f>
        <v>77.786607573861033</v>
      </c>
      <c r="BG28" s="21">
        <f>+BG11-BG32</f>
        <v>79.788417363813963</v>
      </c>
      <c r="BH28" s="22">
        <f t="shared" si="8"/>
        <v>-2.5088977273796637E-2</v>
      </c>
      <c r="BK28" s="20">
        <f>+BK11-BK32</f>
        <v>39.188773685286385</v>
      </c>
      <c r="BL28" s="21">
        <f>+BL11-BL32</f>
        <v>37.073949509422718</v>
      </c>
      <c r="BM28" s="22">
        <f t="shared" si="21"/>
        <v>5.7043401198088255E-2</v>
      </c>
    </row>
    <row r="29" spans="4:65" ht="17.25" customHeight="1">
      <c r="D29" s="32" t="str">
        <f>+IF($B$3="esp","Latam","Latam")</f>
        <v>Latam</v>
      </c>
      <c r="F29" s="33">
        <f>+[1]GRUPO!K29</f>
        <v>27.355420615919435</v>
      </c>
      <c r="G29" s="34">
        <f>+[1]GRUPO!L29</f>
        <v>49.468204836641149</v>
      </c>
      <c r="H29" s="35">
        <f t="shared" si="0"/>
        <v>-0.44701003995889399</v>
      </c>
      <c r="K29" s="33">
        <f>+[1]GRUPO!P29</f>
        <v>-3.6977979879643073</v>
      </c>
      <c r="L29" s="34">
        <f>+[1]GRUPO!Q29</f>
        <v>-26.413351188288615</v>
      </c>
      <c r="M29" s="35">
        <f t="shared" si="1"/>
        <v>0.86000269478854052</v>
      </c>
      <c r="Q29" s="32" t="str">
        <f>+IF($B$3="esp","Otros","Other")</f>
        <v>Other</v>
      </c>
      <c r="S29" s="33">
        <f>+[1]EDUCACIÓN!K29</f>
        <v>24.730743722096445</v>
      </c>
      <c r="T29" s="34">
        <f>+[1]EDUCACIÓN!L29</f>
        <v>32.631568932245322</v>
      </c>
      <c r="U29" s="35">
        <f>IF(T29=0,"---",IF(OR(ABS((S29-T29)/ABS(T29))&gt;9,(S29*T29)&lt;0),"---",IF(T29="0","---",((S29-T29)/ABS(T29)))))</f>
        <v>-0.24212213720259007</v>
      </c>
      <c r="X29" s="33">
        <f>+[1]EDUCACIÓN!P29</f>
        <v>-1.0321265376942605</v>
      </c>
      <c r="Y29" s="34">
        <f>+[1]EDUCACIÓN!Q29</f>
        <v>-11.946161731255529</v>
      </c>
      <c r="Z29" s="35">
        <f>IF(Y29=0,"---",IF(OR(ABS((X29-Y29)/ABS(Y29))&gt;9,(X29*Y29)&lt;0),"---",IF(Y29="0","---",((X29-Y29)/ABS(Y29)))))</f>
        <v>0.91360182785791022</v>
      </c>
      <c r="AD29" s="27" t="str">
        <f>+IF($B$3="esp","Gastos por intereses de financiación","Interests on debt")</f>
        <v>Interests on debt</v>
      </c>
      <c r="AF29" s="28">
        <f>+[1]MEDIA!K49</f>
        <v>-2.5222732782231634</v>
      </c>
      <c r="AG29" s="29">
        <f>+[1]MEDIA!L49</f>
        <v>-2.7083869174614583</v>
      </c>
      <c r="AH29" s="30">
        <f t="shared" si="4"/>
        <v>6.8717522610372533E-2</v>
      </c>
      <c r="AK29" s="28">
        <f>+[1]MEDIA!P49</f>
        <v>-1.2437535294570292</v>
      </c>
      <c r="AL29" s="29">
        <f>+[1]MEDIA!Q49</f>
        <v>-1.3366196206435996</v>
      </c>
      <c r="AM29" s="30">
        <f t="shared" si="5"/>
        <v>6.9478324088834031E-2</v>
      </c>
      <c r="AQ29" s="19" t="str">
        <f>+IF($B$3="esp","EBITDA sin indemnizaciones","EBITDA ex severance expenses")</f>
        <v>EBITDA ex severance expenses</v>
      </c>
      <c r="AR29" s="18"/>
      <c r="AS29" s="20">
        <f>+[1]RADIO!K29</f>
        <v>5.1545418504404443</v>
      </c>
      <c r="AT29" s="21">
        <f>+[1]RADIO!L29</f>
        <v>-4.8860160727546562</v>
      </c>
      <c r="AU29" s="22" t="str">
        <f t="shared" si="6"/>
        <v>---</v>
      </c>
      <c r="AX29" s="20">
        <f>+[1]RADIO!P29</f>
        <v>8.480111072342309</v>
      </c>
      <c r="AY29" s="21">
        <f>+[1]RADIO!Q29</f>
        <v>-5.7767204646563117</v>
      </c>
      <c r="AZ29" s="22" t="str">
        <f t="shared" si="20"/>
        <v>---</v>
      </c>
      <c r="BD29" s="44" t="str">
        <f>+IF($B$3="esp","PBS y Prisa Tecnología (incluye elim.)","PBS&amp;Prisa IT (includes interco.elim.)")</f>
        <v>PBS&amp;Prisa IT (includes interco.elim.)</v>
      </c>
      <c r="BE29" s="45"/>
      <c r="BF29" s="46">
        <f>+BF27-BF28</f>
        <v>8.4278732456532879</v>
      </c>
      <c r="BG29" s="47">
        <f>+BG27-BG28</f>
        <v>9.4305369496947833</v>
      </c>
      <c r="BH29" s="48">
        <f>IF(BG29=0,"---",IF(OR(ABS((BF29-BG29)/ABS(BG29))&gt;9,(BF29*BG29)&lt;0),"---",IF(BG29="0","---",((BF29-BG29)/ABS(BG29)))))</f>
        <v>-0.10632095599540027</v>
      </c>
      <c r="BK29" s="46">
        <f>+BK27-BK28</f>
        <v>4.0892093165022345</v>
      </c>
      <c r="BL29" s="47">
        <f>+BL27-BL28</f>
        <v>4.4829362757249314</v>
      </c>
      <c r="BM29" s="48">
        <f>IF(BL29=0,"---",IF(OR(ABS((BK29-BL29)/ABS(BL29))&gt;9,(BK29*BL29)&lt;0),"---",IF(BL29="0","---",((BK29-BL29)/ABS(BL29)))))</f>
        <v>-8.7827917910572498E-2</v>
      </c>
    </row>
    <row r="30" spans="4:65" ht="17.25" customHeight="1">
      <c r="D30" s="32" t="str">
        <f>+IF($B$3="esp","Portugal","Portugal")</f>
        <v>Portugal</v>
      </c>
      <c r="F30" s="33">
        <f>+[1]GRUPO!K30</f>
        <v>-0.30342756999999992</v>
      </c>
      <c r="G30" s="34">
        <f>+[1]GRUPO!L30</f>
        <v>0.1560914099999918</v>
      </c>
      <c r="H30" s="35" t="str">
        <f t="shared" si="0"/>
        <v>---</v>
      </c>
      <c r="K30" s="33">
        <f>+[1]GRUPO!P30</f>
        <v>-9.0486909999999893E-2</v>
      </c>
      <c r="L30" s="34">
        <f>+[1]GRUPO!Q30</f>
        <v>0.36657508999999255</v>
      </c>
      <c r="M30" s="35" t="str">
        <f t="shared" si="1"/>
        <v>---</v>
      </c>
      <c r="Q30" s="27" t="str">
        <f>+IF($B$3="esp","Tecnología Educativa global y Centro Corpor.","Global Educational IT &amp; HQ")</f>
        <v>Global Educational IT &amp; HQ</v>
      </c>
      <c r="S30" s="28">
        <f>+[1]EDUCACIÓN!K30</f>
        <v>-8.7572537399999977</v>
      </c>
      <c r="T30" s="29">
        <f>+[1]EDUCACIÓN!L30</f>
        <v>-10.516227339999995</v>
      </c>
      <c r="U30" s="30">
        <f t="shared" si="2"/>
        <v>0.16726279711636571</v>
      </c>
      <c r="X30" s="28">
        <f>+[1]EDUCACIÓN!P30</f>
        <v>-3.0356913399999987</v>
      </c>
      <c r="Y30" s="29">
        <f>+[1]EDUCACIÓN!Q30</f>
        <v>-4.5978998299999949</v>
      </c>
      <c r="Z30" s="30">
        <f t="shared" ref="Z30:Z33" si="22">IF(Y30=0,"---",IF(OR(ABS((X30-Y30)/ABS(Y30))&gt;9,(X30*Y30)&lt;0),"---",IF(Y30="0","---",((X30-Y30)/ABS(Y30)))))</f>
        <v>0.33976566427285521</v>
      </c>
      <c r="AD30" s="27" t="str">
        <f>+IF($B$3="esp","Otros resultados financieros","Other financial results")</f>
        <v>Other financial results</v>
      </c>
      <c r="AF30" s="28">
        <f>+[1]MEDIA!K50</f>
        <v>-1.0168344121354336</v>
      </c>
      <c r="AG30" s="29">
        <f>+[1]MEDIA!L50</f>
        <v>1.6484534241292177</v>
      </c>
      <c r="AH30" s="30" t="str">
        <f t="shared" si="4"/>
        <v>---</v>
      </c>
      <c r="AK30" s="28">
        <f>+[1]MEDIA!P50</f>
        <v>-0.92995542041760659</v>
      </c>
      <c r="AL30" s="29">
        <f>+[1]MEDIA!Q50</f>
        <v>0.78852905252366801</v>
      </c>
      <c r="AM30" s="30" t="str">
        <f t="shared" si="5"/>
        <v>---</v>
      </c>
      <c r="AQ30" s="27" t="str">
        <f>+IF($B$3="esp","España","Spain")</f>
        <v>Spain</v>
      </c>
      <c r="AS30" s="28">
        <f>+[1]RADIO!K30</f>
        <v>4.2773922999999918</v>
      </c>
      <c r="AT30" s="29">
        <f>+[1]RADIO!L30</f>
        <v>-1.2498838300000092</v>
      </c>
      <c r="AU30" s="30" t="str">
        <f t="shared" si="6"/>
        <v>---</v>
      </c>
      <c r="AX30" s="28">
        <f>+[1]RADIO!P30</f>
        <v>6.8133018199999569</v>
      </c>
      <c r="AY30" s="29">
        <f>+[1]RADIO!Q30</f>
        <v>-2.7842346600000321</v>
      </c>
      <c r="AZ30" s="30" t="str">
        <f t="shared" si="20"/>
        <v>---</v>
      </c>
    </row>
    <row r="31" spans="4:65" s="39" customFormat="1" ht="17.25" customHeight="1" thickBot="1">
      <c r="D31" s="40" t="str">
        <f>+IF($B$3="esp","Margen EBITDA sin indemnizaciones ","EBITDA ex severance expenses Margin")</f>
        <v>EBITDA ex severance expenses Margin</v>
      </c>
      <c r="F31" s="41">
        <f>+[1]GRUPO!K31</f>
        <v>5.8673292058585756E-2</v>
      </c>
      <c r="G31" s="42">
        <f>+[1]GRUPO!L31</f>
        <v>6.6207808571517104E-2</v>
      </c>
      <c r="H31" s="43">
        <f t="shared" si="0"/>
        <v>-0.11380102552091916</v>
      </c>
      <c r="K31" s="41">
        <f>+[1]GRUPO!P31</f>
        <v>5.9779207521032281E-3</v>
      </c>
      <c r="L31" s="42">
        <f>+[1]GRUPO!Q31</f>
        <v>-0.46615478735241561</v>
      </c>
      <c r="M31" s="43" t="str">
        <f t="shared" si="1"/>
        <v>---</v>
      </c>
      <c r="Q31" s="40" t="str">
        <f>+IF($B$3="esp","Margen EBITDA sin indemnizaciones ","EBITDA ex severance expenses Margin")</f>
        <v>EBITDA ex severance expenses Margin</v>
      </c>
      <c r="S31" s="41">
        <f>+S26/S10</f>
        <v>0.11390667048430587</v>
      </c>
      <c r="T31" s="42">
        <f>+T26/T10</f>
        <v>0.21167261210470556</v>
      </c>
      <c r="U31" s="43">
        <f t="shared" si="2"/>
        <v>-0.46187336494925935</v>
      </c>
      <c r="X31" s="41">
        <f>+X26/X10</f>
        <v>-0.19158958554641298</v>
      </c>
      <c r="Y31" s="42">
        <f>+Y26/Y10</f>
        <v>-0.98333860489431579</v>
      </c>
      <c r="Z31" s="43">
        <f t="shared" si="22"/>
        <v>0.80516417783983574</v>
      </c>
      <c r="AD31" s="19" t="str">
        <f>+IF($B$3="esp","Resultado puesta en equivalencia","Result from associates")</f>
        <v>Result from associates</v>
      </c>
      <c r="AE31" s="3"/>
      <c r="AF31" s="20">
        <f>+[1]MEDIA!K51</f>
        <v>-0.31720428738873341</v>
      </c>
      <c r="AG31" s="21">
        <f>+[1]MEDIA!L51</f>
        <v>-2.9011257937081578</v>
      </c>
      <c r="AH31" s="22">
        <f t="shared" si="4"/>
        <v>0.89066165690689003</v>
      </c>
      <c r="AK31" s="20">
        <f>+[1]MEDIA!P51</f>
        <v>6.3686177512925268E-2</v>
      </c>
      <c r="AL31" s="21">
        <f>+[1]MEDIA!Q51</f>
        <v>-4.4081574561105468</v>
      </c>
      <c r="AM31" s="22" t="str">
        <f t="shared" si="5"/>
        <v>---</v>
      </c>
      <c r="AQ31" s="32" t="str">
        <f>+IF($B$3="esp","España sin SSCC","Spain ex HQ")</f>
        <v>Spain ex HQ</v>
      </c>
      <c r="AR31" s="11"/>
      <c r="AS31" s="33">
        <f>+[1]RADIO!K31</f>
        <v>9.153270869999993</v>
      </c>
      <c r="AT31" s="34">
        <f>+[1]RADIO!L31</f>
        <v>0.76708943999999035</v>
      </c>
      <c r="AU31" s="35" t="str">
        <f>IF(AT31=0,"---",IF(OR(ABS((AS31-AT31)/ABS(AT31))&gt;9,(AS31*AT31)&lt;0),"---",IF(AT31="0","---",((AS31-AT31)/ABS(AT31)))))</f>
        <v>---</v>
      </c>
      <c r="AX31" s="33">
        <f>+[1]RADIO!P31</f>
        <v>8.7509446599999592</v>
      </c>
      <c r="AY31" s="34">
        <f>+[1]RADIO!Q31</f>
        <v>-1.6998832000000321</v>
      </c>
      <c r="AZ31" s="35" t="str">
        <f>IF(AY31=0,"---",IF(OR(ABS((AX31-AY31)/ABS(AY31))&gt;9,(AX31*AY31)&lt;0),"---",IF(AY31="0","---",((AX31-AY31)/ABS(AY31)))))</f>
        <v>---</v>
      </c>
      <c r="BD31" s="49" t="str">
        <f>+IF($B$3="esp","EBITDA Contable","Reported EBITDA")</f>
        <v>Reported EBITDA</v>
      </c>
      <c r="BE31" s="18"/>
      <c r="BF31" s="50">
        <f>+[1]NOTICIAS!K31</f>
        <v>0.8672362980461763</v>
      </c>
      <c r="BG31" s="51">
        <f>+[1]NOTICIAS!L31</f>
        <v>-13.639059567080702</v>
      </c>
      <c r="BH31" s="52" t="str">
        <f t="shared" si="8"/>
        <v>---</v>
      </c>
      <c r="BK31" s="50">
        <f>+[1]NOTICIAS!P31</f>
        <v>3.8506380105515889</v>
      </c>
      <c r="BL31" s="51">
        <f>+[1]NOTICIAS!Q31</f>
        <v>-7.67202581334538</v>
      </c>
      <c r="BM31" s="52" t="str">
        <f t="shared" ref="BM31:BM32" si="23">IF(BL31=0,"---",IF(OR(ABS((BK31-BL31)/ABS(BL31))&gt;9,(BK31*BL31)&lt;0),"---",IF(BL31="0","---",((BK31-BL31)/ABS(BL31)))))</f>
        <v>---</v>
      </c>
    </row>
    <row r="32" spans="4:65" s="18" customFormat="1" ht="17.25" customHeight="1" thickTop="1">
      <c r="D32" s="19" t="str">
        <f>+IF($B$3="esp","EBIT Contable","Reported EBIT")</f>
        <v>Reported EBIT</v>
      </c>
      <c r="F32" s="20">
        <f>+[1]GRUPO!K32</f>
        <v>-28.408900839821811</v>
      </c>
      <c r="G32" s="21">
        <f>+[1]GRUPO!L32</f>
        <v>-38.077860875869277</v>
      </c>
      <c r="H32" s="22">
        <f t="shared" si="0"/>
        <v>0.253926029814739</v>
      </c>
      <c r="K32" s="20">
        <f>+[1]GRUPO!P32</f>
        <v>-23.866604623914224</v>
      </c>
      <c r="L32" s="21">
        <f>+[1]GRUPO!Q32</f>
        <v>-79.577377339430967</v>
      </c>
      <c r="M32" s="22">
        <f t="shared" si="1"/>
        <v>0.70008304593762716</v>
      </c>
      <c r="Q32" s="19" t="str">
        <f>+IF($B$3="esp","EBIT Contable","Reported EBIT")</f>
        <v>Reported EBIT</v>
      </c>
      <c r="S32" s="20">
        <f>+[1]EDUCACIÓN!K32</f>
        <v>-5.2981010494050098</v>
      </c>
      <c r="T32" s="21">
        <f>+[1]EDUCACIÓN!L32</f>
        <v>20.182640723910691</v>
      </c>
      <c r="U32" s="22" t="str">
        <f t="shared" si="2"/>
        <v>---</v>
      </c>
      <c r="X32" s="20">
        <f>+[1]EDUCACIÓN!P32</f>
        <v>-18.173263257193977</v>
      </c>
      <c r="Y32" s="21">
        <f>+[1]EDUCACIÓN!Q32</f>
        <v>-35.295746866178135</v>
      </c>
      <c r="Z32" s="22">
        <f t="shared" si="22"/>
        <v>0.4851146421098016</v>
      </c>
      <c r="AD32" s="19" t="str">
        <f>+IF($B$3="esp","Resultado antes de impuestos","Profit before tax")</f>
        <v>Profit before tax</v>
      </c>
      <c r="AE32" s="3"/>
      <c r="AF32" s="20">
        <f>+[1]MEDIA!K52</f>
        <v>-17.551667638163565</v>
      </c>
      <c r="AG32" s="21">
        <f>+[1]MEDIA!L52</f>
        <v>-57.954597646820311</v>
      </c>
      <c r="AH32" s="22">
        <f t="shared" si="4"/>
        <v>0.69714796839545412</v>
      </c>
      <c r="AK32" s="20">
        <f>+[1]MEDIA!P52</f>
        <v>-2.0703823990816037</v>
      </c>
      <c r="AL32" s="21">
        <f>+[1]MEDIA!Q52</f>
        <v>-46.44778769748325</v>
      </c>
      <c r="AM32" s="22">
        <f t="shared" si="5"/>
        <v>0.95542559717663833</v>
      </c>
      <c r="AQ32" s="32" t="str">
        <f>+IF($B$3="esp","Servicios Centrales","HQ")</f>
        <v>HQ</v>
      </c>
      <c r="AR32" s="11"/>
      <c r="AS32" s="33">
        <f>+[1]RADIO!K32</f>
        <v>-4.8758785700000002</v>
      </c>
      <c r="AT32" s="34">
        <f>+[1]RADIO!L32</f>
        <v>-2.0169732699999994</v>
      </c>
      <c r="AU32" s="35">
        <f>IF(AT32=0,"---",IF(OR(ABS((AS32-AT32)/ABS(AT32))&gt;9,(AS32*AT32)&lt;0),"---",IF(AT32="0","---",((AS32-AT32)/ABS(AT32)))))</f>
        <v>-1.4174234941646013</v>
      </c>
      <c r="AX32" s="33">
        <f>+[1]RADIO!P32</f>
        <v>-1.9376428400000014</v>
      </c>
      <c r="AY32" s="34">
        <f>+[1]RADIO!Q32</f>
        <v>-1.0843514599999993</v>
      </c>
      <c r="AZ32" s="35">
        <f>IF(AY32=0,"---",IF(OR(ABS((AX32-AY32)/ABS(AY32))&gt;9,(AX32*AY32)&lt;0),"---",IF(AY32="0","---",((AX32-AY32)/ABS(AY32)))))</f>
        <v>-0.78691403246692981</v>
      </c>
      <c r="BD32" s="31" t="str">
        <f>+IF($B$3="esp","EBITDA Prensa","EBITDA Press")</f>
        <v>EBITDA Press</v>
      </c>
      <c r="BF32" s="20">
        <f>+[1]NOTICIAS!K32</f>
        <v>0.79160369924204055</v>
      </c>
      <c r="BG32" s="21">
        <f>+[1]NOTICIAS!L32</f>
        <v>-13.288856957300466</v>
      </c>
      <c r="BH32" s="22" t="str">
        <f t="shared" si="8"/>
        <v>---</v>
      </c>
      <c r="BK32" s="20">
        <f>+[1]NOTICIAS!P32</f>
        <v>3.5717754239539996</v>
      </c>
      <c r="BL32" s="21">
        <f>+[1]NOTICIAS!Q32</f>
        <v>-7.7453444486727712</v>
      </c>
      <c r="BM32" s="22" t="str">
        <f t="shared" si="23"/>
        <v>---</v>
      </c>
    </row>
    <row r="33" spans="4:65" ht="17.25" customHeight="1">
      <c r="D33" s="27" t="str">
        <f>+IF($B$3="esp","España","Spain")</f>
        <v>Spain</v>
      </c>
      <c r="F33" s="28">
        <f>+[1]GRUPO!K33</f>
        <v>-33.388095170000767</v>
      </c>
      <c r="G33" s="29">
        <f>+[1]GRUPO!L33</f>
        <v>-43.225206240000368</v>
      </c>
      <c r="H33" s="30">
        <f t="shared" si="0"/>
        <v>0.22757811762379498</v>
      </c>
      <c r="K33" s="28">
        <f>+[1]GRUPO!P33</f>
        <v>-10.448778210000604</v>
      </c>
      <c r="L33" s="29">
        <f>+[1]GRUPO!Q33</f>
        <v>-25.795157100000743</v>
      </c>
      <c r="M33" s="30">
        <f t="shared" si="1"/>
        <v>0.59493256158535657</v>
      </c>
      <c r="Q33" s="27" t="str">
        <f>+IF($B$3="esp","Negocio Internacional","International business")</f>
        <v>International business</v>
      </c>
      <c r="S33" s="28">
        <f>+[1]EDUCACIÓN!K33</f>
        <v>4.8158748968962497</v>
      </c>
      <c r="T33" s="29">
        <f>+[1]EDUCACIÓN!L33</f>
        <v>32.164350372242069</v>
      </c>
      <c r="U33" s="30">
        <f t="shared" si="2"/>
        <v>-0.85027290024012536</v>
      </c>
      <c r="X33" s="28">
        <f>+[1]EDUCACIÓN!P33</f>
        <v>-14.621641090892716</v>
      </c>
      <c r="Y33" s="29">
        <f>+[1]EDUCACIÓN!Q33</f>
        <v>-30.085966867804302</v>
      </c>
      <c r="Z33" s="30">
        <f t="shared" si="22"/>
        <v>0.5140046136745674</v>
      </c>
      <c r="AD33" s="27" t="str">
        <f>+IF($B$3="esp","Impuesto sobre sociedades","Income tax expense")</f>
        <v>Income tax expense</v>
      </c>
      <c r="AE33" s="18"/>
      <c r="AF33" s="28">
        <f>+[1]MEDIA!K53</f>
        <v>-4.3940286811298426E-2</v>
      </c>
      <c r="AG33" s="29">
        <f>+[1]MEDIA!L53</f>
        <v>13.508227809551343</v>
      </c>
      <c r="AH33" s="30" t="str">
        <f t="shared" si="4"/>
        <v>---</v>
      </c>
      <c r="AK33" s="28">
        <f>+[1]MEDIA!P53</f>
        <v>0.5458345682815865</v>
      </c>
      <c r="AL33" s="29">
        <f>+[1]MEDIA!Q53</f>
        <v>13.391548837508232</v>
      </c>
      <c r="AM33" s="30">
        <f t="shared" si="5"/>
        <v>-0.95924037055723044</v>
      </c>
      <c r="AQ33" s="27" t="str">
        <f>+IF($B$3="esp","Latam","Latam")</f>
        <v>Latam</v>
      </c>
      <c r="AS33" s="28">
        <f>+[1]RADIO!K33</f>
        <v>1.0297096746426413</v>
      </c>
      <c r="AT33" s="29">
        <f>+[1]RADIO!L33</f>
        <v>-3.977006702754581</v>
      </c>
      <c r="AU33" s="30" t="str">
        <f t="shared" si="6"/>
        <v>---</v>
      </c>
      <c r="AX33" s="28">
        <f>+[1]RADIO!P33</f>
        <v>1.869065412342505</v>
      </c>
      <c r="AY33" s="29">
        <f>+[1]RADIO!Q33</f>
        <v>-2.9880267946562045</v>
      </c>
      <c r="AZ33" s="30" t="str">
        <f t="shared" ref="AZ33:AZ37" si="24">IF(AY33=0,"---",IF(OR(ABS((AX33-AY33)/ABS(AY33))&gt;9,(AX33*AY33)&lt;0),"---",IF(AY33="0","---",((AX33-AY33)/ABS(AY33)))))</f>
        <v>---</v>
      </c>
      <c r="BD33" s="40" t="str">
        <f>+IF($B$3="esp","Margen EBITDA ","EBITDA Margin")</f>
        <v>EBITDA Margin</v>
      </c>
      <c r="BE33" s="39"/>
      <c r="BF33" s="41">
        <f>+BF32/BF11</f>
        <v>1.0074086523690091E-2</v>
      </c>
      <c r="BG33" s="42">
        <f>+BG32/BG11</f>
        <v>-0.19983375643485982</v>
      </c>
      <c r="BH33" s="43" t="str">
        <f>IF(BG33=0,"---",IF(OR(ABS((BF33-BG33)/ABS(BG33))&gt;9,(BF33*BG33)&lt;0),"---",IF(BG33="0","---",((BF33-BG33)/ABS(BG33)))))</f>
        <v>---</v>
      </c>
      <c r="BK33" s="41">
        <f>+BK32/BK11</f>
        <v>8.3529690295351067E-2</v>
      </c>
      <c r="BL33" s="42">
        <f>+BL32/BL11</f>
        <v>-0.26408840218037694</v>
      </c>
      <c r="BM33" s="43" t="str">
        <f>IF(BL33=0,"---",IF(OR(ABS((BK33-BL33)/ABS(BL33))&gt;9,(BK33*BL33)&lt;0),"---",IF(BL33="0","---",((BK33-BL33)/ABS(BL33)))))</f>
        <v>---</v>
      </c>
    </row>
    <row r="34" spans="4:65" ht="17.25" customHeight="1">
      <c r="D34" s="27" t="str">
        <f>+IF($B$3="esp","Internacional","International")</f>
        <v>International</v>
      </c>
      <c r="F34" s="28">
        <f>+[1]GRUPO!K34</f>
        <v>4.9791943301789523</v>
      </c>
      <c r="G34" s="29">
        <f>+[1]GRUPO!L34</f>
        <v>5.1473453641310929</v>
      </c>
      <c r="H34" s="30">
        <f t="shared" si="0"/>
        <v>-3.2667525113797301E-2</v>
      </c>
      <c r="K34" s="28">
        <f>+[1]GRUPO!P34</f>
        <v>-13.417826413913623</v>
      </c>
      <c r="L34" s="29">
        <f>+[1]GRUPO!Q34</f>
        <v>-53.782220239430231</v>
      </c>
      <c r="M34" s="30">
        <f t="shared" si="1"/>
        <v>0.75051557272683223</v>
      </c>
      <c r="Q34" s="32" t="str">
        <f>+IF($B$3="esp","Brasil","Brazil")</f>
        <v>Brazil</v>
      </c>
      <c r="S34" s="33">
        <f>+[1]EDUCACIÓN!K34</f>
        <v>-6.3226912161269011</v>
      </c>
      <c r="T34" s="34">
        <f>+[1]EDUCACIÓN!L34</f>
        <v>11.780855868000545</v>
      </c>
      <c r="U34" s="35" t="str">
        <f>IF(T34=0,"---",IF(OR(ABS((S34-T34)/ABS(T34))&gt;9,(S34*T34)&lt;0),"---",IF(T34="0","---",((S34-T34)/ABS(T34)))))</f>
        <v>---</v>
      </c>
      <c r="X34" s="33">
        <f>+[1]EDUCACIÓN!P34</f>
        <v>-7.3052705973911456</v>
      </c>
      <c r="Y34" s="34">
        <f>+[1]EDUCACIÓN!Q34</f>
        <v>-13.398037292138183</v>
      </c>
      <c r="Z34" s="35">
        <f>IF(Y34=0,"---",IF(OR(ABS((X34-Y34)/ABS(Y34))&gt;9,(X34*Y34)&lt;0),"---",IF(Y34="0","---",((X34-Y34)/ABS(Y34)))))</f>
        <v>0.45475068936568819</v>
      </c>
      <c r="AD34" s="19" t="str">
        <f>+IF($B$3="esp","Resultado operaciones en discontinuación","Results from discontinued activities")</f>
        <v>Results from discontinued activities</v>
      </c>
      <c r="AF34" s="20">
        <f>+[1]MEDIA!K54</f>
        <v>0</v>
      </c>
      <c r="AG34" s="21">
        <f>+[1]MEDIA!L54</f>
        <v>0</v>
      </c>
      <c r="AH34" s="22" t="str">
        <f t="shared" si="4"/>
        <v>---</v>
      </c>
      <c r="AK34" s="20">
        <f>+[1]MEDIA!P54</f>
        <v>0</v>
      </c>
      <c r="AL34" s="21">
        <f>+[1]MEDIA!Q54</f>
        <v>0</v>
      </c>
      <c r="AM34" s="22" t="str">
        <f t="shared" si="5"/>
        <v>---</v>
      </c>
      <c r="AQ34" s="27" t="str">
        <f>+IF($B$3="esp","Otros","Other")</f>
        <v>Other</v>
      </c>
      <c r="AS34" s="28">
        <f>+[1]RADIO!K34</f>
        <v>-0.15256012420218878</v>
      </c>
      <c r="AT34" s="29">
        <f>+[1]RADIO!L34</f>
        <v>0.34087445999993404</v>
      </c>
      <c r="AU34" s="30" t="str">
        <f t="shared" si="6"/>
        <v>---</v>
      </c>
      <c r="AX34" s="28">
        <f>+[1]RADIO!P34</f>
        <v>-0.20225616000015367</v>
      </c>
      <c r="AY34" s="29">
        <f>+[1]RADIO!Q34</f>
        <v>-4.4590100000757582E-3</v>
      </c>
      <c r="AZ34" s="30" t="str">
        <f t="shared" si="24"/>
        <v>---</v>
      </c>
      <c r="BD34" s="44" t="str">
        <f>+IF($B$3="esp","PBS y Prisa Tecnología","PBS&amp;Prisa IT")</f>
        <v>PBS&amp;Prisa IT</v>
      </c>
      <c r="BE34" s="45"/>
      <c r="BF34" s="46">
        <f>+BF31-BF32</f>
        <v>7.5632598804135753E-2</v>
      </c>
      <c r="BG34" s="47">
        <f>+BG31-BG32</f>
        <v>-0.35020260978023643</v>
      </c>
      <c r="BH34" s="48" t="str">
        <f>IF(BG34=0,"---",IF(OR(ABS((BF34-BG34)/ABS(BG34))&gt;9,(BF34*BG34)&lt;0),"---",IF(BG34="0","---",((BF34-BG34)/ABS(BG34)))))</f>
        <v>---</v>
      </c>
      <c r="BK34" s="46">
        <f>+BK31-BK32</f>
        <v>0.27886258659758933</v>
      </c>
      <c r="BL34" s="47">
        <f>+BL31-BL32</f>
        <v>7.3318635327391135E-2</v>
      </c>
      <c r="BM34" s="48">
        <f>IF(BL34=0,"---",IF(OR(ABS((BK34-BL34)/ABS(BL34))&gt;9,(BK34*BL34)&lt;0),"---",IF(BL34="0","---",((BK34-BL34)/ABS(BL34)))))</f>
        <v>2.8034339476229855</v>
      </c>
    </row>
    <row r="35" spans="4:65" ht="17.25" customHeight="1">
      <c r="D35" s="32" t="str">
        <f>+IF($B$3="esp","Latam","Latam")</f>
        <v>Latam</v>
      </c>
      <c r="F35" s="33">
        <f>+[1]GRUPO!K35</f>
        <v>5.3009049001789528</v>
      </c>
      <c r="G35" s="34">
        <f>+[1]GRUPO!L35</f>
        <v>4.9995409541311053</v>
      </c>
      <c r="H35" s="35">
        <f t="shared" si="0"/>
        <v>6.0278323312629598E-2</v>
      </c>
      <c r="K35" s="33">
        <f>+[1]GRUPO!P35</f>
        <v>-13.323197503913622</v>
      </c>
      <c r="L35" s="34">
        <f>+[1]GRUPO!Q35</f>
        <v>-54.14465332943022</v>
      </c>
      <c r="M35" s="35">
        <f t="shared" si="1"/>
        <v>0.75393327531618293</v>
      </c>
      <c r="Q35" s="32" t="str">
        <f>+IF($B$3="esp","Otros","Other")</f>
        <v>Other</v>
      </c>
      <c r="S35" s="33">
        <f>+[1]EDUCACIÓN!K35</f>
        <v>11.138566113023151</v>
      </c>
      <c r="T35" s="34">
        <f>+[1]EDUCACIÓN!L35</f>
        <v>20.383494504241526</v>
      </c>
      <c r="U35" s="35">
        <f>IF(T35=0,"---",IF(OR(ABS((S35-T35)/ABS(T35))&gt;9,(S35*T35)&lt;0),"---",IF(T35="0","---",((S35-T35)/ABS(T35)))))</f>
        <v>-0.45354972815356231</v>
      </c>
      <c r="X35" s="33">
        <f>+[1]EDUCACIÓN!P35</f>
        <v>-7.3163704935015712</v>
      </c>
      <c r="Y35" s="34">
        <f>+[1]EDUCACIÓN!Q35</f>
        <v>-16.687929575666118</v>
      </c>
      <c r="Z35" s="35">
        <f>IF(Y35=0,"---",IF(OR(ABS((X35-Y35)/ABS(Y35))&gt;9,(X35*Y35)&lt;0),"---",IF(Y35="0","---",((X35-Y35)/ABS(Y35)))))</f>
        <v>0.56157709916453014</v>
      </c>
      <c r="AD35" s="19" t="str">
        <f>+IF($B$3="esp","Resultado atribuido a socios externos","Minority interest")</f>
        <v>Minority interest</v>
      </c>
      <c r="AF35" s="20">
        <f>+[1]MEDIA!K55</f>
        <v>-10.534337303355896</v>
      </c>
      <c r="AG35" s="21">
        <f>+[1]MEDIA!L55</f>
        <v>-2.1266152419166651</v>
      </c>
      <c r="AH35" s="22">
        <f t="shared" si="4"/>
        <v>-3.9535699245066827</v>
      </c>
      <c r="AK35" s="20">
        <f>+[1]MEDIA!P55</f>
        <v>-9.8947176438606608</v>
      </c>
      <c r="AL35" s="21">
        <f>+[1]MEDIA!Q55</f>
        <v>-1.4034753401267497</v>
      </c>
      <c r="AM35" s="22">
        <f t="shared" si="5"/>
        <v>-6.050154257050969</v>
      </c>
      <c r="AQ35" s="40" t="str">
        <f>+IF($B$3="esp","Margen EBITDA sin indemnizaciones ","EBITDA ex severance expenses Margin")</f>
        <v>EBITDA ex severance expenses Margin</v>
      </c>
      <c r="AR35" s="39"/>
      <c r="AS35" s="41">
        <f>+AS29/AS10</f>
        <v>5.3356642327896282E-2</v>
      </c>
      <c r="AT35" s="42">
        <f>+AT29/AT10</f>
        <v>-6.0018117369434201E-2</v>
      </c>
      <c r="AU35" s="43" t="str">
        <f t="shared" si="6"/>
        <v>---</v>
      </c>
      <c r="AX35" s="41">
        <f>+AX29/AX10</f>
        <v>0.15326877412358922</v>
      </c>
      <c r="AY35" s="42">
        <f>+AY29/AY10</f>
        <v>-0.16963234630241336</v>
      </c>
      <c r="AZ35" s="43" t="str">
        <f t="shared" si="24"/>
        <v>---</v>
      </c>
    </row>
    <row r="36" spans="4:65" ht="17.25" customHeight="1" thickBot="1">
      <c r="D36" s="32" t="str">
        <f>+IF($B$3="esp","Portugal","Portugal")</f>
        <v>Portugal</v>
      </c>
      <c r="F36" s="33">
        <f>+[1]GRUPO!K36</f>
        <v>-0.32171056999999997</v>
      </c>
      <c r="G36" s="34">
        <f>+[1]GRUPO!L36</f>
        <v>0.14780440999998695</v>
      </c>
      <c r="H36" s="35" t="str">
        <f t="shared" si="0"/>
        <v>---</v>
      </c>
      <c r="K36" s="33">
        <f>+[1]GRUPO!P36</f>
        <v>-9.4628909999999983E-2</v>
      </c>
      <c r="L36" s="34">
        <f>+[1]GRUPO!Q36</f>
        <v>0.36243308999999002</v>
      </c>
      <c r="M36" s="35" t="str">
        <f t="shared" si="1"/>
        <v>---</v>
      </c>
      <c r="Q36" s="27" t="str">
        <f>+IF($B$3="esp","Tecnología Educativa global y Centro Corpor.","Global Educational IT &amp; HQ")</f>
        <v>Global Educational IT &amp; HQ</v>
      </c>
      <c r="S36" s="28">
        <f>+[1]EDUCACIÓN!K36</f>
        <v>-10.11397594630126</v>
      </c>
      <c r="T36" s="29">
        <f>+[1]EDUCACIÓN!L36</f>
        <v>-11.981709648331377</v>
      </c>
      <c r="U36" s="30">
        <f t="shared" si="2"/>
        <v>0.15588206999242596</v>
      </c>
      <c r="X36" s="28">
        <f>+[1]EDUCACIÓN!P36</f>
        <v>-3.5516221663012599</v>
      </c>
      <c r="Y36" s="29">
        <f>+[1]EDUCACIÓN!Q36</f>
        <v>-5.2097799983738309</v>
      </c>
      <c r="Z36" s="30">
        <f t="shared" ref="Z36:Z46" si="25">IF(Y36=0,"---",IF(OR(ABS((X36-Y36)/ABS(Y36))&gt;9,(X36*Y36)&lt;0),"---",IF(Y36="0","---",((X36-Y36)/ABS(Y36)))))</f>
        <v>0.31827789898808484</v>
      </c>
      <c r="AD36" s="19" t="str">
        <f>+IF($B$3="esp","Resultado Neto","Net Profit")</f>
        <v>Net Profit</v>
      </c>
      <c r="AF36" s="20">
        <f>+[1]MEDIA!K56</f>
        <v>-6.9733900479964737</v>
      </c>
      <c r="AG36" s="21">
        <f>+[1]MEDIA!L56</f>
        <v>-69.336210214454894</v>
      </c>
      <c r="AH36" s="22">
        <f t="shared" si="4"/>
        <v>0.89942643207022732</v>
      </c>
      <c r="AK36" s="20">
        <f>+[1]MEDIA!P56</f>
        <v>7.2785006764974272</v>
      </c>
      <c r="AL36" s="21">
        <f>+[1]MEDIA!Q56</f>
        <v>-58.4358611948647</v>
      </c>
      <c r="AM36" s="22" t="str">
        <f t="shared" si="5"/>
        <v>---</v>
      </c>
      <c r="AQ36" s="19" t="str">
        <f>+IF($B$3="esp","EBIT Contable","Reported EBIT")</f>
        <v>Reported EBIT</v>
      </c>
      <c r="AR36" s="18"/>
      <c r="AS36" s="20">
        <f>+[1]RADIO!K36</f>
        <v>-9.519889202251985</v>
      </c>
      <c r="AT36" s="21">
        <f>+[1]RADIO!L36</f>
        <v>-33.808912967646762</v>
      </c>
      <c r="AU36" s="22">
        <f t="shared" si="6"/>
        <v>0.71842072499160248</v>
      </c>
      <c r="AX36" s="20">
        <f>+[1]RADIO!P36</f>
        <v>-1.1612055630127287</v>
      </c>
      <c r="AY36" s="21">
        <f>+[1]RADIO!Q36</f>
        <v>-29.733937840584584</v>
      </c>
      <c r="AZ36" s="22">
        <f t="shared" si="24"/>
        <v>0.96094679523316384</v>
      </c>
      <c r="BD36" s="49" t="str">
        <f>+IF($B$3="esp","EBITDA sin indemnizaciones","EBITDA ex severance expenses")</f>
        <v>EBITDA ex severance expenses</v>
      </c>
      <c r="BE36" s="18"/>
      <c r="BF36" s="50">
        <f>+[1]NOTICIAS!K36</f>
        <v>3.7363065981058163</v>
      </c>
      <c r="BG36" s="51">
        <f>+[1]NOTICIAS!L36</f>
        <v>-12.251257225737712</v>
      </c>
      <c r="BH36" s="52" t="str">
        <f t="shared" si="8"/>
        <v>---</v>
      </c>
      <c r="BK36" s="50">
        <f>+[1]NOTICIAS!P36</f>
        <v>4.9201160910674293</v>
      </c>
      <c r="BL36" s="51">
        <f>+[1]NOTICIAS!Q36</f>
        <v>-7.0979176533453803</v>
      </c>
      <c r="BM36" s="52" t="str">
        <f t="shared" ref="BM36:BM37" si="26">IF(BL36=0,"---",IF(OR(ABS((BK36-BL36)/ABS(BL36))&gt;9,(BK36*BL36)&lt;0),"---",IF(BL36="0","---",((BK36-BL36)/ABS(BL36)))))</f>
        <v>---</v>
      </c>
    </row>
    <row r="37" spans="4:65" s="39" customFormat="1" ht="17.25" customHeight="1" thickTop="1">
      <c r="D37" s="40" t="str">
        <f>+IF($B$3="esp","Margen EBIT ","EBIT Margin")</f>
        <v>EBIT Margin</v>
      </c>
      <c r="F37" s="41">
        <f>+[1]GRUPO!K37</f>
        <v>-9.2774363632633999E-2</v>
      </c>
      <c r="G37" s="42">
        <f>+[1]GRUPO!L37</f>
        <v>-0.10782232456367911</v>
      </c>
      <c r="H37" s="43">
        <f t="shared" si="0"/>
        <v>0.1395625719621533</v>
      </c>
      <c r="K37" s="41">
        <f>+[1]GRUPO!P37</f>
        <v>-0.16159012710014198</v>
      </c>
      <c r="L37" s="42">
        <f>+[1]GRUPO!Q37</f>
        <v>-0.86539765101273936</v>
      </c>
      <c r="M37" s="43">
        <f t="shared" si="1"/>
        <v>0.81327644359672147</v>
      </c>
      <c r="Q37" s="40" t="str">
        <f>+IF($B$3="esp","Margen EBIT ","EBIT Margin")</f>
        <v>EBIT Margin</v>
      </c>
      <c r="S37" s="41">
        <f>+S32/S10</f>
        <v>-4.0216931098915915E-2</v>
      </c>
      <c r="T37" s="42">
        <f>+T32/T10</f>
        <v>9.8547958805408745E-2</v>
      </c>
      <c r="U37" s="43" t="str">
        <f t="shared" si="2"/>
        <v>---</v>
      </c>
      <c r="X37" s="41">
        <f>+X32/X10</f>
        <v>-0.36518307241846176</v>
      </c>
      <c r="Y37" s="42">
        <f>+Y32/Y10</f>
        <v>-1.2508547484406853</v>
      </c>
      <c r="Z37" s="43">
        <f t="shared" si="25"/>
        <v>0.70805317494001707</v>
      </c>
      <c r="AD37" s="32"/>
      <c r="AF37" s="34"/>
      <c r="AG37" s="34"/>
      <c r="AH37" s="53"/>
      <c r="AK37" s="34"/>
      <c r="AL37" s="34"/>
      <c r="AM37" s="53"/>
      <c r="AQ37" s="27" t="str">
        <f>+IF($B$3="esp","España","Spain")</f>
        <v>Spain</v>
      </c>
      <c r="AR37" s="3"/>
      <c r="AS37" s="28">
        <f>+[1]RADIO!K37</f>
        <v>-7.3825766799999943</v>
      </c>
      <c r="AT37" s="29">
        <f>+[1]RADIO!L37</f>
        <v>-7.3570408900000235</v>
      </c>
      <c r="AU37" s="30">
        <f t="shared" si="6"/>
        <v>-3.4709321834380585E-3</v>
      </c>
      <c r="AX37" s="28">
        <f>+[1]RADIO!P37</f>
        <v>-1.3681719300000204</v>
      </c>
      <c r="AY37" s="29">
        <f>+[1]RADIO!Q37</f>
        <v>-5.711401920000057</v>
      </c>
      <c r="AZ37" s="30">
        <f t="shared" si="24"/>
        <v>0.7604490194939727</v>
      </c>
      <c r="BD37" s="31" t="str">
        <f>+IF($B$3="esp","EBITDA sin indem. Prensa","EBITDA ex sever.exp Press")</f>
        <v>EBITDA ex sever.exp Press</v>
      </c>
      <c r="BE37" s="18"/>
      <c r="BF37" s="20">
        <f>+[1]NOTICIAS!K37</f>
        <v>3.3154421079862959</v>
      </c>
      <c r="BG37" s="21">
        <f>+[1]NOTICIAS!L37</f>
        <v>-11.939054615957478</v>
      </c>
      <c r="BH37" s="22" t="str">
        <f t="shared" si="8"/>
        <v>---</v>
      </c>
      <c r="BK37" s="20">
        <f>+[1]NOTICIAS!P37</f>
        <v>4.6166970394486189</v>
      </c>
      <c r="BL37" s="21">
        <f>+[1]NOTICIAS!Q37</f>
        <v>-7.2092362886727726</v>
      </c>
      <c r="BM37" s="22" t="str">
        <f t="shared" si="26"/>
        <v>---</v>
      </c>
    </row>
    <row r="38" spans="4:65" s="18" customFormat="1" ht="17.25" customHeight="1">
      <c r="D38" s="19" t="str">
        <f>+IF($B$3="esp","Resultado Financiero","Financial Result")</f>
        <v>Financial Result</v>
      </c>
      <c r="F38" s="20">
        <f>+[1]GRUPO!K38</f>
        <v>-29.054100709737511</v>
      </c>
      <c r="G38" s="21">
        <f>+[1]GRUPO!L38</f>
        <v>-37.123482151478193</v>
      </c>
      <c r="H38" s="22">
        <f t="shared" si="0"/>
        <v>0.21736596283760445</v>
      </c>
      <c r="K38" s="20">
        <f>+[1]GRUPO!P38</f>
        <v>-21.914505012863955</v>
      </c>
      <c r="L38" s="21">
        <f>+[1]GRUPO!Q38</f>
        <v>-22.036393860818443</v>
      </c>
      <c r="M38" s="22">
        <f t="shared" si="1"/>
        <v>5.5312520153858007E-3</v>
      </c>
      <c r="Q38" s="19" t="str">
        <f>+IF($B$3="esp","Resultado Financiero","Financial Result")</f>
        <v>Financial Result</v>
      </c>
      <c r="S38" s="20">
        <f>+[1]EDUCACIÓN!K38</f>
        <v>-5.1638293293789355</v>
      </c>
      <c r="T38" s="21">
        <f>+[1]EDUCACIÓN!L38</f>
        <v>-3.1457254681459812</v>
      </c>
      <c r="U38" s="22">
        <f t="shared" si="2"/>
        <v>-0.64153845644463647</v>
      </c>
      <c r="X38" s="20">
        <f>+[1]EDUCACIÓN!P38</f>
        <v>-5.4441188129893412</v>
      </c>
      <c r="Y38" s="21">
        <f>+[1]EDUCACIÓN!Q38</f>
        <v>-3.1147826626985582</v>
      </c>
      <c r="Z38" s="22">
        <f t="shared" si="25"/>
        <v>-0.74783264276702799</v>
      </c>
      <c r="AD38" s="32"/>
      <c r="AF38" s="34"/>
      <c r="AG38" s="34"/>
      <c r="AH38" s="53"/>
      <c r="AK38" s="34"/>
      <c r="AL38" s="34"/>
      <c r="AM38" s="53"/>
      <c r="AQ38" s="32" t="str">
        <f>+IF($B$3="esp","España sin SSCC","Spain ex HQ")</f>
        <v>Spain ex HQ</v>
      </c>
      <c r="AR38" s="11"/>
      <c r="AS38" s="33">
        <f>+[1]RADIO!K38</f>
        <v>0.29073059000000528</v>
      </c>
      <c r="AT38" s="34">
        <f>+[1]RADIO!L38</f>
        <v>-4.6448598300000246</v>
      </c>
      <c r="AU38" s="35" t="str">
        <f>IF(AT38=0,"---",IF(OR(ABS((AS38-AT38)/ABS(AT38))&gt;9,(AS38*AT38)&lt;0),"---",IF(AT38="0","---",((AS38-AT38)/ABS(AT38)))))</f>
        <v>---</v>
      </c>
      <c r="AX38" s="33">
        <f>+[1]RADIO!P38</f>
        <v>3.1661786199999793</v>
      </c>
      <c r="AY38" s="34">
        <f>+[1]RADIO!Q38</f>
        <v>-4.2858304200000577</v>
      </c>
      <c r="AZ38" s="35" t="str">
        <f>IF(AY38=0,"---",IF(OR(ABS((AX38-AY38)/ABS(AY38))&gt;9,(AX38*AY38)&lt;0),"---",IF(AY38="0","---",((AX38-AY38)/ABS(AY38)))))</f>
        <v>---</v>
      </c>
      <c r="BD38" s="40" t="str">
        <f>+IF($B$3="esp","Margen EBITDA sin indemnizaciones ","EBITDA ex severance expenses Margin")</f>
        <v>EBITDA ex severance expenses Margin</v>
      </c>
      <c r="BE38" s="39"/>
      <c r="BF38" s="41">
        <f>+BF37/BF11</f>
        <v>4.219289360587869E-2</v>
      </c>
      <c r="BG38" s="42">
        <f>+BG37/BG11</f>
        <v>-0.17953584268788747</v>
      </c>
      <c r="BH38" s="43" t="str">
        <f>IF(BG38=0,"---",IF(OR(ABS((BF38-BG38)/ABS(BG38))&gt;9,(BF38*BG38)&lt;0),"---",IF(BG38="0","---",((BF38-BG38)/ABS(BG38)))))</f>
        <v>---</v>
      </c>
      <c r="BK38" s="41">
        <f>+BK37/BK11</f>
        <v>0.10796627114526387</v>
      </c>
      <c r="BL38" s="42">
        <f>+BL37/BL11</f>
        <v>-0.2458090411644156</v>
      </c>
      <c r="BM38" s="43" t="str">
        <f>IF(BL38=0,"---",IF(OR(ABS((BK38-BL38)/ABS(BL38))&gt;9,(BK38*BL38)&lt;0),"---",IF(BL38="0","---",((BK38-BL38)/ABS(BL38)))))</f>
        <v>---</v>
      </c>
    </row>
    <row r="39" spans="4:65" ht="17.25" customHeight="1">
      <c r="D39" s="27" t="str">
        <f>+IF($B$3="esp","Gastos por intereses de financiación","Interests on debt")</f>
        <v>Interests on debt</v>
      </c>
      <c r="F39" s="28">
        <f>+[1]GRUPO!K39</f>
        <v>-26.360682611798971</v>
      </c>
      <c r="G39" s="29">
        <f>+[1]GRUPO!L39</f>
        <v>-33.883836092595551</v>
      </c>
      <c r="H39" s="30">
        <f t="shared" si="0"/>
        <v>0.22202779697782132</v>
      </c>
      <c r="K39" s="28">
        <f>+[1]GRUPO!P39</f>
        <v>-13.61107869423207</v>
      </c>
      <c r="L39" s="29">
        <f>+[1]GRUPO!Q39</f>
        <v>-19.082805798571449</v>
      </c>
      <c r="M39" s="30">
        <f t="shared" si="1"/>
        <v>0.2867359843251665</v>
      </c>
      <c r="Q39" s="27" t="str">
        <f>+IF($B$3="esp","Gastos por intereses de financiación","Interests on debt")</f>
        <v>Interests on debt</v>
      </c>
      <c r="S39" s="28">
        <f>+[1]EDUCACIÓN!K39</f>
        <v>-4.8118623335758084</v>
      </c>
      <c r="T39" s="29">
        <f>+[1]EDUCACIÓN!L39</f>
        <v>-3.98931324513411</v>
      </c>
      <c r="U39" s="30">
        <f t="shared" si="2"/>
        <v>-0.20618814264459859</v>
      </c>
      <c r="X39" s="28">
        <f>+[1]EDUCACIÓN!P39</f>
        <v>-2.730435474775041</v>
      </c>
      <c r="Y39" s="29">
        <f>+[1]EDUCACIÓN!Q39</f>
        <v>-1.89032595792782</v>
      </c>
      <c r="Z39" s="30">
        <f t="shared" si="25"/>
        <v>-0.44442574219747327</v>
      </c>
      <c r="AQ39" s="32" t="str">
        <f>+IF($B$3="esp","Servicios Centrales","HQ")</f>
        <v>HQ</v>
      </c>
      <c r="AR39" s="11"/>
      <c r="AS39" s="33">
        <f>+[1]RADIO!K39</f>
        <v>-7.6733072700000005</v>
      </c>
      <c r="AT39" s="34">
        <f>+[1]RADIO!L39</f>
        <v>-2.7121810599999989</v>
      </c>
      <c r="AU39" s="35">
        <f>IF(AT39=0,"---",IF(OR(ABS((AS39-AT39)/ABS(AT39))&gt;9,(AS39*AT39)&lt;0),"---",IF(AT39="0","---",((AS39-AT39)/ABS(AT39)))))</f>
        <v>-1.8292017016002624</v>
      </c>
      <c r="AX39" s="33">
        <f>+[1]RADIO!P39</f>
        <v>-4.534350550000001</v>
      </c>
      <c r="AY39" s="34">
        <f>+[1]RADIO!Q39</f>
        <v>-1.4255714999999989</v>
      </c>
      <c r="AZ39" s="35">
        <f>IF(AY39=0,"---",IF(OR(ABS((AX39-AY39)/ABS(AY39))&gt;9,(AX39*AY39)&lt;0),"---",IF(AY39="0","---",((AX39-AY39)/ABS(AY39)))))</f>
        <v>-2.1807247479344283</v>
      </c>
      <c r="BD39" s="44" t="str">
        <f>+IF($B$3="esp","PBS y Prisa Tecnología","PBS&amp;Prisa IT")</f>
        <v>PBS&amp;Prisa IT</v>
      </c>
      <c r="BE39" s="45"/>
      <c r="BF39" s="46">
        <f>+BF36-BF37</f>
        <v>0.42086449011952043</v>
      </c>
      <c r="BG39" s="47">
        <f>+BG36-BG37</f>
        <v>-0.3122026097802344</v>
      </c>
      <c r="BH39" s="48" t="str">
        <f>IF(BG39=0,"---",IF(OR(ABS((BF39-BG39)/ABS(BG39))&gt;9,(BF39*BG39)&lt;0),"---",IF(BG39="0","---",((BF39-BG39)/ABS(BG39)))))</f>
        <v>---</v>
      </c>
      <c r="BK39" s="46">
        <f>+BK36-BK37</f>
        <v>0.30341905161881044</v>
      </c>
      <c r="BL39" s="47">
        <f>+BL36-BL37</f>
        <v>0.11131863532739228</v>
      </c>
      <c r="BM39" s="48">
        <f>IF(BL39=0,"---",IF(OR(ABS((BK39-BL39)/ABS(BL39))&gt;9,(BK39*BL39)&lt;0),"---",IF(BL39="0","---",((BK39-BL39)/ABS(BL39)))))</f>
        <v>1.7256806618805884</v>
      </c>
    </row>
    <row r="40" spans="4:65" ht="17.25" customHeight="1">
      <c r="D40" s="27" t="str">
        <f>+IF($B$3="esp","Otros resultados financieros","Other financial results")</f>
        <v>Other financial results</v>
      </c>
      <c r="F40" s="28">
        <f>+[1]GRUPO!K40</f>
        <v>-2.6934180979385403</v>
      </c>
      <c r="G40" s="29">
        <f>+[1]GRUPO!L40</f>
        <v>-3.2396460588826415</v>
      </c>
      <c r="H40" s="30">
        <f t="shared" si="0"/>
        <v>0.1686072956786199</v>
      </c>
      <c r="K40" s="28">
        <f>+[1]GRUPO!P40</f>
        <v>-8.3034263186318853</v>
      </c>
      <c r="L40" s="29">
        <f>+[1]GRUPO!Q40</f>
        <v>-2.9535880622469932</v>
      </c>
      <c r="M40" s="30">
        <f t="shared" si="1"/>
        <v>-1.8113014217408876</v>
      </c>
      <c r="Q40" s="27" t="str">
        <f>+IF($B$3="esp","Otros resultados financieros","Other financial results")</f>
        <v>Other financial results</v>
      </c>
      <c r="S40" s="28">
        <f>+[1]EDUCACIÓN!K40</f>
        <v>-0.35196699580312707</v>
      </c>
      <c r="T40" s="29">
        <f>+[1]EDUCACIÓN!L40</f>
        <v>0.84358777698812881</v>
      </c>
      <c r="U40" s="30" t="str">
        <f t="shared" si="2"/>
        <v>---</v>
      </c>
      <c r="X40" s="28">
        <f>+[1]EDUCACIÓN!P40</f>
        <v>-2.7136833382143006</v>
      </c>
      <c r="Y40" s="29">
        <f>+[1]EDUCACIÓN!Q40</f>
        <v>-1.2244567047707382</v>
      </c>
      <c r="Z40" s="30">
        <f t="shared" si="25"/>
        <v>-1.2162346187016866</v>
      </c>
      <c r="AQ40" s="27" t="str">
        <f>+IF($B$3="esp","Latam","Latam")</f>
        <v>Latam</v>
      </c>
      <c r="AS40" s="28">
        <f>+[1]RADIO!K40</f>
        <v>-1.9391676422518951</v>
      </c>
      <c r="AT40" s="29">
        <f>+[1]RADIO!L40</f>
        <v>-23.234746537646647</v>
      </c>
      <c r="AU40" s="30">
        <f t="shared" si="6"/>
        <v>0.91654018523034397</v>
      </c>
      <c r="AX40" s="28">
        <f>+[1]RADIO!P40</f>
        <v>0.45535543698734893</v>
      </c>
      <c r="AY40" s="29">
        <f>+[1]RADIO!Q40</f>
        <v>-20.460076910584505</v>
      </c>
      <c r="AZ40" s="30" t="str">
        <f t="shared" ref="AZ40:AZ42" si="27">IF(AY40=0,"---",IF(OR(ABS((AX40-AY40)/ABS(AY40))&gt;9,(AX40*AY40)&lt;0),"---",IF(AY40="0","---",((AX40-AY40)/ABS(AY40)))))</f>
        <v>---</v>
      </c>
    </row>
    <row r="41" spans="4:65" s="18" customFormat="1" ht="17.25" customHeight="1" thickBot="1">
      <c r="D41" s="19" t="str">
        <f>+IF($B$3="esp","Resultado puesta en equivalencia","Result from associates")</f>
        <v>Result from associates</v>
      </c>
      <c r="F41" s="20">
        <f>+[1]GRUPO!K41</f>
        <v>-0.30586592488873349</v>
      </c>
      <c r="G41" s="21">
        <f>+[1]GRUPO!L41</f>
        <v>-6.9411877612081554</v>
      </c>
      <c r="H41" s="22">
        <f t="shared" si="0"/>
        <v>0.95593464182050947</v>
      </c>
      <c r="K41" s="20">
        <f>+[1]GRUPO!P41</f>
        <v>6.7027162512925231E-2</v>
      </c>
      <c r="L41" s="21">
        <f>+[1]GRUPO!Q41</f>
        <v>-8.4421102961105419</v>
      </c>
      <c r="M41" s="22" t="str">
        <f t="shared" si="1"/>
        <v>---</v>
      </c>
      <c r="Q41" s="19" t="str">
        <f>+IF($B$3="esp","Resultado puesta en equivalencia","Result from associates")</f>
        <v>Result from associates</v>
      </c>
      <c r="S41" s="20">
        <f>+[1]EDUCACIÓN!K41</f>
        <v>0</v>
      </c>
      <c r="T41" s="21">
        <f>+[1]EDUCACIÓN!L41</f>
        <v>0</v>
      </c>
      <c r="U41" s="22" t="str">
        <f t="shared" si="2"/>
        <v>---</v>
      </c>
      <c r="X41" s="20">
        <f>+[1]EDUCACIÓN!P41</f>
        <v>0</v>
      </c>
      <c r="Y41" s="21">
        <f>+[1]EDUCACIÓN!Q41</f>
        <v>0</v>
      </c>
      <c r="Z41" s="22" t="str">
        <f t="shared" si="25"/>
        <v>---</v>
      </c>
      <c r="AQ41" s="27" t="str">
        <f>+IF($B$3="esp","Otros","Other")</f>
        <v>Other</v>
      </c>
      <c r="AR41" s="3"/>
      <c r="AS41" s="28">
        <f>+[1]RADIO!K41</f>
        <v>-0.19814488000009556</v>
      </c>
      <c r="AT41" s="29">
        <f>+[1]RADIO!L41</f>
        <v>-3.2171255400000938</v>
      </c>
      <c r="AU41" s="30">
        <f t="shared" si="6"/>
        <v>0.93840934165096657</v>
      </c>
      <c r="AX41" s="28">
        <f>+[1]RADIO!P41</f>
        <v>-0.24838907000005728</v>
      </c>
      <c r="AY41" s="29">
        <f>+[1]RADIO!Q41</f>
        <v>-3.5624590100000244</v>
      </c>
      <c r="AZ41" s="30">
        <f t="shared" si="27"/>
        <v>0.93027595003821373</v>
      </c>
      <c r="BD41" s="49" t="str">
        <f>+IF($B$3="esp","EBIT Contable","Reported EBIT")</f>
        <v>Reported EBIT</v>
      </c>
      <c r="BF41" s="50">
        <f>+[1]NOTICIAS!K41</f>
        <v>-3.9890216981640805</v>
      </c>
      <c r="BG41" s="51">
        <f>+[1]NOTICIAS!L41</f>
        <v>-20.184625392133121</v>
      </c>
      <c r="BH41" s="52">
        <f t="shared" si="8"/>
        <v>0.80237326080280957</v>
      </c>
      <c r="BK41" s="50">
        <f>+[1]NOTICIAS!P41</f>
        <v>1.3872906962929772</v>
      </c>
      <c r="BL41" s="51">
        <f>+[1]NOTICIAS!Q41</f>
        <v>-11.757601832668096</v>
      </c>
      <c r="BM41" s="52" t="str">
        <f t="shared" ref="BM41:BM42" si="28">IF(BL41=0,"---",IF(OR(ABS((BK41-BL41)/ABS(BL41))&gt;9,(BK41*BL41)&lt;0),"---",IF(BL41="0","---",((BK41-BL41)/ABS(BL41)))))</f>
        <v>---</v>
      </c>
    </row>
    <row r="42" spans="4:65" s="18" customFormat="1" ht="17.25" customHeight="1" thickTop="1">
      <c r="D42" s="19" t="str">
        <f>+IF($B$3="esp","Resultado antes de impuestos","Profit before tax")</f>
        <v>Profit before tax</v>
      </c>
      <c r="F42" s="20">
        <f>+[1]GRUPO!K42</f>
        <v>-57.768867474448058</v>
      </c>
      <c r="G42" s="21">
        <f>+[1]GRUPO!L42</f>
        <v>-82.142530788555618</v>
      </c>
      <c r="H42" s="22">
        <f t="shared" si="0"/>
        <v>0.29672403662419644</v>
      </c>
      <c r="K42" s="20">
        <f>+[1]GRUPO!P42</f>
        <v>-45.714082474265254</v>
      </c>
      <c r="L42" s="21">
        <f>+[1]GRUPO!Q42</f>
        <v>-110.05588149635994</v>
      </c>
      <c r="M42" s="22">
        <f t="shared" si="1"/>
        <v>0.58462844645174883</v>
      </c>
      <c r="Q42" s="19" t="str">
        <f>+IF($B$3="esp","Resultado antes de impuestos","Profit before tax")</f>
        <v>Profit before tax</v>
      </c>
      <c r="S42" s="20">
        <f>+[1]EDUCACIÓN!K42</f>
        <v>-10.461930378783945</v>
      </c>
      <c r="T42" s="21">
        <f>+[1]EDUCACIÓN!L42</f>
        <v>17.036915255764711</v>
      </c>
      <c r="U42" s="22" t="str">
        <f t="shared" si="2"/>
        <v>---</v>
      </c>
      <c r="X42" s="20">
        <f>+[1]EDUCACIÓN!P42</f>
        <v>-23.617382070183318</v>
      </c>
      <c r="Y42" s="21">
        <f>+[1]EDUCACIÓN!Q42</f>
        <v>-38.410529528876694</v>
      </c>
      <c r="Z42" s="22">
        <f t="shared" si="25"/>
        <v>0.38513260921258635</v>
      </c>
      <c r="AD42" s="32"/>
      <c r="AF42" s="34"/>
      <c r="AG42" s="34"/>
      <c r="AH42" s="53"/>
      <c r="AK42" s="34"/>
      <c r="AL42" s="34"/>
      <c r="AM42" s="53"/>
      <c r="AQ42" s="40" t="str">
        <f>+IF($B$3="esp","Margen EBIT ","EBIT Margin")</f>
        <v>EBIT Margin</v>
      </c>
      <c r="AR42" s="39"/>
      <c r="AS42" s="41">
        <f>+AS36/AS10</f>
        <v>-9.8544029305409148E-2</v>
      </c>
      <c r="AT42" s="42">
        <f>+AT36/AT10</f>
        <v>-0.41529689555057259</v>
      </c>
      <c r="AU42" s="43">
        <f t="shared" si="6"/>
        <v>0.76271426451486912</v>
      </c>
      <c r="AX42" s="41">
        <f>+AX36/AX10</f>
        <v>-2.0987526180985965E-2</v>
      </c>
      <c r="AY42" s="42">
        <f>+AY36/AY10</f>
        <v>-0.87313167939632375</v>
      </c>
      <c r="AZ42" s="43">
        <f t="shared" si="27"/>
        <v>0.97596293127802147</v>
      </c>
      <c r="BD42" s="31" t="str">
        <f>+IF($B$3="esp","EBIT Prensa","EBIT Press")</f>
        <v>EBIT Press</v>
      </c>
      <c r="BF42" s="20">
        <f>+[1]NOTICIAS!K42</f>
        <v>-3.2409022415874502</v>
      </c>
      <c r="BG42" s="21">
        <f>+[1]NOTICIAS!L42</f>
        <v>-18.881597389141671</v>
      </c>
      <c r="BH42" s="22">
        <f t="shared" si="8"/>
        <v>0.82835656460659357</v>
      </c>
      <c r="BK42" s="20">
        <f>+[1]NOTICIAS!P42</f>
        <v>1.5200793984299295</v>
      </c>
      <c r="BL42" s="21">
        <f>+[1]NOTICIAS!Q42</f>
        <v>-11.365296284089361</v>
      </c>
      <c r="BM42" s="22" t="str">
        <f t="shared" si="28"/>
        <v>---</v>
      </c>
    </row>
    <row r="43" spans="4:65" ht="17.25" customHeight="1">
      <c r="D43" s="27" t="str">
        <f>+IF($B$3="esp","Impuesto sobre sociedades","Income tax expense")</f>
        <v>Income tax expense</v>
      </c>
      <c r="F43" s="28">
        <f>+[1]GRUPO!K43</f>
        <v>0.66403303953440396</v>
      </c>
      <c r="G43" s="29">
        <f>+[1]GRUPO!L43</f>
        <v>67.51069697953514</v>
      </c>
      <c r="H43" s="30">
        <f t="shared" si="0"/>
        <v>-0.99016403223128191</v>
      </c>
      <c r="K43" s="28">
        <f>+[1]GRUPO!P43</f>
        <v>-3.0053918607993206</v>
      </c>
      <c r="L43" s="29">
        <f>+[1]GRUPO!Q43</f>
        <v>42.517852466728598</v>
      </c>
      <c r="M43" s="30" t="str">
        <f t="shared" si="1"/>
        <v>---</v>
      </c>
      <c r="Q43" s="27" t="str">
        <f>+IF($B$3="esp","Impuesto sobre sociedades","Income tax expense")</f>
        <v>Income tax expense</v>
      </c>
      <c r="S43" s="28">
        <f>+[1]EDUCACIÓN!K43</f>
        <v>0.68476731634569732</v>
      </c>
      <c r="T43" s="29">
        <f>+[1]EDUCACIÓN!L43</f>
        <v>11.91647994998384</v>
      </c>
      <c r="U43" s="30">
        <f t="shared" si="2"/>
        <v>-0.9425361080436655</v>
      </c>
      <c r="X43" s="28">
        <f>+[1]EDUCACIÓN!P43</f>
        <v>-3.562829439080911</v>
      </c>
      <c r="Y43" s="29">
        <f>+[1]EDUCACIÓN!Q43</f>
        <v>-8.8125231407796196</v>
      </c>
      <c r="Z43" s="30">
        <f t="shared" si="25"/>
        <v>0.59570835932401112</v>
      </c>
      <c r="AD43" s="32"/>
      <c r="AF43" s="34"/>
      <c r="AG43" s="34"/>
      <c r="AH43" s="53"/>
      <c r="AK43" s="34"/>
      <c r="AL43" s="34"/>
      <c r="AM43" s="53"/>
      <c r="BD43" s="40" t="str">
        <f>+IF($B$3="esp","Margen EBIT ","EBIT Margin")</f>
        <v>EBIT Margin</v>
      </c>
      <c r="BE43" s="39"/>
      <c r="BF43" s="41">
        <f>+BF42/BF11</f>
        <v>-4.1244286285971932E-2</v>
      </c>
      <c r="BG43" s="42">
        <f>+BG42/BG11</f>
        <v>-0.28393567226186139</v>
      </c>
      <c r="BH43" s="43">
        <f>IF(BG43=0,"---",IF(OR(ABS((BF43-BG43)/ABS(BG43))&gt;9,(BF43*BG43)&lt;0),"---",IF(BG43="0","---",((BF43-BG43)/ABS(BG43)))))</f>
        <v>0.85474073772620529</v>
      </c>
      <c r="BK43" s="41">
        <f>+BK42/BK11</f>
        <v>3.5548640747025538E-2</v>
      </c>
      <c r="BL43" s="42">
        <f>+BL42/BL11</f>
        <v>-0.38751574650576792</v>
      </c>
      <c r="BM43" s="43" t="str">
        <f>IF(BL43=0,"---",IF(OR(ABS((BK43-BL43)/ABS(BL43))&gt;9,(BK43*BL43)&lt;0),"---",IF(BL43="0","---",((BK43-BL43)/ABS(BL43)))))</f>
        <v>---</v>
      </c>
    </row>
    <row r="44" spans="4:65" s="18" customFormat="1" ht="17.25" customHeight="1">
      <c r="D44" s="19" t="str">
        <f>+IF($B$3="esp","Resultado operaciones en discontinuación","Results from discontinued activities")</f>
        <v>Results from discontinued activities</v>
      </c>
      <c r="F44" s="20">
        <f>+[1]GRUPO!K44</f>
        <v>-1.9999999999998863E-4</v>
      </c>
      <c r="G44" s="21">
        <f>+[1]GRUPO!L44</f>
        <v>-73.976331410083503</v>
      </c>
      <c r="H44" s="22">
        <f t="shared" si="0"/>
        <v>0.99999729643257251</v>
      </c>
      <c r="K44" s="20">
        <f>+[1]GRUPO!P44</f>
        <v>-1.8081999999998286E-4</v>
      </c>
      <c r="L44" s="21">
        <f>+[1]GRUPO!Q44</f>
        <v>-43.671621438837008</v>
      </c>
      <c r="M44" s="22">
        <f t="shared" si="1"/>
        <v>0.9999958595537779</v>
      </c>
      <c r="Q44" s="19" t="str">
        <f>+IF($B$3="esp","Resultado operaciones en discontinuación","Results from discontinued activities")</f>
        <v>Results from discontinued activities</v>
      </c>
      <c r="S44" s="20">
        <f>+[1]EDUCACIÓN!K44</f>
        <v>0</v>
      </c>
      <c r="T44" s="21">
        <f>+[1]EDUCACIÓN!L44</f>
        <v>1.16703526</v>
      </c>
      <c r="U44" s="22">
        <f t="shared" si="2"/>
        <v>-1</v>
      </c>
      <c r="X44" s="20">
        <f>+[1]EDUCACIÓN!P44</f>
        <v>0</v>
      </c>
      <c r="Y44" s="21">
        <f>+[1]EDUCACIÓN!Q44</f>
        <v>6.4694787199999997</v>
      </c>
      <c r="Z44" s="22">
        <f t="shared" si="25"/>
        <v>-1</v>
      </c>
      <c r="BD44" s="44" t="str">
        <f>+IF($B$3="esp","PBS y Prisa Tecnología","PBS&amp;Prisa IT")</f>
        <v>PBS&amp;Prisa IT</v>
      </c>
      <c r="BE44" s="45"/>
      <c r="BF44" s="46">
        <f>+BF41-BF42</f>
        <v>-0.74811945657663026</v>
      </c>
      <c r="BG44" s="47">
        <f>+BG41-BG42</f>
        <v>-1.3030280029914501</v>
      </c>
      <c r="BH44" s="48">
        <f>IF(BG44=0,"---",IF(OR(ABS((BF44-BG44)/ABS(BG44))&gt;9,(BF44*BG44)&lt;0),"---",IF(BG44="0","---",((BF44-BG44)/ABS(BG44)))))</f>
        <v>0.42586079895510953</v>
      </c>
      <c r="BK44" s="46">
        <f>+BK41-BK42</f>
        <v>-0.13278870213695226</v>
      </c>
      <c r="BL44" s="47">
        <f>+BL41-BL42</f>
        <v>-0.39230554857873479</v>
      </c>
      <c r="BM44" s="48">
        <f>IF(BL44=0,"---",IF(OR(ABS((BK44-BL44)/ABS(BL44))&gt;9,(BK44*BL44)&lt;0),"---",IF(BL44="0","---",((BK44-BL44)/ABS(BL44)))))</f>
        <v>0.66151714494473457</v>
      </c>
    </row>
    <row r="45" spans="4:65" s="18" customFormat="1" ht="17.25" customHeight="1">
      <c r="D45" s="19" t="str">
        <f>+IF($B$3="esp","Resultado atribuido a socios externos","Minority interest")</f>
        <v>Minority interest</v>
      </c>
      <c r="F45" s="20">
        <f>+[1]GRUPO!K45</f>
        <v>-2.2545073777286304</v>
      </c>
      <c r="G45" s="21">
        <f>+[1]GRUPO!L45</f>
        <v>-11.5787647254216</v>
      </c>
      <c r="H45" s="22">
        <f t="shared" si="0"/>
        <v>0.8052894733426289</v>
      </c>
      <c r="K45" s="20">
        <f>+[1]GRUPO!P45</f>
        <v>-0.30650079300727939</v>
      </c>
      <c r="L45" s="21">
        <f>+[1]GRUPO!Q45</f>
        <v>-10.330659655714181</v>
      </c>
      <c r="M45" s="22">
        <f t="shared" si="1"/>
        <v>0.97033095627753596</v>
      </c>
      <c r="Q45" s="19" t="str">
        <f>+IF($B$3="esp","Resultado atribuido a socios externos","Minority interest")</f>
        <v>Minority interest</v>
      </c>
      <c r="S45" s="20">
        <f>+[1]EDUCACIÓN!K45</f>
        <v>6.7265280608634834E-2</v>
      </c>
      <c r="T45" s="21">
        <f>+[1]EDUCACIÓN!L45</f>
        <v>0.129357621686295</v>
      </c>
      <c r="U45" s="22">
        <f t="shared" si="2"/>
        <v>-0.48000527737159721</v>
      </c>
      <c r="X45" s="20">
        <f>+[1]EDUCACIÓN!P45</f>
        <v>-2.1595441130966508E-2</v>
      </c>
      <c r="Y45" s="21">
        <f>+[1]EDUCACIÓN!Q45</f>
        <v>-0.14948768062352502</v>
      </c>
      <c r="Z45" s="22">
        <f t="shared" si="25"/>
        <v>0.85553698444654303</v>
      </c>
      <c r="AD45" s="32"/>
      <c r="AF45" s="34"/>
      <c r="AG45" s="34"/>
      <c r="AH45" s="53"/>
      <c r="AK45" s="34"/>
      <c r="AL45" s="34"/>
      <c r="AM45" s="53"/>
    </row>
    <row r="46" spans="4:65" s="18" customFormat="1" ht="17.25" customHeight="1">
      <c r="D46" s="19" t="str">
        <f>+IF($B$3="esp","Resultado Neto","Net Profit")</f>
        <v>Net Profit</v>
      </c>
      <c r="F46" s="20">
        <f>+[1]GRUPO!K46</f>
        <v>-56.178593136253028</v>
      </c>
      <c r="G46" s="21">
        <f>+[1]GRUPO!L46</f>
        <v>-212.05079445275265</v>
      </c>
      <c r="H46" s="22">
        <f t="shared" si="0"/>
        <v>0.73507011241700271</v>
      </c>
      <c r="K46" s="20">
        <f>+[1]GRUPO!P46</f>
        <v>-42.402370640457946</v>
      </c>
      <c r="L46" s="21">
        <f>+[1]GRUPO!Q46</f>
        <v>-185.91469574621138</v>
      </c>
      <c r="M46" s="22">
        <f t="shared" si="1"/>
        <v>0.77192566477724489</v>
      </c>
      <c r="Q46" s="19" t="str">
        <f>+IF($B$3="esp","Resultado Neto","Net Profit")</f>
        <v>Net Profit</v>
      </c>
      <c r="S46" s="20">
        <f>+[1]EDUCACIÓN!K46</f>
        <v>-11.213962975738321</v>
      </c>
      <c r="T46" s="21">
        <f>+[1]EDUCACIÓN!L46</f>
        <v>6.158112944094488</v>
      </c>
      <c r="U46" s="22" t="str">
        <f t="shared" si="2"/>
        <v>---</v>
      </c>
      <c r="X46" s="20">
        <f>+[1]EDUCACIÓN!P46</f>
        <v>-20.032957189971505</v>
      </c>
      <c r="Y46" s="21">
        <f>+[1]EDUCACIÓN!Q46</f>
        <v>-22.979039987473652</v>
      </c>
      <c r="Z46" s="22">
        <f t="shared" si="25"/>
        <v>0.12820739243711299</v>
      </c>
      <c r="AD46" s="32"/>
      <c r="AF46" s="34"/>
      <c r="AG46" s="34"/>
      <c r="AH46" s="53"/>
      <c r="AK46" s="34"/>
      <c r="AL46" s="34"/>
      <c r="AM46" s="53"/>
    </row>
    <row r="47" spans="4:65" ht="17.25" customHeight="1"/>
    <row r="48" spans="4:65">
      <c r="D48" s="54" t="str">
        <f>+IF($B$3="esp","Venta Santillana España","Santillana Spain disposal")</f>
        <v>Santillana Spain disposal</v>
      </c>
      <c r="E48" s="55"/>
      <c r="F48" s="56"/>
      <c r="G48" s="57"/>
      <c r="H48" s="58" t="str">
        <f t="shared" si="0"/>
        <v>---</v>
      </c>
      <c r="I48" s="55"/>
      <c r="J48" s="55"/>
      <c r="K48" s="56"/>
      <c r="L48" s="57"/>
      <c r="M48" s="58" t="str">
        <f t="shared" ref="M48:M51" si="29">IF(L48=0,"---",IF(OR(ABS((K48-L48)/ABS(L48))&gt;9,(K48*L48)&lt;0),"---",IF(L48="0","---",((K48-L48)/ABS(L48)))))</f>
        <v>---</v>
      </c>
      <c r="V48" s="55"/>
      <c r="W48" s="55"/>
      <c r="AI48" s="55"/>
      <c r="AJ48" s="55"/>
      <c r="AV48" s="55"/>
      <c r="AW48" s="55"/>
      <c r="BI48" s="55"/>
      <c r="BJ48" s="55"/>
    </row>
    <row r="49" spans="4:65">
      <c r="D49" s="54" t="str">
        <f>+IF($B$3="esp","Deterioro por venta MC","MC impairment")</f>
        <v>MC impairment</v>
      </c>
      <c r="E49" s="55"/>
      <c r="F49" s="56"/>
      <c r="G49" s="29">
        <f>+[1]GRUPO!L49</f>
        <v>77.290000000000006</v>
      </c>
      <c r="H49" s="58">
        <f t="shared" si="0"/>
        <v>-1</v>
      </c>
      <c r="I49" s="55"/>
      <c r="J49" s="55"/>
      <c r="K49" s="56"/>
      <c r="L49" s="29">
        <f>+[1]GRUPO!Q49</f>
        <v>48.522000000000006</v>
      </c>
      <c r="M49" s="58">
        <f t="shared" si="29"/>
        <v>-1</v>
      </c>
      <c r="V49" s="55"/>
      <c r="W49" s="55"/>
      <c r="AI49" s="55"/>
      <c r="AJ49" s="55"/>
      <c r="AV49" s="55"/>
      <c r="AW49" s="55"/>
      <c r="BI49" s="55"/>
      <c r="BJ49" s="55"/>
    </row>
    <row r="50" spans="4:65">
      <c r="D50" s="54" t="str">
        <f>+IF($B$3="esp","Deterioros fiscales","Tax impairments")</f>
        <v>Tax impairments</v>
      </c>
      <c r="E50" s="55"/>
      <c r="F50" s="56"/>
      <c r="G50" s="29">
        <f>+[1]GRUPO!L50</f>
        <v>64.486310131588951</v>
      </c>
      <c r="H50" s="58">
        <f t="shared" si="0"/>
        <v>-1</v>
      </c>
      <c r="I50" s="55"/>
      <c r="J50" s="55"/>
      <c r="K50" s="56"/>
      <c r="L50" s="29">
        <f>+[1]GRUPO!Q50</f>
        <v>64.486310131588951</v>
      </c>
      <c r="M50" s="58">
        <f t="shared" si="29"/>
        <v>-1</v>
      </c>
      <c r="V50" s="55"/>
      <c r="W50" s="55"/>
      <c r="AI50" s="55"/>
      <c r="AJ50" s="55"/>
      <c r="AV50" s="55"/>
      <c r="AW50" s="55"/>
      <c r="BI50" s="55"/>
      <c r="BJ50" s="55"/>
    </row>
    <row r="51" spans="4:65">
      <c r="D51" s="54" t="str">
        <f>+IF($B$3="esp","Deterioros Activos Radio","Radio Assests impairments")</f>
        <v>Radio Assests impairments</v>
      </c>
      <c r="E51" s="55"/>
      <c r="F51" s="56"/>
      <c r="G51" s="29">
        <f>+[1]GRUPO!L51</f>
        <v>21.921520523455278</v>
      </c>
      <c r="H51" s="58">
        <f t="shared" si="0"/>
        <v>-1</v>
      </c>
      <c r="I51" s="55"/>
      <c r="J51" s="55"/>
      <c r="K51" s="56"/>
      <c r="L51" s="29">
        <f>+[1]GRUPO!Q51</f>
        <v>21.921520523455278</v>
      </c>
      <c r="M51" s="58">
        <f t="shared" si="29"/>
        <v>-1</v>
      </c>
      <c r="V51" s="55"/>
      <c r="W51" s="55"/>
      <c r="AI51" s="55"/>
      <c r="AJ51" s="55"/>
      <c r="AV51" s="55"/>
      <c r="AW51" s="55"/>
      <c r="BI51" s="55"/>
      <c r="BJ51" s="55"/>
    </row>
    <row r="52" spans="4:65">
      <c r="D52" s="54" t="str">
        <f>+IF($B$3="esp","Sentencia Mediapro","Mediapro rulling")</f>
        <v>Mediapro rulling</v>
      </c>
      <c r="E52" s="55"/>
      <c r="F52" s="56"/>
      <c r="G52" s="57"/>
      <c r="H52" s="58"/>
      <c r="I52" s="55"/>
      <c r="J52" s="55"/>
      <c r="K52" s="56"/>
      <c r="L52" s="57"/>
      <c r="M52" s="58"/>
      <c r="V52" s="55"/>
      <c r="W52" s="55"/>
      <c r="AI52" s="55"/>
      <c r="AJ52" s="55"/>
      <c r="AV52" s="55"/>
      <c r="AW52" s="55"/>
      <c r="BI52" s="55"/>
      <c r="BJ52" s="55"/>
    </row>
    <row r="53" spans="4:65" s="18" customFormat="1" ht="17.25" customHeight="1">
      <c r="D53" s="59" t="str">
        <f>+IF($B$3="esp","Resultado Neto Comparable","Comparable Net Profit")</f>
        <v>Comparable Net Profit</v>
      </c>
      <c r="E53" s="45"/>
      <c r="F53" s="46">
        <f>+F46+F48+F49+F50+F51</f>
        <v>-56.178593136253028</v>
      </c>
      <c r="G53" s="47">
        <f>+G46+G48+G49+G50+G51</f>
        <v>-48.352963797708405</v>
      </c>
      <c r="H53" s="48">
        <f t="shared" ref="H53" si="30">IF(G53=0,"---",IF(OR(ABS((F53-G53)/ABS(G53))&gt;9,(F53*G53)&lt;0),"---",IF(G53="0","---",((F53-G53)/ABS(G53)))))</f>
        <v>-0.16184384004430982</v>
      </c>
      <c r="I53" s="45"/>
      <c r="J53" s="45"/>
      <c r="K53" s="46">
        <f>+K46+K48+K49+K50+K51</f>
        <v>-42.402370640457946</v>
      </c>
      <c r="L53" s="47">
        <f>+L46+L48+L49+L50+L51</f>
        <v>-50.98486509116713</v>
      </c>
      <c r="M53" s="48">
        <f t="shared" ref="M53" si="31">IF(L53=0,"---",IF(OR(ABS((K53-L53)/ABS(L53))&gt;9,(K53*L53)&lt;0),"---",IF(L53="0","---",((K53-L53)/ABS(L53)))))</f>
        <v>0.16833416025251105</v>
      </c>
      <c r="V53" s="45"/>
      <c r="W53" s="45"/>
      <c r="AI53" s="45"/>
      <c r="AJ53" s="45"/>
      <c r="AV53" s="45"/>
      <c r="AW53" s="45"/>
      <c r="BI53" s="45"/>
      <c r="BJ53" s="45"/>
    </row>
    <row r="58" spans="4:65"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</row>
    <row r="59" spans="4:65" s="61" customFormat="1">
      <c r="F59" s="62"/>
      <c r="G59" s="62"/>
      <c r="K59" s="62"/>
      <c r="L59" s="62"/>
    </row>
    <row r="62" spans="4:65">
      <c r="D62" s="11"/>
      <c r="E62" s="11"/>
      <c r="F62" s="12" t="str">
        <f>+$F$6</f>
        <v>JANUARY - JUNE</v>
      </c>
      <c r="G62" s="13"/>
      <c r="H62" s="13"/>
      <c r="I62" s="11"/>
      <c r="J62" s="11"/>
      <c r="K62" s="12" t="str">
        <f>+K6</f>
        <v>APRIL - JUNE</v>
      </c>
      <c r="L62" s="13"/>
      <c r="M62" s="13"/>
      <c r="Q62" s="11"/>
      <c r="R62" s="11"/>
      <c r="S62" s="12" t="str">
        <f>+$F$6</f>
        <v>JANUARY - JUNE</v>
      </c>
      <c r="T62" s="13"/>
      <c r="U62" s="13"/>
      <c r="V62" s="11"/>
      <c r="W62" s="11"/>
      <c r="X62" s="12" t="str">
        <f>+X6</f>
        <v>APRIL - JUNE</v>
      </c>
      <c r="Y62" s="13"/>
      <c r="Z62" s="13"/>
      <c r="AD62" s="11"/>
      <c r="AE62" s="11"/>
      <c r="AF62" s="12" t="str">
        <f>+$F$6</f>
        <v>JANUARY - JUNE</v>
      </c>
      <c r="AG62" s="13"/>
      <c r="AH62" s="13"/>
      <c r="AI62" s="11"/>
      <c r="AJ62" s="11"/>
      <c r="AK62" s="12" t="str">
        <f>+AK6</f>
        <v>APRIL - JUNE</v>
      </c>
      <c r="AL62" s="13"/>
      <c r="AM62" s="13"/>
      <c r="AQ62" s="11"/>
      <c r="AR62" s="11"/>
      <c r="AS62" s="12" t="str">
        <f>+$F$6</f>
        <v>JANUARY - JUNE</v>
      </c>
      <c r="AT62" s="13"/>
      <c r="AU62" s="13"/>
      <c r="AV62" s="11"/>
      <c r="AW62" s="11"/>
      <c r="AX62" s="12" t="str">
        <f>+AX6</f>
        <v>APRIL - JUNE</v>
      </c>
      <c r="AY62" s="13"/>
      <c r="AZ62" s="13"/>
      <c r="BI62" s="11"/>
      <c r="BJ62" s="11"/>
    </row>
    <row r="63" spans="4:65">
      <c r="D63" s="11"/>
      <c r="E63" s="11"/>
      <c r="F63" s="11"/>
      <c r="G63" s="11"/>
      <c r="H63" s="11"/>
      <c r="I63" s="11"/>
      <c r="J63" s="11"/>
      <c r="K63" s="11"/>
      <c r="L63" s="11"/>
      <c r="M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I63" s="11"/>
      <c r="BJ63" s="11"/>
    </row>
    <row r="64" spans="4:65">
      <c r="D64" s="14" t="str">
        <f>+IF($B$3="esp","Millones de €","€ Millions")</f>
        <v>€ Millions</v>
      </c>
      <c r="E64" s="11"/>
      <c r="F64" s="15">
        <v>2021</v>
      </c>
      <c r="G64" s="15">
        <v>2020</v>
      </c>
      <c r="H64" s="15" t="str">
        <f>+IF($B$3="esp","Var.","Chg.")</f>
        <v>Chg.</v>
      </c>
      <c r="I64" s="11"/>
      <c r="J64" s="11"/>
      <c r="K64" s="15">
        <v>2021</v>
      </c>
      <c r="L64" s="15">
        <v>2020</v>
      </c>
      <c r="M64" s="15" t="str">
        <f>+IF($B$3="esp","Var.","Chg.")</f>
        <v>Chg.</v>
      </c>
      <c r="Q64" s="14" t="str">
        <f>+IF($B$3="esp","Millones de €","€ Millions")</f>
        <v>€ Millions</v>
      </c>
      <c r="R64" s="11"/>
      <c r="S64" s="15">
        <v>2021</v>
      </c>
      <c r="T64" s="15">
        <v>2020</v>
      </c>
      <c r="U64" s="15" t="str">
        <f>+IF($B$3="esp","Var.","Chg.")</f>
        <v>Chg.</v>
      </c>
      <c r="V64" s="11"/>
      <c r="W64" s="11"/>
      <c r="X64" s="15">
        <v>2021</v>
      </c>
      <c r="Y64" s="15">
        <v>2020</v>
      </c>
      <c r="Z64" s="15" t="str">
        <f>+IF($B$3="esp","Var.","Chg.")</f>
        <v>Chg.</v>
      </c>
      <c r="AD64" s="14" t="str">
        <f>+IF($B$3="esp","Millones de €","€ Millions")</f>
        <v>€ Millions</v>
      </c>
      <c r="AE64" s="11"/>
      <c r="AF64" s="15">
        <v>2021</v>
      </c>
      <c r="AG64" s="15">
        <v>2020</v>
      </c>
      <c r="AH64" s="15" t="str">
        <f>+IF($B$3="esp","Var.","Chg.")</f>
        <v>Chg.</v>
      </c>
      <c r="AI64" s="11"/>
      <c r="AJ64" s="11"/>
      <c r="AK64" s="15">
        <v>2021</v>
      </c>
      <c r="AL64" s="15">
        <v>2020</v>
      </c>
      <c r="AM64" s="15" t="str">
        <f>+IF($B$3="esp","Var.","Chg.")</f>
        <v>Chg.</v>
      </c>
      <c r="AQ64" s="14" t="str">
        <f>+IF($B$3="esp","Millones de €","€ Millions")</f>
        <v>€ Millions</v>
      </c>
      <c r="AR64" s="11"/>
      <c r="AS64" s="15">
        <v>2021</v>
      </c>
      <c r="AT64" s="15">
        <v>2020</v>
      </c>
      <c r="AU64" s="15" t="str">
        <f>+IF($B$3="esp","Var.","Chg.")</f>
        <v>Chg.</v>
      </c>
      <c r="AV64" s="11"/>
      <c r="AW64" s="11"/>
      <c r="AX64" s="15">
        <v>2021</v>
      </c>
      <c r="AY64" s="15">
        <v>2020</v>
      </c>
      <c r="AZ64" s="15" t="str">
        <f>+IF($B$3="esp","Var.","Chg.")</f>
        <v>Chg.</v>
      </c>
      <c r="BI64" s="11"/>
      <c r="BJ64" s="11"/>
    </row>
    <row r="65" spans="4:62">
      <c r="D65" s="16" t="str">
        <f>+IF($B$3="esp","Resultados a tipo de cambio constante","Results at constant currency")</f>
        <v>Results at constant currency</v>
      </c>
      <c r="F65" s="17"/>
      <c r="G65" s="17"/>
      <c r="H65" s="17"/>
      <c r="K65" s="17"/>
      <c r="L65" s="17"/>
      <c r="M65" s="17"/>
      <c r="Q65" s="16" t="str">
        <f>+IF($B$3="esp","Resultados a tipo de cambio constante","Results at constant currency")</f>
        <v>Results at constant currency</v>
      </c>
      <c r="S65" s="17"/>
      <c r="T65" s="17"/>
      <c r="U65" s="17"/>
      <c r="X65" s="17"/>
      <c r="Y65" s="17"/>
      <c r="Z65" s="17"/>
      <c r="AD65" s="16" t="str">
        <f>+IF($B$3="esp","Resultados a tipo de cambio constante","Results at constant currency")</f>
        <v>Results at constant currency</v>
      </c>
      <c r="AF65" s="17"/>
      <c r="AG65" s="17"/>
      <c r="AH65" s="17"/>
      <c r="AK65" s="17"/>
      <c r="AL65" s="17"/>
      <c r="AM65" s="17"/>
      <c r="AQ65" s="16" t="str">
        <f>+IF($B$3="esp","Resultados a tipo de cambio constante","Results at constant currency")</f>
        <v>Results at constant currency</v>
      </c>
      <c r="AS65" s="17"/>
      <c r="AT65" s="17"/>
      <c r="AU65" s="17"/>
      <c r="AX65" s="17"/>
      <c r="AY65" s="17"/>
      <c r="AZ65" s="17"/>
    </row>
    <row r="66" spans="4:62" ht="15.75" customHeight="1">
      <c r="D66" s="19" t="str">
        <f>+IF($B$3="esp","Ingresos de Explotación","Operating Revenues")</f>
        <v>Operating Revenues</v>
      </c>
      <c r="E66" s="18"/>
      <c r="F66" s="20">
        <f>+[1]GRUPO!K66</f>
        <v>329.69390008885136</v>
      </c>
      <c r="G66" s="21">
        <f>+[1]GRUPO!L66</f>
        <v>353.15377432231816</v>
      </c>
      <c r="H66" s="22">
        <f>IF(G66=0,"---",IF(OR(ABS((F66-G66)/ABS(G66))&gt;9,(F66*G66)&lt;0),"---",IF(G66="0","---",((F66-G66)/ABS(G66)))))</f>
        <v>-6.6429629071599036E-2</v>
      </c>
      <c r="I66" s="18"/>
      <c r="J66" s="18"/>
      <c r="K66" s="20">
        <f>+[1]GRUPO!P66</f>
        <v>151.10277966774564</v>
      </c>
      <c r="L66" s="21">
        <f>+[1]GRUPO!Q66</f>
        <v>91.954695331452342</v>
      </c>
      <c r="M66" s="22">
        <f>IF(L66=0,"---",IF(OR(ABS((K66-L66)/ABS(L66))&gt;9,(K66*L66)&lt;0),"---",IF(L66="0","---",((K66-L66)/ABS(L66)))))</f>
        <v>0.64323071402817411</v>
      </c>
      <c r="Q66" s="19" t="str">
        <f>+IF($B$3="esp","Ingresos de Explotación","Operating Revenues")</f>
        <v>Operating Revenues</v>
      </c>
      <c r="R66" s="18"/>
      <c r="S66" s="20">
        <f>+[1]EDUCACIÓN!K55</f>
        <v>154.36526084699727</v>
      </c>
      <c r="T66" s="21">
        <f>+[1]EDUCACIÓN!L55</f>
        <v>204.80019036987886</v>
      </c>
      <c r="U66" s="22">
        <f>IF(T66=0,"---",IF(OR(ABS((S66-T66)/ABS(T66))&gt;9,(S66*T66)&lt;0),"---",IF(T66="0","---",((S66-T66)/ABS(T66)))))</f>
        <v>-0.24626407539853215</v>
      </c>
      <c r="V66" s="18"/>
      <c r="W66" s="18"/>
      <c r="X66" s="20">
        <f>+[1]EDUCACIÓN!P55</f>
        <v>52.861749190924414</v>
      </c>
      <c r="Y66" s="21">
        <f>+[1]EDUCACIÓN!Q55</f>
        <v>28.21730253666766</v>
      </c>
      <c r="Z66" s="22">
        <f>IF(Y66=0,"---",IF(OR(ABS((X66-Y66)/ABS(Y66))&gt;9,(X66*Y66)&lt;0),"---",IF(Y66="0","---",((X66-Y66)/ABS(Y66)))))</f>
        <v>0.87338067209762271</v>
      </c>
      <c r="AD66" s="19" t="str">
        <f>+IF($B$3="esp","Ingresos de Explotación","Operating Revenues")</f>
        <v>Operating Revenues</v>
      </c>
      <c r="AE66" s="18"/>
      <c r="AF66" s="20">
        <f>+[1]MEDIA!K66</f>
        <v>176.0063443029722</v>
      </c>
      <c r="AG66" s="21">
        <f>+[1]MEDIA!L66</f>
        <v>149.18822384493686</v>
      </c>
      <c r="AH66" s="22">
        <f>IF(AG66=0,"---",IF(OR(ABS((AF66-AG66)/ABS(AG66))&gt;9,(AF66*AG66)&lt;0),"---",IF(AG66="0","---",((AF66-AG66)/ABS(AG66)))))</f>
        <v>0.17976030390917139</v>
      </c>
      <c r="AI66" s="18"/>
      <c r="AJ66" s="18"/>
      <c r="AK66" s="20">
        <f>+[1]MEDIA!P66</f>
        <v>98.467340628580061</v>
      </c>
      <c r="AL66" s="21">
        <f>+[1]MEDIA!Q66</f>
        <v>64.328569360638113</v>
      </c>
      <c r="AM66" s="22">
        <f>IF(AL66=0,"---",IF(OR(ABS((AK66-AL66)/ABS(AL66))&gt;9,(AK66*AL66)&lt;0),"---",IF(AL66="0","---",((AK66-AL66)/ABS(AL66)))))</f>
        <v>0.53069377427863418</v>
      </c>
      <c r="AQ66" s="19" t="str">
        <f>+IF($B$3="esp","Ingresos de Explotación","Operating Revenues")</f>
        <v>Operating Revenues</v>
      </c>
      <c r="AR66" s="18"/>
      <c r="AS66" s="20">
        <f>+[1]RADIO!K49</f>
        <v>97.357197941913384</v>
      </c>
      <c r="AT66" s="21">
        <f>+[1]RADIO!L49</f>
        <v>81.409019257958064</v>
      </c>
      <c r="AU66" s="22">
        <f>IF(AT66=0,"---",IF(OR(ABS((AS66-AT66)/ABS(AT66))&gt;9,(AS66*AT66)&lt;0),"---",IF(AT66="0","---",((AS66-AT66)/ABS(AT66)))))</f>
        <v>0.19590186479732491</v>
      </c>
      <c r="AV66" s="18"/>
      <c r="AW66" s="18"/>
      <c r="AX66" s="20">
        <f>+[1]RADIO!P49</f>
        <v>55.599554536464403</v>
      </c>
      <c r="AY66" s="21">
        <f>+[1]RADIO!Q49</f>
        <v>34.054356911138981</v>
      </c>
      <c r="AZ66" s="22">
        <f>IF(AY66=0,"---",IF(OR(ABS((AX66-AY66)/ABS(AY66))&gt;9,(AX66*AY66)&lt;0),"---",IF(AY66="0","---",((AX66-AY66)/ABS(AY66)))))</f>
        <v>0.63267081159527383</v>
      </c>
      <c r="BI66" s="18"/>
      <c r="BJ66" s="18"/>
    </row>
    <row r="67" spans="4:62" ht="15.75" customHeight="1">
      <c r="D67" s="27" t="str">
        <f>+IF($B$3="esp","España","Spain")</f>
        <v>Spain</v>
      </c>
      <c r="F67" s="28">
        <f>+[1]GRUPO!K67</f>
        <v>149.9966454500001</v>
      </c>
      <c r="G67" s="29">
        <f>+[1]GRUPO!L67</f>
        <v>126.16146029999955</v>
      </c>
      <c r="H67" s="30">
        <f t="shared" ref="H67:H93" si="32">IF(G67=0,"---",IF(OR(ABS((F67-G67)/ABS(G67))&gt;9,(F67*G67)&lt;0),"---",IF(G67="0","---",((F67-G67)/ABS(G67)))))</f>
        <v>0.18892604043519176</v>
      </c>
      <c r="K67" s="28">
        <f>+[1]GRUPO!P67</f>
        <v>84.782958040000082</v>
      </c>
      <c r="L67" s="29">
        <f>+[1]GRUPO!Q67</f>
        <v>55.18926020999929</v>
      </c>
      <c r="M67" s="30">
        <f t="shared" ref="M67:M93" si="33">IF(L67=0,"---",IF(OR(ABS((K67-L67)/ABS(L67))&gt;9,(K67*L67)&lt;0),"---",IF(L67="0","---",((K67-L67)/ABS(L67)))))</f>
        <v>0.53622204242989568</v>
      </c>
      <c r="Q67" s="27" t="str">
        <f>+IF($B$3="esp","Negocio Internacional","International business")</f>
        <v>International business</v>
      </c>
      <c r="S67" s="28">
        <f>+[1]EDUCACIÓN!K56</f>
        <v>151.10784681699727</v>
      </c>
      <c r="T67" s="29">
        <f>+[1]EDUCACIÓN!L56</f>
        <v>204.04301018987886</v>
      </c>
      <c r="U67" s="30">
        <f t="shared" ref="U67" si="34">IF(T67=0,"---",IF(OR(ABS((S67-T67)/ABS(T67))&gt;9,(S67*T67)&lt;0),"---",IF(T67="0","---",((S67-T67)/ABS(T67)))))</f>
        <v>-0.25943139793723419</v>
      </c>
      <c r="X67" s="28">
        <f>+[1]EDUCACIÓN!P56</f>
        <v>50.937013880924411</v>
      </c>
      <c r="Y67" s="29">
        <f>+[1]EDUCACIÓN!Q56</f>
        <v>27.742070036667656</v>
      </c>
      <c r="Z67" s="30">
        <f t="shared" ref="Z67" si="35">IF(Y67=0,"---",IF(OR(ABS((X67-Y67)/ABS(Y67))&gt;9,(X67*Y67)&lt;0),"---",IF(Y67="0","---",((X67-Y67)/ABS(Y67)))))</f>
        <v>0.83609275780787784</v>
      </c>
      <c r="AD67" s="27" t="s">
        <v>8</v>
      </c>
      <c r="AF67" s="28">
        <f>+[1]MEDIA!K67</f>
        <v>97.357197941913384</v>
      </c>
      <c r="AG67" s="29">
        <f>+[1]MEDIA!L67</f>
        <v>81.409019257958064</v>
      </c>
      <c r="AH67" s="30">
        <f t="shared" ref="AH67:AH83" si="36">IF(AG67=0,"---",IF(OR(ABS((AF67-AG67)/ABS(AG67))&gt;9,(AF67*AG67)&lt;0),"---",IF(AG67="0","---",((AF67-AG67)/ABS(AG67)))))</f>
        <v>0.19590186479732491</v>
      </c>
      <c r="AK67" s="28">
        <f>+[1]MEDIA!P67</f>
        <v>55.599554536464403</v>
      </c>
      <c r="AL67" s="29">
        <f>+[1]MEDIA!Q67</f>
        <v>34.054356911138981</v>
      </c>
      <c r="AM67" s="30">
        <f t="shared" ref="AM67:AM83" si="37">IF(AL67=0,"---",IF(OR(ABS((AK67-AL67)/ABS(AL67))&gt;9,(AK67*AL67)&lt;0),"---",IF(AL67="0","---",((AK67-AL67)/ABS(AL67)))))</f>
        <v>0.63267081159527383</v>
      </c>
      <c r="AQ67" s="27" t="str">
        <f>+IF($B$3="esp","España","Spain")</f>
        <v>Spain</v>
      </c>
      <c r="AS67" s="28">
        <f>+[1]RADIO!K50</f>
        <v>72.585775040000001</v>
      </c>
      <c r="AT67" s="29">
        <f>+[1]RADIO!L50</f>
        <v>60.852808519999989</v>
      </c>
      <c r="AU67" s="30">
        <f t="shared" ref="AU67" si="38">IF(AT67=0,"---",IF(OR(ABS((AS67-AT67)/ABS(AT67))&gt;9,(AS67*AT67)&lt;0),"---",IF(AT67="0","---",((AS67-AT67)/ABS(AT67)))))</f>
        <v>0.19280895665060119</v>
      </c>
      <c r="AX67" s="28">
        <f>+[1]RADIO!P50</f>
        <v>41.871797870000002</v>
      </c>
      <c r="AY67" s="29">
        <f>+[1]RADIO!Q50</f>
        <v>26.338815009999969</v>
      </c>
      <c r="AZ67" s="30">
        <f t="shared" ref="AZ67" si="39">IF(AY67=0,"---",IF(OR(ABS((AX67-AY67)/ABS(AY67))&gt;9,(AX67*AY67)&lt;0),"---",IF(AY67="0","---",((AX67-AY67)/ABS(AY67)))))</f>
        <v>0.58973734597029814</v>
      </c>
    </row>
    <row r="68" spans="4:62" ht="15.75" customHeight="1">
      <c r="D68" s="27" t="str">
        <f>+IF($B$3="esp","Internacional","International")</f>
        <v>International</v>
      </c>
      <c r="F68" s="28">
        <f>+[1]GRUPO!K68</f>
        <v>179.69725463885123</v>
      </c>
      <c r="G68" s="29">
        <f>+[1]GRUPO!L68</f>
        <v>226.9923140223186</v>
      </c>
      <c r="H68" s="30">
        <f t="shared" si="32"/>
        <v>-0.20835533391151367</v>
      </c>
      <c r="K68" s="28">
        <f>+[1]GRUPO!P68</f>
        <v>66.319821627745512</v>
      </c>
      <c r="L68" s="29">
        <f>+[1]GRUPO!Q68</f>
        <v>36.765435121453038</v>
      </c>
      <c r="M68" s="30">
        <f t="shared" si="33"/>
        <v>0.80386336809725834</v>
      </c>
      <c r="Q68" s="32" t="str">
        <f>+IF($B$3="esp","Brasil","Brazil")</f>
        <v>Brazil</v>
      </c>
      <c r="R68" s="11"/>
      <c r="S68" s="33">
        <f>+[1]EDUCACIÓN!K57</f>
        <v>48.574802289126566</v>
      </c>
      <c r="T68" s="34">
        <f>+[1]EDUCACIÓN!L57</f>
        <v>70.37990826162212</v>
      </c>
      <c r="U68" s="35">
        <f>IF(T68=0,"---",IF(OR(ABS((S68-T68)/ABS(T68))&gt;9,(S68*T68)&lt;0),"---",IF(T68="0","---",((S68-T68)/ABS(T68)))))</f>
        <v>-0.30982003971133038</v>
      </c>
      <c r="X68" s="33">
        <f>+[1]EDUCACIÓN!P57</f>
        <v>16.750903400370611</v>
      </c>
      <c r="Y68" s="34">
        <f>+[1]EDUCACIÓN!Q57</f>
        <v>1.9864372354770268</v>
      </c>
      <c r="Z68" s="35">
        <f>IF(Y68=0,"---",IF(OR(ABS((X68-Y68)/ABS(Y68))&gt;9,(X68*Y68)&lt;0),"---",IF(Y68="0","---",((X68-Y68)/ABS(Y68)))))</f>
        <v>7.4326366326636126</v>
      </c>
      <c r="AD68" s="27" t="s">
        <v>9</v>
      </c>
      <c r="AF68" s="28">
        <f>+[1]MEDIA!K70</f>
        <v>87.181681341267549</v>
      </c>
      <c r="AG68" s="29">
        <f>+[1]MEDIA!L70</f>
        <v>75.579894746428039</v>
      </c>
      <c r="AH68" s="30">
        <f t="shared" si="36"/>
        <v>0.15350360878066477</v>
      </c>
      <c r="AK68" s="28">
        <f>+[1]MEDIA!P70</f>
        <v>47.164857794099369</v>
      </c>
      <c r="AL68" s="29">
        <f>+[1]MEDIA!Q70</f>
        <v>33.884859971802271</v>
      </c>
      <c r="AM68" s="30">
        <f t="shared" si="37"/>
        <v>0.39191538148152955</v>
      </c>
      <c r="AQ68" s="32" t="str">
        <f>+IF($B$3="esp","España sin SSCC","Spain ex HQ")</f>
        <v>Spain ex HQ</v>
      </c>
      <c r="AR68" s="11"/>
      <c r="AS68" s="33">
        <f>+[1]RADIO!K51</f>
        <v>70.528162820000006</v>
      </c>
      <c r="AT68" s="34">
        <f>+[1]RADIO!L51</f>
        <v>58.615991619999996</v>
      </c>
      <c r="AU68" s="35">
        <f>IF(AT68=0,"---",IF(OR(ABS((AS68-AT68)/ABS(AT68))&gt;9,(AS68*AT68)&lt;0),"---",IF(AT68="0","---",((AS68-AT68)/ABS(AT68)))))</f>
        <v>0.2032239133174629</v>
      </c>
      <c r="AX68" s="33">
        <f>+[1]RADIO!P51</f>
        <v>40.867743900000008</v>
      </c>
      <c r="AY68" s="34">
        <f>+[1]RADIO!Q51</f>
        <v>25.201723179999973</v>
      </c>
      <c r="AZ68" s="35">
        <f>IF(AY68=0,"---",IF(OR(ABS((AX68-AY68)/ABS(AY68))&gt;9,(AX68*AY68)&lt;0),"---",IF(AY68="0","---",((AX68-AY68)/ABS(AY68)))))</f>
        <v>0.62162498207394601</v>
      </c>
    </row>
    <row r="69" spans="4:62" ht="15.75" customHeight="1">
      <c r="D69" s="32" t="str">
        <f>+IF($B$3="esp","Latam","Latam")</f>
        <v>Latam</v>
      </c>
      <c r="E69" s="11"/>
      <c r="F69" s="33">
        <f>+[1]GRUPO!K69</f>
        <v>179.47258063885124</v>
      </c>
      <c r="G69" s="34">
        <f>+[1]GRUPO!L69</f>
        <v>226.1962380223186</v>
      </c>
      <c r="H69" s="35">
        <f t="shared" si="32"/>
        <v>-0.2065624865912101</v>
      </c>
      <c r="I69" s="11"/>
      <c r="J69" s="11"/>
      <c r="K69" s="33">
        <f>+[1]GRUPO!P69</f>
        <v>66.104277627745532</v>
      </c>
      <c r="L69" s="34">
        <f>+[1]GRUPO!Q69</f>
        <v>35.980124121453059</v>
      </c>
      <c r="M69" s="35">
        <f t="shared" si="33"/>
        <v>0.83724429089256591</v>
      </c>
      <c r="Q69" s="32" t="str">
        <f>+IF($B$3="esp","Otros","Other")</f>
        <v>Other</v>
      </c>
      <c r="R69" s="11"/>
      <c r="S69" s="33">
        <f>+[1]EDUCACIÓN!K58</f>
        <v>102.5330445278707</v>
      </c>
      <c r="T69" s="34">
        <f>+[1]EDUCACIÓN!L58</f>
        <v>133.66310192825674</v>
      </c>
      <c r="U69" s="35">
        <f>IF(T69=0,"---",IF(OR(ABS((S69-T69)/ABS(T69))&gt;9,(S69*T69)&lt;0),"---",IF(T69="0","---",((S69-T69)/ABS(T69)))))</f>
        <v>-0.23289940867222281</v>
      </c>
      <c r="V69" s="11"/>
      <c r="W69" s="11"/>
      <c r="X69" s="33">
        <f>+[1]EDUCACIÓN!P58</f>
        <v>34.186110480553808</v>
      </c>
      <c r="Y69" s="34">
        <f>+[1]EDUCACIÓN!Q58</f>
        <v>25.755632801190629</v>
      </c>
      <c r="Z69" s="35">
        <f>IF(Y69=0,"---",IF(OR(ABS((X69-Y69)/ABS(Y69))&gt;9,(X69*Y69)&lt;0),"---",IF(Y69="0","---",((X69-Y69)/ABS(Y69)))))</f>
        <v>0.32732558910272458</v>
      </c>
      <c r="AD69" s="19" t="str">
        <f>+IF($B$3="esp","Gastos de Explotación","Expenses")</f>
        <v>Expenses</v>
      </c>
      <c r="AE69" s="18"/>
      <c r="AF69" s="20">
        <f t="shared" ref="AF69:AG71" si="40">+AF66-AF72</f>
        <v>177.52084476270721</v>
      </c>
      <c r="AG69" s="21">
        <f t="shared" si="40"/>
        <v>168.01003185604415</v>
      </c>
      <c r="AH69" s="22">
        <f t="shared" si="36"/>
        <v>5.6608601293595386E-2</v>
      </c>
      <c r="AI69" s="11"/>
      <c r="AJ69" s="11"/>
      <c r="AK69" s="20">
        <f t="shared" ref="AK69:AL71" si="41">+AK66-AK72</f>
        <v>92.184915358490244</v>
      </c>
      <c r="AL69" s="21">
        <f t="shared" si="41"/>
        <v>77.855707348973169</v>
      </c>
      <c r="AM69" s="22">
        <f t="shared" si="37"/>
        <v>0.18404826694707388</v>
      </c>
      <c r="AQ69" s="32" t="str">
        <f>+IF($B$3="esp","Servicios Centrales","HQ")</f>
        <v>HQ</v>
      </c>
      <c r="AR69" s="11"/>
      <c r="AS69" s="33">
        <f>+[1]RADIO!K52</f>
        <v>2.0576122199999998</v>
      </c>
      <c r="AT69" s="34">
        <f>+[1]RADIO!L52</f>
        <v>2.2368169000000009</v>
      </c>
      <c r="AU69" s="35">
        <f>IF(AT69=0,"---",IF(OR(ABS((AS69-AT69)/ABS(AT69))&gt;9,(AS69*AT69)&lt;0),"---",IF(AT69="0","---",((AS69-AT69)/ABS(AT69)))))</f>
        <v>-8.0115936176984828E-2</v>
      </c>
      <c r="AV69" s="11"/>
      <c r="AW69" s="11"/>
      <c r="AX69" s="33">
        <f>+[1]RADIO!P52</f>
        <v>1.0040539699999997</v>
      </c>
      <c r="AY69" s="34">
        <f>+[1]RADIO!Q52</f>
        <v>1.137091830000001</v>
      </c>
      <c r="AZ69" s="35">
        <f>IF(AY69=0,"---",IF(OR(ABS((AX69-AY69)/ABS(AY69))&gt;9,(AX69*AY69)&lt;0),"---",IF(AY69="0","---",((AX69-AY69)/ABS(AY69)))))</f>
        <v>-0.11699834304499503</v>
      </c>
      <c r="BI69" s="11"/>
      <c r="BJ69" s="11"/>
    </row>
    <row r="70" spans="4:62" ht="15.75" customHeight="1">
      <c r="D70" s="32" t="str">
        <f>+IF($B$3="esp","Portugal","Portugal")</f>
        <v>Portugal</v>
      </c>
      <c r="E70" s="11"/>
      <c r="F70" s="33">
        <f>+[1]GRUPO!K70</f>
        <v>0.22467399999999998</v>
      </c>
      <c r="G70" s="34">
        <f>+[1]GRUPO!L70</f>
        <v>0.79607600000000012</v>
      </c>
      <c r="H70" s="35">
        <f t="shared" si="32"/>
        <v>-0.71777317743532043</v>
      </c>
      <c r="I70" s="11"/>
      <c r="J70" s="11"/>
      <c r="K70" s="33">
        <f>+[1]GRUPO!P70</f>
        <v>0.21554399999999999</v>
      </c>
      <c r="L70" s="34">
        <f>+[1]GRUPO!Q70</f>
        <v>0.78531099999999976</v>
      </c>
      <c r="M70" s="35">
        <f t="shared" si="33"/>
        <v>-0.72553039496454264</v>
      </c>
      <c r="Q70" s="27" t="str">
        <f>+IF($B$3="esp","Tecnología Educativa global y Centro Corpor.","Global Educational IT &amp; HQ")</f>
        <v>Global Educational IT &amp; HQ</v>
      </c>
      <c r="S70" s="28">
        <f>+[1]EDUCACIÓN!K59</f>
        <v>3.257414030000001</v>
      </c>
      <c r="T70" s="29">
        <f>+[1]EDUCACIÓN!L59</f>
        <v>0.75718017999999965</v>
      </c>
      <c r="U70" s="30">
        <f t="shared" ref="U70:U72" si="42">IF(T70=0,"---",IF(OR(ABS((S70-T70)/ABS(T70))&gt;9,(S70*T70)&lt;0),"---",IF(T70="0","---",((S70-T70)/ABS(T70)))))</f>
        <v>3.3020328794131966</v>
      </c>
      <c r="V70" s="11"/>
      <c r="W70" s="11"/>
      <c r="X70" s="28">
        <f>+[1]EDUCACIÓN!P59</f>
        <v>1.9247353100000009</v>
      </c>
      <c r="Y70" s="29">
        <f>+[1]EDUCACIÓN!Q59</f>
        <v>0.47523249999999956</v>
      </c>
      <c r="Z70" s="30">
        <f t="shared" ref="Z70:Z72" si="43">IF(Y70=0,"---",IF(OR(ABS((X70-Y70)/ABS(Y70))&gt;9,(X70*Y70)&lt;0),"---",IF(Y70="0","---",((X70-Y70)/ABS(Y70)))))</f>
        <v>3.0500919234269599</v>
      </c>
      <c r="AD70" s="27" t="s">
        <v>8</v>
      </c>
      <c r="AF70" s="28">
        <f t="shared" si="40"/>
        <v>99.696593582126056</v>
      </c>
      <c r="AG70" s="29">
        <f t="shared" si="40"/>
        <v>86.591767701984665</v>
      </c>
      <c r="AH70" s="30">
        <f t="shared" si="36"/>
        <v>0.15134032053997473</v>
      </c>
      <c r="AI70" s="11"/>
      <c r="AJ70" s="11"/>
      <c r="AK70" s="28">
        <f t="shared" si="41"/>
        <v>53.073363793352506</v>
      </c>
      <c r="AL70" s="29">
        <f t="shared" si="41"/>
        <v>39.909469086128645</v>
      </c>
      <c r="AM70" s="30">
        <f t="shared" si="37"/>
        <v>0.32984389441049322</v>
      </c>
      <c r="AQ70" s="27" t="str">
        <f>+IF($B$3="esp","Latam","Latam")</f>
        <v>Latam</v>
      </c>
      <c r="AS70" s="28">
        <f>+[1]RADIO!K53</f>
        <v>26.245751193007411</v>
      </c>
      <c r="AT70" s="29">
        <f>+[1]RADIO!L53</f>
        <v>22.478095251301824</v>
      </c>
      <c r="AU70" s="30">
        <f t="shared" ref="AU70:AU73" si="44">IF(AT70=0,"---",IF(OR(ABS((AS70-AT70)/ABS(AT70))&gt;9,(AS70*AT70)&lt;0),"---",IF(AT70="0","---",((AS70-AT70)/ABS(AT70)))))</f>
        <v>0.16761455539643125</v>
      </c>
      <c r="AV70" s="11"/>
      <c r="AW70" s="11"/>
      <c r="AX70" s="28">
        <f>+[1]RADIO!P53</f>
        <v>14.549919919988502</v>
      </c>
      <c r="AY70" s="29">
        <f>+[1]RADIO!Q53</f>
        <v>8.6314028763423654</v>
      </c>
      <c r="AZ70" s="30">
        <f t="shared" ref="AZ70:AZ73" si="45">IF(AY70=0,"---",IF(OR(ABS((AX70-AY70)/ABS(AY70))&gt;9,(AX70*AY70)&lt;0),"---",IF(AY70="0","---",((AX70-AY70)/ABS(AY70)))))</f>
        <v>0.68569583976529225</v>
      </c>
      <c r="BI70" s="11"/>
      <c r="BJ70" s="11"/>
    </row>
    <row r="71" spans="4:62" ht="15.75" customHeight="1">
      <c r="D71" s="19" t="str">
        <f>+IF($B$3="esp","Gastos de Explotación","Expenses")</f>
        <v>Expenses</v>
      </c>
      <c r="E71" s="18"/>
      <c r="F71" s="20">
        <f>+[1]GRUPO!K71</f>
        <v>322.32972337939464</v>
      </c>
      <c r="G71" s="21">
        <f>+[1]GRUPO!L71</f>
        <v>333.34794221600362</v>
      </c>
      <c r="H71" s="22">
        <f t="shared" si="32"/>
        <v>-3.3053207898518747E-2</v>
      </c>
      <c r="I71" s="18"/>
      <c r="J71" s="18"/>
      <c r="K71" s="20">
        <f>+[1]GRUPO!P71</f>
        <v>162.50051935118137</v>
      </c>
      <c r="L71" s="21">
        <f>+[1]GRUPO!Q71</f>
        <v>136.21714280744692</v>
      </c>
      <c r="M71" s="22">
        <f t="shared" si="33"/>
        <v>0.19295204701869251</v>
      </c>
      <c r="Q71" s="19" t="str">
        <f>+IF($B$3="esp","Gastos de Explotación","Expenses")</f>
        <v>Expenses</v>
      </c>
      <c r="R71" s="18"/>
      <c r="S71" s="20">
        <f>+[1]EDUCACIÓN!K60</f>
        <v>136.51613797780536</v>
      </c>
      <c r="T71" s="21">
        <f>+[1]EDUCACIÓN!L60</f>
        <v>162.55402464245697</v>
      </c>
      <c r="U71" s="22">
        <f t="shared" si="42"/>
        <v>-0.16017989540353009</v>
      </c>
      <c r="V71" s="18"/>
      <c r="W71" s="18"/>
      <c r="X71" s="20">
        <f>+[1]EDUCACIÓN!P60</f>
        <v>65.029210274449966</v>
      </c>
      <c r="Y71" s="21">
        <f>+[1]EDUCACIÓN!Q60</f>
        <v>56.377310314327154</v>
      </c>
      <c r="Z71" s="22">
        <f t="shared" si="43"/>
        <v>0.15346422012481334</v>
      </c>
      <c r="AD71" s="27" t="s">
        <v>9</v>
      </c>
      <c r="AF71" s="28">
        <f t="shared" si="40"/>
        <v>86.183499120789776</v>
      </c>
      <c r="AG71" s="29">
        <f t="shared" si="40"/>
        <v>89.218954313508746</v>
      </c>
      <c r="AH71" s="30">
        <f t="shared" si="36"/>
        <v>-3.4022537207201595E-2</v>
      </c>
      <c r="AI71" s="18"/>
      <c r="AJ71" s="18"/>
      <c r="AK71" s="28">
        <f t="shared" si="41"/>
        <v>43.235336227121344</v>
      </c>
      <c r="AL71" s="29">
        <f t="shared" si="41"/>
        <v>41.556885785147649</v>
      </c>
      <c r="AM71" s="30">
        <f t="shared" si="37"/>
        <v>4.0389225762763235E-2</v>
      </c>
      <c r="AQ71" s="27" t="str">
        <f>+IF($B$3="esp","Otros","Other")</f>
        <v>Other</v>
      </c>
      <c r="AS71" s="28">
        <f>+[1]RADIO!K54</f>
        <v>-1.4743282910940287</v>
      </c>
      <c r="AT71" s="29">
        <f>+[1]RADIO!L54</f>
        <v>-1.9218845133437483</v>
      </c>
      <c r="AU71" s="30">
        <f t="shared" si="44"/>
        <v>0.23287362957675786</v>
      </c>
      <c r="AV71" s="18"/>
      <c r="AW71" s="18"/>
      <c r="AX71" s="28">
        <f>+[1]RADIO!P54</f>
        <v>-0.82216325352410102</v>
      </c>
      <c r="AY71" s="29">
        <f>+[1]RADIO!Q54</f>
        <v>-0.91586097520335308</v>
      </c>
      <c r="AZ71" s="30">
        <f t="shared" si="45"/>
        <v>0.10230561648119998</v>
      </c>
      <c r="BI71" s="18"/>
      <c r="BJ71" s="18"/>
    </row>
    <row r="72" spans="4:62" ht="15.75" customHeight="1">
      <c r="D72" s="27" t="str">
        <f>+IF($B$3="esp","España","Spain")</f>
        <v>Spain</v>
      </c>
      <c r="F72" s="28">
        <f>+[1]GRUPO!K72</f>
        <v>171.68382472000067</v>
      </c>
      <c r="G72" s="29">
        <f>+[1]GRUPO!L72</f>
        <v>154.6759768499999</v>
      </c>
      <c r="H72" s="30">
        <f t="shared" si="32"/>
        <v>0.10995791470898207</v>
      </c>
      <c r="K72" s="28">
        <f>+[1]GRUPO!P72</f>
        <v>89.426199130000441</v>
      </c>
      <c r="L72" s="29">
        <f>+[1]GRUPO!Q72</f>
        <v>72.971339319999984</v>
      </c>
      <c r="M72" s="30">
        <f t="shared" si="33"/>
        <v>0.22549757155807759</v>
      </c>
      <c r="Q72" s="27" t="str">
        <f>+IF($B$3="esp","Negocio Internacional","International business")</f>
        <v>International business</v>
      </c>
      <c r="S72" s="28">
        <f>+[1]EDUCACIÓN!K61</f>
        <v>124.76222584780535</v>
      </c>
      <c r="T72" s="29">
        <f>+[1]EDUCACIÓN!L61</f>
        <v>151.28061712245696</v>
      </c>
      <c r="U72" s="30">
        <f t="shared" si="42"/>
        <v>-0.1752927227497082</v>
      </c>
      <c r="X72" s="28">
        <f>+[1]EDUCACIÓN!P61</f>
        <v>60.330058124449963</v>
      </c>
      <c r="Y72" s="29">
        <f>+[1]EDUCACIÓN!Q61</f>
        <v>51.304177984327154</v>
      </c>
      <c r="Z72" s="30">
        <f t="shared" si="43"/>
        <v>0.17592875463047303</v>
      </c>
      <c r="AD72" s="19" t="str">
        <f>+IF($B$3="esp","EBITDA","EBITDA")</f>
        <v>EBITDA</v>
      </c>
      <c r="AE72" s="18"/>
      <c r="AF72" s="20">
        <f>+[1]MEDIA!K80</f>
        <v>-1.5145004597350091</v>
      </c>
      <c r="AG72" s="21">
        <f>+[1]MEDIA!L80</f>
        <v>-18.821808011107301</v>
      </c>
      <c r="AH72" s="22">
        <f t="shared" si="36"/>
        <v>0.91953480458193704</v>
      </c>
      <c r="AK72" s="20">
        <f>+[1]MEDIA!P80</f>
        <v>6.2824252700898215</v>
      </c>
      <c r="AL72" s="21">
        <f>+[1]MEDIA!Q80</f>
        <v>-13.527137988335063</v>
      </c>
      <c r="AM72" s="22" t="str">
        <f t="shared" si="37"/>
        <v>---</v>
      </c>
      <c r="AQ72" s="19" t="str">
        <f>+IF($B$3="esp","Gastos de Explotación","Expenses")</f>
        <v>Expenses</v>
      </c>
      <c r="AR72" s="18"/>
      <c r="AS72" s="20">
        <f>+AS66-AS78</f>
        <v>99.696593582126056</v>
      </c>
      <c r="AT72" s="21">
        <f>+AT66-AT78</f>
        <v>86.591767701984665</v>
      </c>
      <c r="AU72" s="22">
        <f t="shared" si="44"/>
        <v>0.15134032053997473</v>
      </c>
      <c r="AX72" s="20">
        <f>+AX66-AX78</f>
        <v>53.073363793352506</v>
      </c>
      <c r="AY72" s="21">
        <f>+AY66-AY78</f>
        <v>39.909469086128645</v>
      </c>
      <c r="AZ72" s="22">
        <f t="shared" si="45"/>
        <v>0.32984389441049322</v>
      </c>
    </row>
    <row r="73" spans="4:62" ht="15.75" customHeight="1">
      <c r="D73" s="27" t="str">
        <f>+IF($B$3="esp","Internacional","International")</f>
        <v>International</v>
      </c>
      <c r="F73" s="28">
        <f>+[1]GRUPO!K73</f>
        <v>150.64589865939396</v>
      </c>
      <c r="G73" s="29">
        <f>+[1]GRUPO!L73</f>
        <v>178.67196536600372</v>
      </c>
      <c r="H73" s="30">
        <f t="shared" si="32"/>
        <v>-0.15685766174452309</v>
      </c>
      <c r="K73" s="28">
        <f>+[1]GRUPO!P73</f>
        <v>73.074320221180898</v>
      </c>
      <c r="L73" s="29">
        <f>+[1]GRUPO!Q73</f>
        <v>63.245803487446906</v>
      </c>
      <c r="M73" s="30">
        <f t="shared" si="33"/>
        <v>0.15540187952050868</v>
      </c>
      <c r="Q73" s="32" t="str">
        <f>+IF($B$3="esp","Brasil","Brazil")</f>
        <v>Brazil</v>
      </c>
      <c r="S73" s="33">
        <f>+[1]EDUCACIÓN!K62</f>
        <v>47.236304858047312</v>
      </c>
      <c r="T73" s="34">
        <f>+[1]EDUCACIÓN!L62</f>
        <v>49.772196108160685</v>
      </c>
      <c r="U73" s="35">
        <f>IF(T73=0,"---",IF(OR(ABS((S73-T73)/ABS(T73))&gt;9,(S73*T73)&lt;0),"---",IF(T73="0","---",((S73-T73)/ABS(T73)))))</f>
        <v>-5.0949956972012864E-2</v>
      </c>
      <c r="X73" s="33">
        <f>+[1]EDUCACIÓN!P62</f>
        <v>21.37044756485448</v>
      </c>
      <c r="Y73" s="34">
        <f>+[1]EDUCACIÓN!Q62</f>
        <v>13.33535343980607</v>
      </c>
      <c r="Z73" s="35">
        <f>IF(Y73=0,"---",IF(OR(ABS((X73-Y73)/ABS(Y73))&gt;9,(X73*Y73)&lt;0),"---",IF(Y73="0","---",((X73-Y73)/ABS(Y73)))))</f>
        <v>0.60254076964046788</v>
      </c>
      <c r="AD73" s="27" t="s">
        <v>8</v>
      </c>
      <c r="AF73" s="28">
        <f>+[1]MEDIA!K81</f>
        <v>-2.3393956402126661</v>
      </c>
      <c r="AG73" s="29">
        <f>+[1]MEDIA!L81</f>
        <v>-5.1827484440266032</v>
      </c>
      <c r="AH73" s="30">
        <f t="shared" si="36"/>
        <v>0.54861871737013479</v>
      </c>
      <c r="AK73" s="28">
        <f>+[1]MEDIA!P81</f>
        <v>2.5261907431118966</v>
      </c>
      <c r="AL73" s="29">
        <f>+[1]MEDIA!Q81</f>
        <v>-5.855112174989662</v>
      </c>
      <c r="AM73" s="30" t="str">
        <f t="shared" si="37"/>
        <v>---</v>
      </c>
      <c r="AQ73" s="27" t="str">
        <f>+IF($B$3="esp","España","Spain")</f>
        <v>Spain</v>
      </c>
      <c r="AS73" s="28">
        <f>+AS67-AS79</f>
        <v>75.116220010000006</v>
      </c>
      <c r="AT73" s="29">
        <f>+AT67-AT79</f>
        <v>62.318450669999997</v>
      </c>
      <c r="AU73" s="30">
        <f t="shared" si="44"/>
        <v>0.20536083940483513</v>
      </c>
      <c r="AX73" s="28">
        <f>+AX67-AX79</f>
        <v>40.885507240000045</v>
      </c>
      <c r="AY73" s="29">
        <f>+AY67-AY79</f>
        <v>29.180693980000001</v>
      </c>
      <c r="AZ73" s="30">
        <f t="shared" si="45"/>
        <v>0.40111497238627508</v>
      </c>
    </row>
    <row r="74" spans="4:62" ht="15.75" customHeight="1">
      <c r="D74" s="32" t="str">
        <f>+IF($B$3="esp","Latam","Latam")</f>
        <v>Latam</v>
      </c>
      <c r="F74" s="33">
        <f>+[1]GRUPO!K74</f>
        <v>150.10779708939396</v>
      </c>
      <c r="G74" s="34">
        <f>+[1]GRUPO!L74</f>
        <v>178.03198077600371</v>
      </c>
      <c r="H74" s="35">
        <f t="shared" si="32"/>
        <v>-0.15684925576233072</v>
      </c>
      <c r="K74" s="33">
        <f>+[1]GRUPO!P74</f>
        <v>72.768289311180908</v>
      </c>
      <c r="L74" s="34">
        <f>+[1]GRUPO!Q74</f>
        <v>62.827067577446932</v>
      </c>
      <c r="M74" s="35">
        <f t="shared" si="33"/>
        <v>0.15823150939647837</v>
      </c>
      <c r="Q74" s="32" t="str">
        <f>+IF($B$3="esp","Otros","Other")</f>
        <v>Other</v>
      </c>
      <c r="S74" s="33">
        <f>+[1]EDUCACIÓN!K63</f>
        <v>77.525920989758035</v>
      </c>
      <c r="T74" s="34">
        <f>+[1]EDUCACIÓN!L63</f>
        <v>101.50842101429627</v>
      </c>
      <c r="U74" s="35">
        <f>IF(T74=0,"---",IF(OR(ABS((S74-T74)/ABS(T74))&gt;9,(S74*T74)&lt;0),"---",IF(T74="0","---",((S74-T74)/ABS(T74)))))</f>
        <v>-0.23626118685424716</v>
      </c>
      <c r="X74" s="33">
        <f>+[1]EDUCACIÓN!P63</f>
        <v>38.95961055959549</v>
      </c>
      <c r="Y74" s="34">
        <f>+[1]EDUCACIÓN!Q63</f>
        <v>37.968824544521084</v>
      </c>
      <c r="Z74" s="35">
        <f>IF(Y74=0,"---",IF(OR(ABS((X74-Y74)/ABS(Y74))&gt;9,(X74*Y74)&lt;0),"---",IF(Y74="0","---",((X74-Y74)/ABS(Y74)))))</f>
        <v>2.6094724473564892E-2</v>
      </c>
      <c r="AD74" s="27" t="s">
        <v>9</v>
      </c>
      <c r="AF74" s="28">
        <f>+[1]MEDIA!K84</f>
        <v>0.99818222047776894</v>
      </c>
      <c r="AG74" s="29">
        <f>+[1]MEDIA!L84</f>
        <v>-13.639059567080702</v>
      </c>
      <c r="AH74" s="30" t="str">
        <f t="shared" si="36"/>
        <v>---</v>
      </c>
      <c r="AK74" s="28">
        <f>+[1]MEDIA!P84</f>
        <v>3.9295215669780221</v>
      </c>
      <c r="AL74" s="29">
        <f>+[1]MEDIA!Q84</f>
        <v>-7.67202581334538</v>
      </c>
      <c r="AM74" s="30" t="str">
        <f t="shared" si="37"/>
        <v>---</v>
      </c>
      <c r="AQ74" s="32" t="str">
        <f>+IF($B$3="esp","España sin SSCC","Spain ex HQ")</f>
        <v>Spain ex HQ</v>
      </c>
      <c r="AR74" s="11"/>
      <c r="AS74" s="33">
        <f t="shared" ref="AS74:AT75" si="46">+AS68-AS80</f>
        <v>65.949354440000008</v>
      </c>
      <c r="AT74" s="34">
        <f t="shared" si="46"/>
        <v>58.064568150000007</v>
      </c>
      <c r="AU74" s="35">
        <f>IF(AT74=0,"---",IF(OR(ABS((AS74-AT74)/ABS(AT74))&gt;9,(AS74*AT74)&lt;0),"---",IF(AT74="0","---",((AS74-AT74)/ABS(AT74)))))</f>
        <v>0.13579342000152292</v>
      </c>
      <c r="AX74" s="33">
        <f t="shared" ref="AX74:AY75" si="47">+AX68-AX80</f>
        <v>35.619614650000052</v>
      </c>
      <c r="AY74" s="34">
        <f t="shared" si="47"/>
        <v>26.959250690000005</v>
      </c>
      <c r="AZ74" s="35">
        <f>IF(AY74=0,"---",IF(OR(ABS((AX74-AY74)/ABS(AY74))&gt;9,(AX74*AY74)&lt;0),"---",IF(AY74="0","---",((AX74-AY74)/ABS(AY74)))))</f>
        <v>0.32123904553520982</v>
      </c>
    </row>
    <row r="75" spans="4:62" ht="15.75" customHeight="1">
      <c r="D75" s="32" t="str">
        <f>+IF($B$3="esp","Portugal","Portugal")</f>
        <v>Portugal</v>
      </c>
      <c r="F75" s="33">
        <f>+[1]GRUPO!K75</f>
        <v>0.53810156999999992</v>
      </c>
      <c r="G75" s="34">
        <f>+[1]GRUPO!L75</f>
        <v>0.63998459000000829</v>
      </c>
      <c r="H75" s="35">
        <f t="shared" si="32"/>
        <v>-0.15919605189244798</v>
      </c>
      <c r="K75" s="33">
        <f>+[1]GRUPO!P75</f>
        <v>0.30603090999999988</v>
      </c>
      <c r="L75" s="34">
        <f>+[1]GRUPO!Q75</f>
        <v>0.41873591000000721</v>
      </c>
      <c r="M75" s="35">
        <f t="shared" si="33"/>
        <v>-0.2691553251308334</v>
      </c>
      <c r="Q75" s="27" t="str">
        <f>+IF($B$3="esp","Tecnología Educativa global y Centro Corpor.","Global Educational IT &amp; HQ")</f>
        <v>Global Educational IT &amp; HQ</v>
      </c>
      <c r="S75" s="28">
        <f>+[1]EDUCACIÓN!K64</f>
        <v>11.75391213</v>
      </c>
      <c r="T75" s="29">
        <f>+[1]EDUCACIÓN!L64</f>
        <v>11.273407519999994</v>
      </c>
      <c r="U75" s="30">
        <f t="shared" ref="U75:U77" si="48">IF(T75=0,"---",IF(OR(ABS((S75-T75)/ABS(T75))&gt;9,(S75*T75)&lt;0),"---",IF(T75="0","---",((S75-T75)/ABS(T75)))))</f>
        <v>4.2622836897144842E-2</v>
      </c>
      <c r="X75" s="28">
        <f>+[1]EDUCACIÓN!P64</f>
        <v>4.6991521500000006</v>
      </c>
      <c r="Y75" s="29">
        <f>+[1]EDUCACIÓN!Q64</f>
        <v>5.0731323299999946</v>
      </c>
      <c r="Z75" s="30">
        <f t="shared" ref="Z75:Z77" si="49">IF(Y75=0,"---",IF(OR(ABS((X75-Y75)/ABS(Y75))&gt;9,(X75*Y75)&lt;0),"---",IF(Y75="0","---",((X75-Y75)/ABS(Y75)))))</f>
        <v>-7.3717805031116621E-2</v>
      </c>
      <c r="AD75" s="40" t="str">
        <f>+IF($B$3="esp","Margen EBITDA ","EBITDA Margin")</f>
        <v>EBITDA Margin</v>
      </c>
      <c r="AE75" s="39"/>
      <c r="AF75" s="41">
        <f>+AF72/AF66</f>
        <v>-8.6048060695357222E-3</v>
      </c>
      <c r="AG75" s="42">
        <f>+AG72/AG66</f>
        <v>-0.12616148598075877</v>
      </c>
      <c r="AH75" s="43">
        <f t="shared" si="36"/>
        <v>0.93179530184950377</v>
      </c>
      <c r="AK75" s="41">
        <f>+AK72/AK66</f>
        <v>6.3802121901384554E-2</v>
      </c>
      <c r="AL75" s="42">
        <f>+AL72/AL66</f>
        <v>-0.2102819652726827</v>
      </c>
      <c r="AM75" s="43" t="str">
        <f t="shared" si="37"/>
        <v>---</v>
      </c>
      <c r="AQ75" s="32" t="str">
        <f>+IF($B$3="esp","Servicios Centrales","HQ")</f>
        <v>HQ</v>
      </c>
      <c r="AR75" s="11"/>
      <c r="AS75" s="33">
        <f t="shared" si="46"/>
        <v>9.1668655700000006</v>
      </c>
      <c r="AT75" s="34">
        <f t="shared" si="46"/>
        <v>4.2538825200000003</v>
      </c>
      <c r="AU75" s="35">
        <f>IF(AT75=0,"---",IF(OR(ABS((AS75-AT75)/ABS(AT75))&gt;9,(AS75*AT75)&lt;0),"---",IF(AT75="0","---",((AS75-AT75)/ABS(AT75)))))</f>
        <v>1.1549409338177961</v>
      </c>
      <c r="AX75" s="33">
        <f t="shared" si="47"/>
        <v>5.26589259</v>
      </c>
      <c r="AY75" s="34">
        <f t="shared" si="47"/>
        <v>2.2214432900000003</v>
      </c>
      <c r="AZ75" s="35">
        <f>IF(AY75=0,"---",IF(OR(ABS((AX75-AY75)/ABS(AY75))&gt;9,(AX75*AY75)&lt;0),"---",IF(AY75="0","---",((AX75-AY75)/ABS(AY75)))))</f>
        <v>1.370482565863745</v>
      </c>
    </row>
    <row r="76" spans="4:62" ht="15.75" customHeight="1">
      <c r="D76" s="19" t="str">
        <f>+IF($B$3="esp","EBITDA","EBITDA")</f>
        <v>EBITDA</v>
      </c>
      <c r="E76" s="18"/>
      <c r="F76" s="20">
        <f>+[1]GRUPO!K76</f>
        <v>7.3641767094567125</v>
      </c>
      <c r="G76" s="21">
        <f>+[1]GRUPO!L76</f>
        <v>19.805832106314533</v>
      </c>
      <c r="H76" s="22">
        <f t="shared" si="32"/>
        <v>-0.62818140283493307</v>
      </c>
      <c r="I76" s="18"/>
      <c r="J76" s="18"/>
      <c r="K76" s="20">
        <f>+[1]GRUPO!P76</f>
        <v>-11.397739683435733</v>
      </c>
      <c r="L76" s="21">
        <f>+[1]GRUPO!Q76</f>
        <v>-44.26244747599457</v>
      </c>
      <c r="M76" s="22">
        <f t="shared" si="33"/>
        <v>0.74249639743447948</v>
      </c>
      <c r="Q76" s="19" t="str">
        <f>+IF($B$3="esp","EBITDA Contable","Reported EBITDA")</f>
        <v>Reported EBITDA</v>
      </c>
      <c r="R76" s="18"/>
      <c r="S76" s="20">
        <f>+[1]EDUCACIÓN!K65</f>
        <v>17.84912286919192</v>
      </c>
      <c r="T76" s="21">
        <f>+[1]EDUCACIÓN!L65</f>
        <v>42.246165727421904</v>
      </c>
      <c r="U76" s="22">
        <f t="shared" si="48"/>
        <v>-0.57749721041296564</v>
      </c>
      <c r="V76" s="18"/>
      <c r="W76" s="18"/>
      <c r="X76" s="20">
        <f>+[1]EDUCACIÓN!P65</f>
        <v>-12.167461083525556</v>
      </c>
      <c r="Y76" s="21">
        <f>+[1]EDUCACIÓN!Q65</f>
        <v>-28.160007777659494</v>
      </c>
      <c r="Z76" s="22">
        <f t="shared" si="49"/>
        <v>0.56791698427091664</v>
      </c>
      <c r="AD76" s="19" t="str">
        <f>+IF($B$3="esp","EBITDA sin indemnizaciones","EBITDA ex severance expenses")</f>
        <v>EBITDA ex severance expenses</v>
      </c>
      <c r="AE76" s="18"/>
      <c r="AF76" s="20">
        <f>+[1]MEDIA!K88</f>
        <v>8.1772208572063079</v>
      </c>
      <c r="AG76" s="21">
        <f>+[1]MEDIA!L88</f>
        <v>-17.137273298492364</v>
      </c>
      <c r="AH76" s="22" t="str">
        <f t="shared" si="36"/>
        <v>---</v>
      </c>
      <c r="AI76" s="18"/>
      <c r="AJ76" s="18"/>
      <c r="AK76" s="20">
        <f>+[1]MEDIA!P88</f>
        <v>13.250508725363499</v>
      </c>
      <c r="AL76" s="21">
        <f>+[1]MEDIA!Q88</f>
        <v>-12.874638118001712</v>
      </c>
      <c r="AM76" s="22" t="str">
        <f t="shared" si="37"/>
        <v>---</v>
      </c>
      <c r="AQ76" s="27" t="str">
        <f>+IF($B$3="esp","Latam","Latam")</f>
        <v>Latam</v>
      </c>
      <c r="AS76" s="28">
        <f>+AS70-AS82</f>
        <v>25.902141739017878</v>
      </c>
      <c r="AT76" s="29">
        <f>+AT70-AT82</f>
        <v>26.536076005328351</v>
      </c>
      <c r="AU76" s="30">
        <f t="shared" ref="AU76:AU79" si="50">IF(AT76=0,"---",IF(OR(ABS((AS76-AT76)/ABS(AT76))&gt;9,(AS76*AT76)&lt;0),"---",IF(AT76="0","---",((AS76-AT76)/ABS(AT76)))))</f>
        <v>-2.3889525572024312E-2</v>
      </c>
      <c r="AV76" s="18"/>
      <c r="AW76" s="18"/>
      <c r="AX76" s="28">
        <f>+AX70-AX82</f>
        <v>12.807763646876355</v>
      </c>
      <c r="AY76" s="29">
        <f>+AY70-AY82</f>
        <v>11.640177071331919</v>
      </c>
      <c r="AZ76" s="30">
        <f t="shared" ref="AZ76:AZ79" si="51">IF(AY76=0,"---",IF(OR(ABS((AX76-AY76)/ABS(AY76))&gt;9,(AX76*AY76)&lt;0),"---",IF(AY76="0","---",((AX76-AY76)/ABS(AY76)))))</f>
        <v>0.10030659915131643</v>
      </c>
      <c r="BI76" s="18"/>
      <c r="BJ76" s="18"/>
    </row>
    <row r="77" spans="4:62" ht="15.75" customHeight="1">
      <c r="D77" s="27" t="str">
        <f>+IF($B$3="esp","España","Spain")</f>
        <v>Spain</v>
      </c>
      <c r="F77" s="28">
        <f>+[1]GRUPO!K77</f>
        <v>-21.687179270000559</v>
      </c>
      <c r="G77" s="29">
        <f>+[1]GRUPO!L77</f>
        <v>-28.514516550000341</v>
      </c>
      <c r="H77" s="30">
        <f t="shared" si="32"/>
        <v>0.23943373783062438</v>
      </c>
      <c r="K77" s="28">
        <f>+[1]GRUPO!P77</f>
        <v>-4.6432410900003518</v>
      </c>
      <c r="L77" s="29">
        <f>+[1]GRUPO!Q77</f>
        <v>-17.782079110000694</v>
      </c>
      <c r="M77" s="30">
        <f t="shared" si="33"/>
        <v>0.73888086644553397</v>
      </c>
      <c r="Q77" s="27" t="str">
        <f>+IF($B$3="esp","Negocio Internacional","International business")</f>
        <v>International business</v>
      </c>
      <c r="S77" s="28">
        <f>+[1]EDUCACIÓN!K66</f>
        <v>26.34562096919192</v>
      </c>
      <c r="T77" s="29">
        <f>+[1]EDUCACIÓN!L66</f>
        <v>52.762393067421897</v>
      </c>
      <c r="U77" s="30">
        <f t="shared" si="48"/>
        <v>-0.50067425987433078</v>
      </c>
      <c r="X77" s="28">
        <f>+[1]EDUCACIÓN!P66</f>
        <v>-9.3930442435255515</v>
      </c>
      <c r="Y77" s="29">
        <f>+[1]EDUCACIÓN!Q66</f>
        <v>-23.562107947659499</v>
      </c>
      <c r="Z77" s="30">
        <f t="shared" si="49"/>
        <v>0.60134957940133738</v>
      </c>
      <c r="AD77" s="27" t="s">
        <v>8</v>
      </c>
      <c r="AF77" s="28">
        <f>+[1]MEDIA!K89</f>
        <v>4.7414666907706557</v>
      </c>
      <c r="AG77" s="29">
        <f>+[1]MEDIA!L89</f>
        <v>-4.8860160727546562</v>
      </c>
      <c r="AH77" s="30" t="str">
        <f t="shared" si="36"/>
        <v>---</v>
      </c>
      <c r="AK77" s="28">
        <f>+[1]MEDIA!P89</f>
        <v>8.4338364813719586</v>
      </c>
      <c r="AL77" s="29">
        <f>+[1]MEDIA!Q89</f>
        <v>-5.7767204646563117</v>
      </c>
      <c r="AM77" s="30" t="str">
        <f t="shared" si="37"/>
        <v>---</v>
      </c>
      <c r="AQ77" s="27" t="str">
        <f>+IF($B$3="esp","Otros","Other")</f>
        <v>Other</v>
      </c>
      <c r="AS77" s="28">
        <f>+AS71-AS83</f>
        <v>-1.3217681668918371</v>
      </c>
      <c r="AT77" s="29">
        <f>+AT71-AT83</f>
        <v>-2.2627589733436824</v>
      </c>
      <c r="AU77" s="30">
        <f t="shared" si="50"/>
        <v>0.41585993803897803</v>
      </c>
      <c r="AX77" s="28">
        <f>+AX71-AX83</f>
        <v>-0.61990709352389239</v>
      </c>
      <c r="AY77" s="29">
        <f>+AY71-AY83</f>
        <v>-0.91140196520327721</v>
      </c>
      <c r="AZ77" s="30">
        <f t="shared" si="51"/>
        <v>0.31983129596870069</v>
      </c>
    </row>
    <row r="78" spans="4:62" ht="15.75" customHeight="1">
      <c r="D78" s="27" t="str">
        <f>+IF($B$3="esp","Internacional","International")</f>
        <v>International</v>
      </c>
      <c r="F78" s="28">
        <f>+[1]GRUPO!K78</f>
        <v>29.051355979457274</v>
      </c>
      <c r="G78" s="29">
        <f>+[1]GRUPO!L78</f>
        <v>48.320348656314877</v>
      </c>
      <c r="H78" s="30">
        <f t="shared" si="32"/>
        <v>-0.39877594455931936</v>
      </c>
      <c r="K78" s="28">
        <f>+[1]GRUPO!P78</f>
        <v>-6.7544985934353825</v>
      </c>
      <c r="L78" s="29">
        <f>+[1]GRUPO!Q78</f>
        <v>-26.480368365993868</v>
      </c>
      <c r="M78" s="30">
        <f t="shared" si="33"/>
        <v>0.74492429636630275</v>
      </c>
      <c r="Q78" s="32" t="str">
        <f>+IF($B$3="esp","Brasil","Brazil")</f>
        <v>Brazil</v>
      </c>
      <c r="S78" s="33">
        <f>+[1]EDUCACIÓN!K67</f>
        <v>1.338497431079255</v>
      </c>
      <c r="T78" s="34">
        <f>+[1]EDUCACIÓN!L67</f>
        <v>20.607712153461435</v>
      </c>
      <c r="U78" s="35">
        <f>IF(T78=0,"---",IF(OR(ABS((S78-T78)/ABS(T78))&gt;9,(S78*T78)&lt;0),"---",IF(T78="0","---",((S78-T78)/ABS(T78)))))</f>
        <v>-0.93504871277744295</v>
      </c>
      <c r="X78" s="33">
        <f>+[1]EDUCACIÓN!P67</f>
        <v>-4.6195441644838695</v>
      </c>
      <c r="Y78" s="34">
        <f>+[1]EDUCACIÓN!Q67</f>
        <v>-11.348916204329043</v>
      </c>
      <c r="Z78" s="35">
        <f>IF(Y78=0,"---",IF(OR(ABS((X78-Y78)/ABS(Y78))&gt;9,(X78*Y78)&lt;0),"---",IF(Y78="0","---",((X78-Y78)/ABS(Y78)))))</f>
        <v>0.59295283520361663</v>
      </c>
      <c r="AD78" s="27" t="s">
        <v>9</v>
      </c>
      <c r="AF78" s="28">
        <f>+[1]MEDIA!K92</f>
        <v>3.8664349964357663</v>
      </c>
      <c r="AG78" s="29">
        <f>+[1]MEDIA!L92</f>
        <v>-12.251257225737712</v>
      </c>
      <c r="AH78" s="30" t="str">
        <f t="shared" si="36"/>
        <v>---</v>
      </c>
      <c r="AK78" s="28">
        <f>+[1]MEDIA!P92</f>
        <v>4.9977093039916411</v>
      </c>
      <c r="AL78" s="29">
        <f>+[1]MEDIA!Q92</f>
        <v>-7.0979176533453803</v>
      </c>
      <c r="AM78" s="30" t="str">
        <f t="shared" si="37"/>
        <v>---</v>
      </c>
      <c r="AQ78" s="19" t="str">
        <f>+IF($B$3="esp","EBITDA","EBITDA")</f>
        <v>EBITDA</v>
      </c>
      <c r="AR78" s="18"/>
      <c r="AS78" s="20">
        <f>+[1]RADIO!K61</f>
        <v>-2.3393956402126661</v>
      </c>
      <c r="AT78" s="21">
        <f>+[1]RADIO!L61</f>
        <v>-5.1827484440266032</v>
      </c>
      <c r="AU78" s="22">
        <f t="shared" si="50"/>
        <v>0.54861871737013479</v>
      </c>
      <c r="AX78" s="20">
        <f>+[1]RADIO!P61</f>
        <v>2.5261907431118966</v>
      </c>
      <c r="AY78" s="21">
        <f>+[1]RADIO!Q61</f>
        <v>-5.855112174989662</v>
      </c>
      <c r="AZ78" s="22" t="str">
        <f t="shared" si="51"/>
        <v>---</v>
      </c>
    </row>
    <row r="79" spans="4:62" ht="15.75" customHeight="1">
      <c r="D79" s="32" t="str">
        <f>+IF($B$3="esp","Latam","Latam")</f>
        <v>Latam</v>
      </c>
      <c r="F79" s="33">
        <f>+[1]GRUPO!K79</f>
        <v>29.364783549457272</v>
      </c>
      <c r="G79" s="34">
        <f>+[1]GRUPO!L79</f>
        <v>48.164257246314882</v>
      </c>
      <c r="H79" s="35">
        <f t="shared" si="32"/>
        <v>-0.39032001678580824</v>
      </c>
      <c r="K79" s="33">
        <f>+[1]GRUPO!P79</f>
        <v>-6.6640116834353762</v>
      </c>
      <c r="L79" s="34">
        <f>+[1]GRUPO!Q79</f>
        <v>-26.846943455993873</v>
      </c>
      <c r="M79" s="35">
        <f t="shared" si="33"/>
        <v>0.75177763925496099</v>
      </c>
      <c r="Q79" s="32" t="str">
        <f>+IF($B$3="esp","Otros","Other")</f>
        <v>Other</v>
      </c>
      <c r="S79" s="33">
        <f>+[1]EDUCACIÓN!K68</f>
        <v>25.007123538112666</v>
      </c>
      <c r="T79" s="34">
        <f>+[1]EDUCACIÓN!L68</f>
        <v>32.154680913960462</v>
      </c>
      <c r="U79" s="35">
        <f>IF(T79=0,"---",IF(OR(ABS((S79-T79)/ABS(T79))&gt;9,(S79*T79)&lt;0),"---",IF(T79="0","---",((S79-T79)/ABS(T79)))))</f>
        <v>-0.2222866833906155</v>
      </c>
      <c r="X79" s="33">
        <f>+[1]EDUCACIÓN!P68</f>
        <v>-4.7735000790416819</v>
      </c>
      <c r="Y79" s="34">
        <f>+[1]EDUCACIÓN!Q68</f>
        <v>-12.213191743330455</v>
      </c>
      <c r="Z79" s="35">
        <f>IF(Y79=0,"---",IF(OR(ABS((X79-Y79)/ABS(Y79))&gt;9,(X79*Y79)&lt;0),"---",IF(Y79="0","---",((X79-Y79)/ABS(Y79)))))</f>
        <v>0.60915212179089395</v>
      </c>
      <c r="AD79" s="40" t="str">
        <f>+IF($B$3="esp","Margen EBITDA sin indemnizaciones ","EBITDA ex severance expenses Margin")</f>
        <v>EBITDA ex severance expenses Margin</v>
      </c>
      <c r="AE79" s="39"/>
      <c r="AF79" s="41">
        <f>+AF76/AF66</f>
        <v>4.6459807398364444E-2</v>
      </c>
      <c r="AG79" s="42">
        <f>+AG76/AG66</f>
        <v>-0.11487014763514103</v>
      </c>
      <c r="AH79" s="43" t="str">
        <f t="shared" si="36"/>
        <v>---</v>
      </c>
      <c r="AK79" s="41">
        <f>+AK76/AK66</f>
        <v>0.1345675494105662</v>
      </c>
      <c r="AL79" s="42">
        <f>+AL76/AL66</f>
        <v>-0.20013872912086789</v>
      </c>
      <c r="AM79" s="43" t="str">
        <f t="shared" si="37"/>
        <v>---</v>
      </c>
      <c r="AQ79" s="27" t="str">
        <f>+IF($B$3="esp","España","Spain")</f>
        <v>Spain</v>
      </c>
      <c r="AS79" s="28">
        <f>+[1]RADIO!K62</f>
        <v>-2.5304449700000076</v>
      </c>
      <c r="AT79" s="29">
        <f>+[1]RADIO!L62</f>
        <v>-1.4656421500000092</v>
      </c>
      <c r="AU79" s="30">
        <f t="shared" si="50"/>
        <v>-0.7265094143205364</v>
      </c>
      <c r="AX79" s="28">
        <f>+[1]RADIO!P62</f>
        <v>0.98629062999995787</v>
      </c>
      <c r="AY79" s="29">
        <f>+[1]RADIO!Q62</f>
        <v>-2.8418789700000318</v>
      </c>
      <c r="AZ79" s="30" t="str">
        <f t="shared" si="51"/>
        <v>---</v>
      </c>
    </row>
    <row r="80" spans="4:62" ht="15.75" customHeight="1">
      <c r="D80" s="32" t="str">
        <f>+IF($B$3="esp","Portugal","Portugal")</f>
        <v>Portugal</v>
      </c>
      <c r="F80" s="33">
        <f>+[1]GRUPO!K80</f>
        <v>-0.31342756999999993</v>
      </c>
      <c r="G80" s="34">
        <f>+[1]GRUPO!L80</f>
        <v>0.1560914099999918</v>
      </c>
      <c r="H80" s="35" t="str">
        <f t="shared" si="32"/>
        <v>---</v>
      </c>
      <c r="K80" s="33">
        <f>+[1]GRUPO!P80</f>
        <v>-9.0486909999999893E-2</v>
      </c>
      <c r="L80" s="34">
        <f>+[1]GRUPO!Q80</f>
        <v>0.36657508999999255</v>
      </c>
      <c r="M80" s="35" t="str">
        <f t="shared" si="33"/>
        <v>---</v>
      </c>
      <c r="Q80" s="27" t="str">
        <f>+IF($B$3="esp","Tecnología Educativa global y Centro Corpor.","Global Educational IT &amp; HQ")</f>
        <v>Global Educational IT &amp; HQ</v>
      </c>
      <c r="S80" s="28">
        <f>+[1]EDUCACIÓN!K69</f>
        <v>-8.4964980999999984</v>
      </c>
      <c r="T80" s="29">
        <f>+[1]EDUCACIÓN!L69</f>
        <v>-10.516227339999995</v>
      </c>
      <c r="U80" s="30">
        <f t="shared" ref="U80:U83" si="52">IF(T80=0,"---",IF(OR(ABS((S80-T80)/ABS(T80))&gt;9,(S80*T80)&lt;0),"---",IF(T80="0","---",((S80-T80)/ABS(T80)))))</f>
        <v>0.19205834703835886</v>
      </c>
      <c r="X80" s="28">
        <f>+[1]EDUCACIÓN!P69</f>
        <v>-2.7744168399999998</v>
      </c>
      <c r="Y80" s="29">
        <f>+[1]EDUCACIÓN!Q69</f>
        <v>-4.5978998299999949</v>
      </c>
      <c r="Z80" s="30">
        <f t="shared" ref="Z80:Z83" si="53">IF(Y80=0,"---",IF(OR(ABS((X80-Y80)/ABS(Y80))&gt;9,(X80*Y80)&lt;0),"---",IF(Y80="0","---",((X80-Y80)/ABS(Y80)))))</f>
        <v>0.39659041245359128</v>
      </c>
      <c r="AD80" s="19" t="str">
        <f>+IF($B$3="esp","EBIT","EBIT")</f>
        <v>EBIT</v>
      </c>
      <c r="AE80" s="18"/>
      <c r="AF80" s="20">
        <f>+[1]MEDIA!K96</f>
        <v>-14.172800279621763</v>
      </c>
      <c r="AG80" s="21">
        <f>+[1]MEDIA!L96</f>
        <v>-53.993538359779912</v>
      </c>
      <c r="AH80" s="22">
        <f t="shared" si="36"/>
        <v>0.73750932592743057</v>
      </c>
      <c r="AK80" s="20">
        <f>+[1]MEDIA!P96</f>
        <v>1.4128383874016492E-2</v>
      </c>
      <c r="AL80" s="21">
        <f>+[1]MEDIA!Q96</f>
        <v>-41.491539673252774</v>
      </c>
      <c r="AM80" s="22" t="str">
        <f t="shared" si="37"/>
        <v>---</v>
      </c>
      <c r="AQ80" s="32" t="str">
        <f>+IF($B$3="esp","España sin SSCC","Spain ex HQ")</f>
        <v>Spain ex HQ</v>
      </c>
      <c r="AR80" s="11"/>
      <c r="AS80" s="33">
        <f>+[1]RADIO!K63</f>
        <v>4.5788083799999919</v>
      </c>
      <c r="AT80" s="34">
        <f>+[1]RADIO!L63</f>
        <v>0.55142346999999026</v>
      </c>
      <c r="AU80" s="35">
        <f>IF(AT80=0,"---",IF(OR(ABS((AS80-AT80)/ABS(AT80))&gt;9,(AS80*AT80)&lt;0),"---",IF(AT80="0","---",((AS80-AT80)/ABS(AT80)))))</f>
        <v>7.3036153321513018</v>
      </c>
      <c r="AX80" s="33">
        <f>+[1]RADIO!P63</f>
        <v>5.2481292499999581</v>
      </c>
      <c r="AY80" s="34">
        <f>+[1]RADIO!Q63</f>
        <v>-1.7575275100000325</v>
      </c>
      <c r="AZ80" s="35" t="str">
        <f>IF(AY80=0,"---",IF(OR(ABS((AX80-AY80)/ABS(AY80))&gt;9,(AX80*AY80)&lt;0),"---",IF(AY80="0","---",((AX80-AY80)/ABS(AY80)))))</f>
        <v>---</v>
      </c>
    </row>
    <row r="81" spans="4:62" ht="15.75" customHeight="1">
      <c r="D81" s="40" t="str">
        <f>+IF($B$3="esp","Margen EBITDA ","EBITDA Margin")</f>
        <v>EBITDA Margin</v>
      </c>
      <c r="E81" s="39"/>
      <c r="F81" s="41">
        <f>+F76/F66</f>
        <v>2.2336405700779095E-2</v>
      </c>
      <c r="G81" s="42">
        <f>+G76/G66</f>
        <v>5.6082742268069453E-2</v>
      </c>
      <c r="H81" s="43">
        <f t="shared" si="32"/>
        <v>-0.60172408128665522</v>
      </c>
      <c r="I81" s="39"/>
      <c r="J81" s="39"/>
      <c r="K81" s="41">
        <f>+K76/K66</f>
        <v>-7.5430377313361177E-2</v>
      </c>
      <c r="L81" s="42">
        <f>+L76/L66</f>
        <v>-0.48135059679606124</v>
      </c>
      <c r="M81" s="43">
        <f t="shared" si="33"/>
        <v>0.84329431018588819</v>
      </c>
      <c r="Q81" s="40" t="str">
        <f>+IF($B$3="esp","Margen EBITDA ","EBITDA Margin")</f>
        <v>EBITDA Margin</v>
      </c>
      <c r="R81" s="39"/>
      <c r="S81" s="41">
        <f>+S76/S66</f>
        <v>0.11562914331407437</v>
      </c>
      <c r="T81" s="42">
        <f>+T76/T66</f>
        <v>0.20627991434540818</v>
      </c>
      <c r="U81" s="43">
        <f t="shared" si="52"/>
        <v>-0.43945515160309023</v>
      </c>
      <c r="V81" s="39"/>
      <c r="W81" s="39"/>
      <c r="X81" s="41">
        <f>+X76/X66</f>
        <v>-0.230175150647768</v>
      </c>
      <c r="Y81" s="42">
        <f>+Y76/Y66</f>
        <v>-0.99796951679085155</v>
      </c>
      <c r="Z81" s="43">
        <f t="shared" si="53"/>
        <v>0.76935653166247286</v>
      </c>
      <c r="AD81" s="27" t="s">
        <v>8</v>
      </c>
      <c r="AF81" s="28">
        <f>+[1]MEDIA!K97</f>
        <v>-10.124402803545532</v>
      </c>
      <c r="AG81" s="29">
        <f>+[1]MEDIA!L97</f>
        <v>-33.808912967646762</v>
      </c>
      <c r="AH81" s="30">
        <f t="shared" si="36"/>
        <v>0.70054042218884649</v>
      </c>
      <c r="AI81" s="39"/>
      <c r="AJ81" s="39"/>
      <c r="AK81" s="28">
        <f>+[1]MEDIA!P97</f>
        <v>-1.2690805401897194</v>
      </c>
      <c r="AL81" s="29">
        <f>+[1]MEDIA!Q97</f>
        <v>-29.733937840584584</v>
      </c>
      <c r="AM81" s="30">
        <f t="shared" si="37"/>
        <v>0.95731878680201177</v>
      </c>
      <c r="AQ81" s="32" t="str">
        <f>+IF($B$3="esp","Servicios Centrales","HQ")</f>
        <v>HQ</v>
      </c>
      <c r="AR81" s="11"/>
      <c r="AS81" s="33">
        <f>+[1]RADIO!K64</f>
        <v>-7.1092533500000004</v>
      </c>
      <c r="AT81" s="34">
        <f>+[1]RADIO!L64</f>
        <v>-2.0170656199999994</v>
      </c>
      <c r="AU81" s="35">
        <f>IF(AT81=0,"---",IF(OR(ABS((AS81-AT81)/ABS(AT81))&gt;9,(AS81*AT81)&lt;0),"---",IF(AT81="0","---",((AS81-AT81)/ABS(AT81)))))</f>
        <v>-2.5245523395515521</v>
      </c>
      <c r="AV81" s="39"/>
      <c r="AW81" s="39"/>
      <c r="AX81" s="33">
        <f>+[1]RADIO!P64</f>
        <v>-4.2618386200000007</v>
      </c>
      <c r="AY81" s="34">
        <f>+[1]RADIO!Q64</f>
        <v>-1.0843514599999993</v>
      </c>
      <c r="AZ81" s="35">
        <f>IF(AY81=0,"---",IF(OR(ABS((AX81-AY81)/ABS(AY81))&gt;9,(AX81*AY81)&lt;0),"---",IF(AY81="0","---",((AX81-AY81)/ABS(AY81)))))</f>
        <v>-2.9303111373133612</v>
      </c>
      <c r="BI81" s="39"/>
      <c r="BJ81" s="39"/>
    </row>
    <row r="82" spans="4:62" ht="15.75" customHeight="1">
      <c r="D82" s="19" t="str">
        <f>+IF($B$3="esp","EBITDA sin indemnizaciones","EBITDA ex severance expenses")</f>
        <v>EBITDA ex severance expenses</v>
      </c>
      <c r="E82" s="18"/>
      <c r="F82" s="20">
        <f>+[1]GRUPO!K82</f>
        <v>22.879704366155959</v>
      </c>
      <c r="G82" s="21">
        <f>+[1]GRUPO!L82</f>
        <v>23.381537486640795</v>
      </c>
      <c r="H82" s="22">
        <f t="shared" si="32"/>
        <v>-2.1462793914709916E-2</v>
      </c>
      <c r="I82" s="18"/>
      <c r="J82" s="18"/>
      <c r="K82" s="20">
        <f>+[1]GRUPO!P82</f>
        <v>-0.78928231645005908</v>
      </c>
      <c r="L82" s="21">
        <f>+[1]GRUPO!Q82</f>
        <v>-42.865121448289329</v>
      </c>
      <c r="M82" s="22">
        <f t="shared" si="33"/>
        <v>0.98158684054115619</v>
      </c>
      <c r="Q82" s="19" t="str">
        <f>+IF($B$3="esp","EBITDA sin indemnizaciones","EBITDA ex severance expenses")</f>
        <v>EBITDA ex severance expenses</v>
      </c>
      <c r="R82" s="18"/>
      <c r="S82" s="20">
        <f>+[1]EDUCACIÓN!K71</f>
        <v>20.201854978949854</v>
      </c>
      <c r="T82" s="21">
        <f>+[1]EDUCACIÓN!L71</f>
        <v>43.350591255133224</v>
      </c>
      <c r="U82" s="22">
        <f t="shared" si="52"/>
        <v>-0.53398894008031061</v>
      </c>
      <c r="V82" s="18"/>
      <c r="W82" s="18"/>
      <c r="X82" s="20">
        <f>+[1]EDUCACIÓN!P71</f>
        <v>-11.23794809181355</v>
      </c>
      <c r="Y82" s="21">
        <f>+[1]EDUCACIÓN!Q71</f>
        <v>-27.747162910287614</v>
      </c>
      <c r="Z82" s="22">
        <f t="shared" si="53"/>
        <v>0.5949874901391472</v>
      </c>
      <c r="AD82" s="27" t="s">
        <v>9</v>
      </c>
      <c r="AF82" s="28">
        <f>+[1]MEDIA!K100</f>
        <v>-3.8619527160760616</v>
      </c>
      <c r="AG82" s="29">
        <f>+[1]MEDIA!L100</f>
        <v>-20.184625392133121</v>
      </c>
      <c r="AH82" s="30">
        <f t="shared" si="36"/>
        <v>0.8086685959710086</v>
      </c>
      <c r="AI82" s="18"/>
      <c r="AJ82" s="18"/>
      <c r="AK82" s="28">
        <f>+[1]MEDIA!P100</f>
        <v>1.4696536840638781</v>
      </c>
      <c r="AL82" s="29">
        <f>+[1]MEDIA!Q100</f>
        <v>-11.757601832668096</v>
      </c>
      <c r="AM82" s="30" t="str">
        <f t="shared" si="37"/>
        <v>---</v>
      </c>
      <c r="AQ82" s="27" t="str">
        <f>+IF($B$3="esp","Latam","Latam")</f>
        <v>Latam</v>
      </c>
      <c r="AS82" s="28">
        <f>+[1]RADIO!K65</f>
        <v>0.34360945398953319</v>
      </c>
      <c r="AT82" s="29">
        <f>+[1]RADIO!L65</f>
        <v>-4.057980754026528</v>
      </c>
      <c r="AU82" s="30" t="str">
        <f t="shared" ref="AU82:AU86" si="54">IF(AT82=0,"---",IF(OR(ABS((AS82-AT82)/ABS(AT82))&gt;9,(AS82*AT82)&lt;0),"---",IF(AT82="0","---",((AS82-AT82)/ABS(AT82)))))</f>
        <v>---</v>
      </c>
      <c r="AV82" s="18"/>
      <c r="AW82" s="18"/>
      <c r="AX82" s="28">
        <f>+[1]RADIO!P65</f>
        <v>1.7421562731121474</v>
      </c>
      <c r="AY82" s="29">
        <f>+[1]RADIO!Q65</f>
        <v>-3.0087741949895546</v>
      </c>
      <c r="AZ82" s="30" t="str">
        <f t="shared" ref="AZ82:AZ86" si="55">IF(AY82=0,"---",IF(OR(ABS((AX82-AY82)/ABS(AY82))&gt;9,(AX82*AY82)&lt;0),"---",IF(AY82="0","---",((AX82-AY82)/ABS(AY82)))))</f>
        <v>---</v>
      </c>
      <c r="BI82" s="18"/>
      <c r="BJ82" s="18"/>
    </row>
    <row r="83" spans="4:62" ht="15.75" customHeight="1">
      <c r="D83" s="27" t="str">
        <f>+IF($B$3="esp","España","Spain")</f>
        <v>Spain</v>
      </c>
      <c r="F83" s="28">
        <f>+[1]GRUPO!K83</f>
        <v>-9.0853515000005611</v>
      </c>
      <c r="G83" s="29">
        <f>+[1]GRUPO!L83</f>
        <v>-26.242758760000346</v>
      </c>
      <c r="H83" s="30">
        <f t="shared" si="32"/>
        <v>0.65379586867793016</v>
      </c>
      <c r="K83" s="28">
        <f>+[1]GRUPO!P83</f>
        <v>4.6712142799996403</v>
      </c>
      <c r="L83" s="29">
        <f>+[1]GRUPO!Q83</f>
        <v>-16.818345350000698</v>
      </c>
      <c r="M83" s="30" t="str">
        <f t="shared" si="33"/>
        <v>---</v>
      </c>
      <c r="Q83" s="27" t="str">
        <f>+IF($B$3="esp","Negocio Internacional","International business")</f>
        <v>International business</v>
      </c>
      <c r="S83" s="28">
        <f>+[1]EDUCACIÓN!K72</f>
        <v>28.95910871894985</v>
      </c>
      <c r="T83" s="29">
        <f>+[1]EDUCACIÓN!L72</f>
        <v>53.866818595133218</v>
      </c>
      <c r="U83" s="30">
        <f t="shared" si="52"/>
        <v>-0.46239429997511938</v>
      </c>
      <c r="X83" s="28">
        <f>+[1]EDUCACIÓN!P72</f>
        <v>-8.2022567518135503</v>
      </c>
      <c r="Y83" s="29">
        <f>+[1]EDUCACIÓN!Q72</f>
        <v>-23.149263080287618</v>
      </c>
      <c r="Z83" s="30">
        <f t="shared" si="53"/>
        <v>0.64567957418920818</v>
      </c>
      <c r="AD83" s="40" t="str">
        <f>+IF($B$3="esp","Margen EBIT ","EBIT Margin")</f>
        <v>EBIT Margin</v>
      </c>
      <c r="AE83" s="39"/>
      <c r="AF83" s="41">
        <f>+AF80/AF66</f>
        <v>-8.0524371639837694E-2</v>
      </c>
      <c r="AG83" s="42">
        <f>+AG80/AG66</f>
        <v>-0.36191555183269475</v>
      </c>
      <c r="AH83" s="43">
        <f t="shared" si="36"/>
        <v>0.77750508030928089</v>
      </c>
      <c r="AK83" s="41">
        <f>+AK80/AK66</f>
        <v>1.4348294352041981E-4</v>
      </c>
      <c r="AL83" s="42">
        <f>+AL80/AL66</f>
        <v>-0.64499397523739976</v>
      </c>
      <c r="AM83" s="43" t="str">
        <f t="shared" si="37"/>
        <v>---</v>
      </c>
      <c r="AQ83" s="27" t="str">
        <f>+IF($B$3="esp","Otros","Other")</f>
        <v>Other</v>
      </c>
      <c r="AS83" s="28">
        <f>+[1]RADIO!K66</f>
        <v>-0.15256012420219173</v>
      </c>
      <c r="AT83" s="29">
        <f>+[1]RADIO!L66</f>
        <v>0.34087445999993404</v>
      </c>
      <c r="AU83" s="30" t="str">
        <f t="shared" si="54"/>
        <v>---</v>
      </c>
      <c r="AX83" s="28">
        <f>+[1]RADIO!P66</f>
        <v>-0.20225616000020868</v>
      </c>
      <c r="AY83" s="29">
        <f>+[1]RADIO!Q66</f>
        <v>-4.4590100000758692E-3</v>
      </c>
      <c r="AZ83" s="30" t="str">
        <f t="shared" si="55"/>
        <v>---</v>
      </c>
    </row>
    <row r="84" spans="4:62" ht="15.75" customHeight="1">
      <c r="D84" s="27" t="str">
        <f>+IF($B$3="esp","Internacional","International")</f>
        <v>International</v>
      </c>
      <c r="F84" s="28">
        <f>+[1]GRUPO!K84</f>
        <v>31.965055866156519</v>
      </c>
      <c r="G84" s="29">
        <f>+[1]GRUPO!L84</f>
        <v>49.624296246641144</v>
      </c>
      <c r="H84" s="30">
        <f t="shared" si="32"/>
        <v>-0.35585875702327774</v>
      </c>
      <c r="K84" s="28">
        <f>+[1]GRUPO!P84</f>
        <v>-5.4604965964497012</v>
      </c>
      <c r="L84" s="29">
        <f>+[1]GRUPO!Q84</f>
        <v>-26.046776098288625</v>
      </c>
      <c r="M84" s="30">
        <f t="shared" si="33"/>
        <v>0.79035806290021138</v>
      </c>
      <c r="Q84" s="32" t="str">
        <f>+IF($B$3="esp","Brasil","Brazil")</f>
        <v>Brazil</v>
      </c>
      <c r="S84" s="33">
        <f>+[1]EDUCACIÓN!K73</f>
        <v>1.3163675276866953</v>
      </c>
      <c r="T84" s="34">
        <f>+[1]EDUCACIÓN!L73</f>
        <v>21.235249662887895</v>
      </c>
      <c r="U84" s="35">
        <f>IF(T84=0,"---",IF(OR(ABS((S84-T84)/ABS(T84))&gt;9,(S84*T84)&lt;0),"---",IF(T84="0","---",((S84-T84)/ABS(T84)))))</f>
        <v>-0.93801026366140339</v>
      </c>
      <c r="X84" s="33">
        <f>+[1]EDUCACIÓN!P73</f>
        <v>-4.9699023060753724</v>
      </c>
      <c r="Y84" s="34">
        <f>+[1]EDUCACIÓN!Q73</f>
        <v>-11.203101349032089</v>
      </c>
      <c r="Z84" s="35">
        <f>IF(Y84=0,"---",IF(OR(ABS((X84-Y84)/ABS(Y84))&gt;9,(X84*Y84)&lt;0),"---",IF(Y84="0","---",((X84-Y84)/ABS(Y84)))))</f>
        <v>0.55638156335122724</v>
      </c>
      <c r="AQ84" s="40" t="str">
        <f>+IF($B$3="esp","Margen EBITDA ","EBITDA Margin")</f>
        <v>EBITDA Margin</v>
      </c>
      <c r="AR84" s="39"/>
      <c r="AS84" s="41">
        <f>+AS78/AS66</f>
        <v>-2.4028995181316015E-2</v>
      </c>
      <c r="AT84" s="42">
        <f>+AT78/AT66</f>
        <v>-6.3663074328462299E-2</v>
      </c>
      <c r="AU84" s="43">
        <f t="shared" si="54"/>
        <v>0.62255993077963556</v>
      </c>
      <c r="AX84" s="41">
        <f>+AX78/AX66</f>
        <v>4.5435449333593496E-2</v>
      </c>
      <c r="AY84" s="42">
        <f>+AY78/AY66</f>
        <v>-0.17193430462562895</v>
      </c>
      <c r="AZ84" s="43" t="str">
        <f t="shared" si="55"/>
        <v>---</v>
      </c>
    </row>
    <row r="85" spans="4:62" ht="15.75" customHeight="1">
      <c r="D85" s="32" t="str">
        <f>+IF($B$3="esp","Latam","Latam")</f>
        <v>Latam</v>
      </c>
      <c r="F85" s="33">
        <f>+[1]GRUPO!K85</f>
        <v>32.268483436156522</v>
      </c>
      <c r="G85" s="34">
        <f>+[1]GRUPO!L85</f>
        <v>49.468204836641149</v>
      </c>
      <c r="H85" s="35">
        <f t="shared" si="32"/>
        <v>-0.34769245128832282</v>
      </c>
      <c r="K85" s="33">
        <f>+[1]GRUPO!P85</f>
        <v>-5.3700096864496984</v>
      </c>
      <c r="L85" s="34">
        <f>+[1]GRUPO!Q85</f>
        <v>-26.413351188288615</v>
      </c>
      <c r="M85" s="35">
        <f t="shared" si="33"/>
        <v>0.79669335980242062</v>
      </c>
      <c r="Q85" s="32" t="str">
        <f>+IF($B$3="esp","Otros","Other")</f>
        <v>Other</v>
      </c>
      <c r="S85" s="33">
        <f>+[1]EDUCACIÓN!K74</f>
        <v>27.642741191263156</v>
      </c>
      <c r="T85" s="34">
        <f>+[1]EDUCACIÓN!L74</f>
        <v>32.631568932245322</v>
      </c>
      <c r="U85" s="35">
        <f>IF(T85=0,"---",IF(OR(ABS((S85-T85)/ABS(T85))&gt;9,(S85*T85)&lt;0),"---",IF(T85="0","---",((S85-T85)/ABS(T85)))))</f>
        <v>-0.15288347769427629</v>
      </c>
      <c r="X85" s="33">
        <f>+[1]EDUCACIÓN!P74</f>
        <v>-3.2323544457381743</v>
      </c>
      <c r="Y85" s="34">
        <f>+[1]EDUCACIÓN!Q74</f>
        <v>-11.946161731255529</v>
      </c>
      <c r="Z85" s="35">
        <f>IF(Y85=0,"---",IF(OR(ABS((X85-Y85)/ABS(Y85))&gt;9,(X85*Y85)&lt;0),"---",IF(Y85="0","---",((X85-Y85)/ABS(Y85)))))</f>
        <v>0.72942318056174038</v>
      </c>
      <c r="AD85" s="32"/>
      <c r="AE85" s="11"/>
      <c r="AF85" s="34"/>
      <c r="AG85" s="34"/>
      <c r="AH85" s="53"/>
      <c r="AK85" s="34"/>
      <c r="AL85" s="34"/>
      <c r="AM85" s="53"/>
      <c r="AQ85" s="19" t="str">
        <f>+IF($B$3="esp","EBITDA sin indemnizaciones","EBITDA ex severance expenses")</f>
        <v>EBITDA ex severance expenses</v>
      </c>
      <c r="AR85" s="18"/>
      <c r="AS85" s="20">
        <f>+[1]RADIO!K68</f>
        <v>4.7414666907706557</v>
      </c>
      <c r="AT85" s="21">
        <f>+[1]RADIO!L68</f>
        <v>-4.8860160727546562</v>
      </c>
      <c r="AU85" s="22" t="str">
        <f t="shared" si="54"/>
        <v>---</v>
      </c>
      <c r="AX85" s="20">
        <f>+[1]RADIO!P68</f>
        <v>8.4338364813719586</v>
      </c>
      <c r="AY85" s="21">
        <f>+[1]RADIO!Q68</f>
        <v>-5.7767204646563117</v>
      </c>
      <c r="AZ85" s="22" t="str">
        <f t="shared" si="55"/>
        <v>---</v>
      </c>
    </row>
    <row r="86" spans="4:62" ht="15.75" customHeight="1">
      <c r="D86" s="32" t="str">
        <f>+IF($B$3="esp","Portugal","Portugal")</f>
        <v>Portugal</v>
      </c>
      <c r="F86" s="33">
        <f>+[1]GRUPO!K86</f>
        <v>-0.30342756999999992</v>
      </c>
      <c r="G86" s="34">
        <f>+[1]GRUPO!L86</f>
        <v>0.1560914099999918</v>
      </c>
      <c r="H86" s="35" t="str">
        <f t="shared" si="32"/>
        <v>---</v>
      </c>
      <c r="K86" s="33">
        <f>+[1]GRUPO!P86</f>
        <v>-9.0486909999999893E-2</v>
      </c>
      <c r="L86" s="34">
        <f>+[1]GRUPO!Q86</f>
        <v>0.36657508999999255</v>
      </c>
      <c r="M86" s="35" t="str">
        <f t="shared" si="33"/>
        <v>---</v>
      </c>
      <c r="Q86" s="27" t="str">
        <f>+IF($B$3="esp","Tecnología Educativa global y Centro Corpor.","Global Educational IT &amp; HQ")</f>
        <v>Global Educational IT &amp; HQ</v>
      </c>
      <c r="S86" s="28">
        <f>+[1]EDUCACIÓN!K75</f>
        <v>-8.7572537399999977</v>
      </c>
      <c r="T86" s="29">
        <f>+[1]EDUCACIÓN!L75</f>
        <v>-10.516227339999995</v>
      </c>
      <c r="U86" s="30">
        <f t="shared" ref="U86:U89" si="56">IF(T86=0,"---",IF(OR(ABS((S86-T86)/ABS(T86))&gt;9,(S86*T86)&lt;0),"---",IF(T86="0","---",((S86-T86)/ABS(T86)))))</f>
        <v>0.16726279711636571</v>
      </c>
      <c r="X86" s="28">
        <f>+[1]EDUCACIÓN!P75</f>
        <v>-3.0356913399999987</v>
      </c>
      <c r="Y86" s="29">
        <f>+[1]EDUCACIÓN!Q75</f>
        <v>-4.5978998299999949</v>
      </c>
      <c r="Z86" s="30">
        <f t="shared" ref="Z86:Z89" si="57">IF(Y86=0,"---",IF(OR(ABS((X86-Y86)/ABS(Y86))&gt;9,(X86*Y86)&lt;0),"---",IF(Y86="0","---",((X86-Y86)/ABS(Y86)))))</f>
        <v>0.33976566427285521</v>
      </c>
      <c r="AD86" s="32"/>
      <c r="AE86" s="11"/>
      <c r="AF86" s="34"/>
      <c r="AG86" s="34"/>
      <c r="AH86" s="53"/>
      <c r="AK86" s="34"/>
      <c r="AL86" s="34"/>
      <c r="AM86" s="53"/>
      <c r="AQ86" s="27" t="str">
        <f>+IF($B$3="esp","España","Spain")</f>
        <v>Spain</v>
      </c>
      <c r="AS86" s="28">
        <f>+[1]RADIO!K69</f>
        <v>4.2773922999999918</v>
      </c>
      <c r="AT86" s="29">
        <f>+[1]RADIO!L69</f>
        <v>-1.2498838300000092</v>
      </c>
      <c r="AU86" s="30" t="str">
        <f t="shared" si="54"/>
        <v>---</v>
      </c>
      <c r="AX86" s="28">
        <f>+[1]RADIO!P69</f>
        <v>6.8133018199999569</v>
      </c>
      <c r="AY86" s="29">
        <f>+[1]RADIO!Q69</f>
        <v>-2.7842346600000321</v>
      </c>
      <c r="AZ86" s="30" t="str">
        <f t="shared" si="55"/>
        <v>---</v>
      </c>
    </row>
    <row r="87" spans="4:62" ht="15.75" customHeight="1">
      <c r="D87" s="40" t="str">
        <f>+IF($B$3="esp","Margen EBITDA sin indemnizaciones ","EBITDA ex severance expenses Margin")</f>
        <v>EBITDA ex severance expenses Margin</v>
      </c>
      <c r="E87" s="39"/>
      <c r="F87" s="41">
        <f>+F82/F66</f>
        <v>6.9396808251502254E-2</v>
      </c>
      <c r="G87" s="42">
        <f>+G82/G66</f>
        <v>6.6207808571517104E-2</v>
      </c>
      <c r="H87" s="43">
        <f t="shared" si="32"/>
        <v>4.8166519158241272E-2</v>
      </c>
      <c r="I87" s="39"/>
      <c r="J87" s="39"/>
      <c r="K87" s="41">
        <f>+K82/K66</f>
        <v>-5.2234797942538385E-3</v>
      </c>
      <c r="L87" s="42">
        <f>+L82/L66</f>
        <v>-0.46615478735241561</v>
      </c>
      <c r="M87" s="43">
        <f t="shared" si="33"/>
        <v>0.98879453791749894</v>
      </c>
      <c r="Q87" s="40" t="str">
        <f>+IF($B$3="esp","Margen EBITDA sin indemnizaciones ","EBITDA ex severance expenses Margin")</f>
        <v>EBITDA ex severance expenses Margin</v>
      </c>
      <c r="R87" s="39"/>
      <c r="S87" s="41">
        <f>+S82/S66</f>
        <v>0.13087047479531935</v>
      </c>
      <c r="T87" s="42">
        <f>+T82/T66</f>
        <v>0.21167261210470556</v>
      </c>
      <c r="U87" s="43">
        <f t="shared" si="56"/>
        <v>-0.38173165864942782</v>
      </c>
      <c r="V87" s="39"/>
      <c r="W87" s="39"/>
      <c r="X87" s="41">
        <f>+X82/X66</f>
        <v>-0.21259130210059224</v>
      </c>
      <c r="Y87" s="42">
        <f>+Y82/Y66</f>
        <v>-0.98333860489431579</v>
      </c>
      <c r="Z87" s="43">
        <f t="shared" si="57"/>
        <v>0.78380661448409161</v>
      </c>
      <c r="AI87" s="39"/>
      <c r="AJ87" s="39"/>
      <c r="AQ87" s="32" t="str">
        <f>+IF($B$3="esp","España sin SSCC","Spain ex HQ")</f>
        <v>Spain ex HQ</v>
      </c>
      <c r="AR87" s="11"/>
      <c r="AS87" s="33">
        <f>+[1]RADIO!K70</f>
        <v>9.153270869999993</v>
      </c>
      <c r="AT87" s="34">
        <f>+[1]RADIO!L70</f>
        <v>0.76708943999999035</v>
      </c>
      <c r="AU87" s="35" t="str">
        <f>IF(AT87=0,"---",IF(OR(ABS((AS87-AT87)/ABS(AT87))&gt;9,(AS87*AT87)&lt;0),"---",IF(AT87="0","---",((AS87-AT87)/ABS(AT87)))))</f>
        <v>---</v>
      </c>
      <c r="AV87" s="39"/>
      <c r="AW87" s="39"/>
      <c r="AX87" s="33">
        <f>+[1]RADIO!P70</f>
        <v>8.7509446599999592</v>
      </c>
      <c r="AY87" s="34">
        <f>+[1]RADIO!Q70</f>
        <v>-1.6998832000000321</v>
      </c>
      <c r="AZ87" s="35" t="str">
        <f>IF(AY87=0,"---",IF(OR(ABS((AX87-AY87)/ABS(AY87))&gt;9,(AX87*AY87)&lt;0),"---",IF(AY87="0","---",((AX87-AY87)/ABS(AY87)))))</f>
        <v>---</v>
      </c>
      <c r="BI87" s="39"/>
      <c r="BJ87" s="39"/>
    </row>
    <row r="88" spans="4:62" ht="15.75" customHeight="1">
      <c r="D88" s="19" t="str">
        <f>+IF($B$3="esp","EBIT","EBIT")</f>
        <v>EBIT</v>
      </c>
      <c r="E88" s="18"/>
      <c r="F88" s="20">
        <f>+[1]GRUPO!K88</f>
        <v>-25.893038137026771</v>
      </c>
      <c r="G88" s="21">
        <f>+[1]GRUPO!L88</f>
        <v>-38.077860875869277</v>
      </c>
      <c r="H88" s="22">
        <f t="shared" si="32"/>
        <v>0.31999756442632205</v>
      </c>
      <c r="I88" s="18"/>
      <c r="J88" s="18"/>
      <c r="K88" s="20">
        <f>+[1]GRUPO!P88</f>
        <v>-25.657182360961187</v>
      </c>
      <c r="L88" s="21">
        <f>+[1]GRUPO!Q88</f>
        <v>-79.577377339430967</v>
      </c>
      <c r="M88" s="22">
        <f t="shared" si="33"/>
        <v>0.6775819558425189</v>
      </c>
      <c r="Q88" s="19" t="str">
        <f>+IF($B$3="esp","EBIT Contable","Reported EBIT")</f>
        <v>Reported EBIT</v>
      </c>
      <c r="R88" s="18"/>
      <c r="S88" s="20">
        <f>+[1]EDUCACIÓN!K77</f>
        <v>-2.3047937274044421</v>
      </c>
      <c r="T88" s="21">
        <f>+[1]EDUCACIÓN!L77</f>
        <v>20.182640723910691</v>
      </c>
      <c r="U88" s="22" t="str">
        <f t="shared" si="56"/>
        <v>---</v>
      </c>
      <c r="V88" s="18"/>
      <c r="W88" s="18"/>
      <c r="X88" s="20">
        <f>+[1]EDUCACIÓN!P77</f>
        <v>-19.938329004834845</v>
      </c>
      <c r="Y88" s="21">
        <f>+[1]EDUCACIÓN!Q77</f>
        <v>-35.295746866178135</v>
      </c>
      <c r="Z88" s="22">
        <f t="shared" si="57"/>
        <v>0.43510675435117119</v>
      </c>
      <c r="AI88" s="18"/>
      <c r="AJ88" s="18"/>
      <c r="AQ88" s="32" t="str">
        <f>+IF($B$3="esp","Servicios Centrales","HQ")</f>
        <v>HQ</v>
      </c>
      <c r="AR88" s="11"/>
      <c r="AS88" s="33">
        <f>+[1]RADIO!K71</f>
        <v>-4.8758785700000002</v>
      </c>
      <c r="AT88" s="34">
        <f>+[1]RADIO!L71</f>
        <v>-2.0169732699999994</v>
      </c>
      <c r="AU88" s="35">
        <f>IF(AT88=0,"---",IF(OR(ABS((AS88-AT88)/ABS(AT88))&gt;9,(AS88*AT88)&lt;0),"---",IF(AT88="0","---",((AS88-AT88)/ABS(AT88)))))</f>
        <v>-1.4174234941646013</v>
      </c>
      <c r="AV88" s="18"/>
      <c r="AW88" s="18"/>
      <c r="AX88" s="33">
        <f>+[1]RADIO!P71</f>
        <v>-1.9376428400000014</v>
      </c>
      <c r="AY88" s="34">
        <f>+[1]RADIO!Q71</f>
        <v>-1.0843514599999993</v>
      </c>
      <c r="AZ88" s="35">
        <f>IF(AY88=0,"---",IF(OR(ABS((AX88-AY88)/ABS(AY88))&gt;9,(AX88*AY88)&lt;0),"---",IF(AY88="0","---",((AX88-AY88)/ABS(AY88)))))</f>
        <v>-0.78691403246692981</v>
      </c>
      <c r="BI88" s="18"/>
      <c r="BJ88" s="18"/>
    </row>
    <row r="89" spans="4:62" ht="15.75" customHeight="1">
      <c r="D89" s="27" t="str">
        <f>+IF($B$3="esp","España","Spain")</f>
        <v>Spain</v>
      </c>
      <c r="F89" s="28">
        <f>+[1]GRUPO!K89</f>
        <v>-33.388095170000767</v>
      </c>
      <c r="G89" s="29">
        <f>+[1]GRUPO!L89</f>
        <v>-43.225206240000368</v>
      </c>
      <c r="H89" s="30">
        <f t="shared" si="32"/>
        <v>0.22757811762379498</v>
      </c>
      <c r="K89" s="28">
        <f>+[1]GRUPO!P89</f>
        <v>-10.448778210000604</v>
      </c>
      <c r="L89" s="29">
        <f>+[1]GRUPO!Q89</f>
        <v>-25.795157100000743</v>
      </c>
      <c r="M89" s="30">
        <f t="shared" si="33"/>
        <v>0.59493256158535657</v>
      </c>
      <c r="Q89" s="27" t="str">
        <f>+IF($B$3="esp","Negocio Internacional","International business")</f>
        <v>International business</v>
      </c>
      <c r="S89" s="28">
        <f>+[1]EDUCACIÓN!K78</f>
        <v>7.809182218896817</v>
      </c>
      <c r="T89" s="29">
        <f>+[1]EDUCACIÓN!L78</f>
        <v>32.164350372242069</v>
      </c>
      <c r="U89" s="30">
        <f t="shared" si="56"/>
        <v>-0.75721001268422439</v>
      </c>
      <c r="X89" s="28">
        <f>+[1]EDUCACIÓN!P78</f>
        <v>-16.386706838533584</v>
      </c>
      <c r="Y89" s="29">
        <f>+[1]EDUCACIÓN!Q78</f>
        <v>-30.085966867804302</v>
      </c>
      <c r="Z89" s="30">
        <f t="shared" si="57"/>
        <v>0.4553372038686454</v>
      </c>
      <c r="AQ89" s="27" t="str">
        <f>+IF($B$3="esp","Latam","Latam")</f>
        <v>Latam</v>
      </c>
      <c r="AS89" s="28">
        <f>+[1]RADIO!K72</f>
        <v>0.61663451497285393</v>
      </c>
      <c r="AT89" s="29">
        <f>+[1]RADIO!L72</f>
        <v>-3.977006702754581</v>
      </c>
      <c r="AU89" s="30" t="str">
        <f t="shared" ref="AU89:AU93" si="58">IF(AT89=0,"---",IF(OR(ABS((AS89-AT89)/ABS(AT89))&gt;9,(AS89*AT89)&lt;0),"---",IF(AT89="0","---",((AS89-AT89)/ABS(AT89)))))</f>
        <v>---</v>
      </c>
      <c r="AX89" s="28">
        <f>+[1]RADIO!P72</f>
        <v>1.8227908213722084</v>
      </c>
      <c r="AY89" s="29">
        <f>+[1]RADIO!Q72</f>
        <v>-2.9880267946562045</v>
      </c>
      <c r="AZ89" s="30" t="str">
        <f t="shared" ref="AZ89:AZ93" si="59">IF(AY89=0,"---",IF(OR(ABS((AX89-AY89)/ABS(AY89))&gt;9,(AX89*AY89)&lt;0),"---",IF(AY89="0","---",((AX89-AY89)/ABS(AY89)))))</f>
        <v>---</v>
      </c>
    </row>
    <row r="90" spans="4:62" ht="15.75" customHeight="1">
      <c r="D90" s="27" t="str">
        <f>+IF($B$3="esp","Internacional","International")</f>
        <v>International</v>
      </c>
      <c r="F90" s="28">
        <f>+[1]GRUPO!K90</f>
        <v>7.4950570329739925</v>
      </c>
      <c r="G90" s="29">
        <f>+[1]GRUPO!L90</f>
        <v>5.1473453641310929</v>
      </c>
      <c r="H90" s="30">
        <f t="shared" si="32"/>
        <v>0.45610144701048427</v>
      </c>
      <c r="K90" s="28">
        <f>+[1]GRUPO!P90</f>
        <v>-15.208404150960586</v>
      </c>
      <c r="L90" s="29">
        <f>+[1]GRUPO!Q90</f>
        <v>-53.782220239430231</v>
      </c>
      <c r="M90" s="30">
        <f t="shared" si="33"/>
        <v>0.71722245598535916</v>
      </c>
      <c r="Q90" s="32" t="str">
        <f>+IF($B$3="esp","Brasil","Brazil")</f>
        <v>Brazil</v>
      </c>
      <c r="S90" s="33">
        <f>+[1]EDUCACIÓN!K79</f>
        <v>-5.5137223575747685</v>
      </c>
      <c r="T90" s="34">
        <f>+[1]EDUCACIÓN!L79</f>
        <v>11.780855868000545</v>
      </c>
      <c r="U90" s="35" t="str">
        <f>IF(T90=0,"---",IF(OR(ABS((S90-T90)/ABS(T90))&gt;9,(S90*T90)&lt;0),"---",IF(T90="0","---",((S90-T90)/ABS(T90)))))</f>
        <v>---</v>
      </c>
      <c r="X90" s="33">
        <f>+[1]EDUCACIÓN!P79</f>
        <v>-6.9685371304189241</v>
      </c>
      <c r="Y90" s="34">
        <f>+[1]EDUCACIÓN!Q79</f>
        <v>-13.398037292138183</v>
      </c>
      <c r="Z90" s="35">
        <f>IF(Y90=0,"---",IF(OR(ABS((X90-Y90)/ABS(Y90))&gt;9,(X90*Y90)&lt;0),"---",IF(Y90="0","---",((X90-Y90)/ABS(Y90)))))</f>
        <v>0.47988373382808963</v>
      </c>
      <c r="AD90" s="32"/>
      <c r="AF90" s="34"/>
      <c r="AG90" s="34"/>
      <c r="AH90" s="53"/>
      <c r="AK90" s="34"/>
      <c r="AL90" s="34"/>
      <c r="AM90" s="53"/>
      <c r="AQ90" s="27" t="str">
        <f>+IF($B$3="esp","Otros","Other")</f>
        <v>Other</v>
      </c>
      <c r="AS90" s="28">
        <f>+[1]RADIO!K73</f>
        <v>-0.15256012420219001</v>
      </c>
      <c r="AT90" s="29">
        <f>+[1]RADIO!L73</f>
        <v>0.34087445999993404</v>
      </c>
      <c r="AU90" s="30" t="str">
        <f t="shared" si="58"/>
        <v>---</v>
      </c>
      <c r="AX90" s="28">
        <f>+[1]RADIO!P73</f>
        <v>-0.20225616000020719</v>
      </c>
      <c r="AY90" s="29">
        <f>+[1]RADIO!Q73</f>
        <v>-4.4590100000757582E-3</v>
      </c>
      <c r="AZ90" s="30" t="str">
        <f t="shared" si="59"/>
        <v>---</v>
      </c>
    </row>
    <row r="91" spans="4:62" ht="15.75" customHeight="1">
      <c r="D91" s="32" t="str">
        <f>+IF($B$3="esp","Latam","Latam")</f>
        <v>Latam</v>
      </c>
      <c r="F91" s="33">
        <f>+[1]GRUPO!K91</f>
        <v>7.8167676029739921</v>
      </c>
      <c r="G91" s="34">
        <f>+[1]GRUPO!L91</f>
        <v>4.9995409541311053</v>
      </c>
      <c r="H91" s="35">
        <f t="shared" si="32"/>
        <v>0.56349706396844712</v>
      </c>
      <c r="K91" s="33">
        <f>+[1]GRUPO!P91</f>
        <v>-15.113775240960585</v>
      </c>
      <c r="L91" s="34">
        <f>+[1]GRUPO!Q91</f>
        <v>-54.14465332943022</v>
      </c>
      <c r="M91" s="35">
        <f t="shared" si="33"/>
        <v>0.72086301579946543</v>
      </c>
      <c r="Q91" s="32" t="str">
        <f>+IF($B$3="esp","Otros","Other")</f>
        <v>Other</v>
      </c>
      <c r="S91" s="33">
        <f>+[1]EDUCACIÓN!K80</f>
        <v>13.322904576471586</v>
      </c>
      <c r="T91" s="34">
        <f>+[1]EDUCACIÓN!L80</f>
        <v>20.383494504241526</v>
      </c>
      <c r="U91" s="35">
        <f>IF(T91=0,"---",IF(OR(ABS((S91-T91)/ABS(T91))&gt;9,(S91*T91)&lt;0),"---",IF(T91="0","---",((S91-T91)/ABS(T91)))))</f>
        <v>-0.34638760916587324</v>
      </c>
      <c r="X91" s="33">
        <f>+[1]EDUCACIÓN!P80</f>
        <v>-9.4181697081146609</v>
      </c>
      <c r="Y91" s="34">
        <f>+[1]EDUCACIÓN!Q80</f>
        <v>-16.687929575666118</v>
      </c>
      <c r="Z91" s="35">
        <f>IF(Y91=0,"---",IF(OR(ABS((X91-Y91)/ABS(Y91))&gt;9,(X91*Y91)&lt;0),"---",IF(Y91="0","---",((X91-Y91)/ABS(Y91)))))</f>
        <v>0.43562982661144628</v>
      </c>
      <c r="AD91" s="32"/>
      <c r="AF91" s="34"/>
      <c r="AG91" s="34"/>
      <c r="AH91" s="53"/>
      <c r="AK91" s="34"/>
      <c r="AL91" s="34"/>
      <c r="AM91" s="53"/>
      <c r="AQ91" s="40" t="str">
        <f>+IF($B$3="esp","Margen EBITDA sin indemnizaciones ","EBITDA ex severance expenses Margin")</f>
        <v>EBITDA ex severance expenses Margin</v>
      </c>
      <c r="AR91" s="39"/>
      <c r="AS91" s="41">
        <f>+AS85/AS66</f>
        <v>4.8701757969652905E-2</v>
      </c>
      <c r="AT91" s="42">
        <f>+AT85/AT66</f>
        <v>-6.0018117369434201E-2</v>
      </c>
      <c r="AU91" s="43" t="str">
        <f t="shared" si="58"/>
        <v>---</v>
      </c>
      <c r="AX91" s="41">
        <f>+AX85/AX66</f>
        <v>0.15168892182113999</v>
      </c>
      <c r="AY91" s="42">
        <f>+AY85/AY66</f>
        <v>-0.16963234630241336</v>
      </c>
      <c r="AZ91" s="43" t="str">
        <f t="shared" si="59"/>
        <v>---</v>
      </c>
    </row>
    <row r="92" spans="4:62" ht="15.75" customHeight="1">
      <c r="D92" s="32" t="str">
        <f>+IF($B$3="esp","Portugal","Portugal")</f>
        <v>Portugal</v>
      </c>
      <c r="F92" s="33">
        <f>+[1]GRUPO!K92</f>
        <v>-0.32171056999999997</v>
      </c>
      <c r="G92" s="34">
        <f>+[1]GRUPO!L92</f>
        <v>0.14780440999998695</v>
      </c>
      <c r="H92" s="35" t="str">
        <f t="shared" si="32"/>
        <v>---</v>
      </c>
      <c r="K92" s="33">
        <f>+[1]GRUPO!P92</f>
        <v>-9.4628909999999983E-2</v>
      </c>
      <c r="L92" s="34">
        <f>+[1]GRUPO!Q92</f>
        <v>0.36243308999999002</v>
      </c>
      <c r="M92" s="35" t="str">
        <f t="shared" si="33"/>
        <v>---</v>
      </c>
      <c r="Q92" s="27" t="str">
        <f>+IF($B$3="esp","Tecnología Educativa global y Centro Corpor.","Global Educational IT &amp; HQ")</f>
        <v>Global Educational IT &amp; HQ</v>
      </c>
      <c r="S92" s="28">
        <f>+[1]EDUCACIÓN!K81</f>
        <v>-10.11397594630126</v>
      </c>
      <c r="T92" s="29">
        <f>+[1]EDUCACIÓN!L81</f>
        <v>-11.981709648331377</v>
      </c>
      <c r="U92" s="30">
        <f t="shared" ref="U92:U93" si="60">IF(T92=0,"---",IF(OR(ABS((S92-T92)/ABS(T92))&gt;9,(S92*T92)&lt;0),"---",IF(T92="0","---",((S92-T92)/ABS(T92)))))</f>
        <v>0.15588206999242596</v>
      </c>
      <c r="X92" s="28">
        <f>+[1]EDUCACIÓN!P81</f>
        <v>-3.5516221663012599</v>
      </c>
      <c r="Y92" s="29">
        <f>+[1]EDUCACIÓN!Q81</f>
        <v>-5.2097799983738309</v>
      </c>
      <c r="Z92" s="30">
        <f t="shared" ref="Z92:Z93" si="61">IF(Y92=0,"---",IF(OR(ABS((X92-Y92)/ABS(Y92))&gt;9,(X92*Y92)&lt;0),"---",IF(Y92="0","---",((X92-Y92)/ABS(Y92)))))</f>
        <v>0.31827789898808484</v>
      </c>
      <c r="AQ92" s="19" t="str">
        <f>+IF($B$3="esp","EBIT Contable","Reported EBIT")</f>
        <v>Reported EBIT</v>
      </c>
      <c r="AR92" s="18"/>
      <c r="AS92" s="20">
        <f>+[1]RADIO!K75</f>
        <v>-10.124402803545532</v>
      </c>
      <c r="AT92" s="21">
        <f>+[1]RADIO!L75</f>
        <v>-33.808912967646762</v>
      </c>
      <c r="AU92" s="22">
        <f t="shared" si="58"/>
        <v>0.70054042218884649</v>
      </c>
      <c r="AX92" s="20">
        <f>+[1]RADIO!P75</f>
        <v>-1.2690805401897194</v>
      </c>
      <c r="AY92" s="21">
        <f>+[1]RADIO!Q75</f>
        <v>-29.733937840584584</v>
      </c>
      <c r="AZ92" s="22">
        <f t="shared" si="59"/>
        <v>0.95731878680201177</v>
      </c>
    </row>
    <row r="93" spans="4:62" ht="15.75" customHeight="1">
      <c r="D93" s="40" t="str">
        <f>+IF($B$3="esp","Margen EBIT ","EBIT Margin")</f>
        <v>EBIT Margin</v>
      </c>
      <c r="E93" s="39"/>
      <c r="F93" s="41">
        <f>+F88/F66</f>
        <v>-7.8536600555996594E-2</v>
      </c>
      <c r="G93" s="42">
        <f>+G88/G66</f>
        <v>-0.10782232456367911</v>
      </c>
      <c r="H93" s="43">
        <f t="shared" si="32"/>
        <v>0.27161095001607555</v>
      </c>
      <c r="I93" s="39"/>
      <c r="J93" s="39"/>
      <c r="K93" s="41">
        <f>+K88/K66</f>
        <v>-0.16979953921018412</v>
      </c>
      <c r="L93" s="42">
        <f>+L88/L66</f>
        <v>-0.86539765101273936</v>
      </c>
      <c r="M93" s="43">
        <f t="shared" si="33"/>
        <v>0.80379015472080995</v>
      </c>
      <c r="Q93" s="40" t="str">
        <f>+IF($B$3="esp","Margen EBIT ","EBIT Margin")</f>
        <v>EBIT Margin</v>
      </c>
      <c r="R93" s="39"/>
      <c r="S93" s="41">
        <f>+S88/S66</f>
        <v>-1.4930779857839208E-2</v>
      </c>
      <c r="T93" s="42">
        <f>+T88/T66</f>
        <v>9.8547958805408745E-2</v>
      </c>
      <c r="U93" s="43" t="str">
        <f t="shared" si="60"/>
        <v>---</v>
      </c>
      <c r="V93" s="39"/>
      <c r="W93" s="39"/>
      <c r="X93" s="41">
        <f>+X88/X66</f>
        <v>-0.37717875987838034</v>
      </c>
      <c r="Y93" s="42">
        <f>+Y88/Y66</f>
        <v>-1.2508547484406853</v>
      </c>
      <c r="Z93" s="43">
        <f t="shared" si="61"/>
        <v>0.69846318259688334</v>
      </c>
      <c r="AD93" s="32"/>
      <c r="AF93" s="34"/>
      <c r="AG93" s="34"/>
      <c r="AH93" s="53"/>
      <c r="AI93" s="39"/>
      <c r="AJ93" s="39"/>
      <c r="AK93" s="34"/>
      <c r="AL93" s="34"/>
      <c r="AM93" s="53"/>
      <c r="AQ93" s="27" t="str">
        <f>+IF($B$3="esp","España","Spain")</f>
        <v>Spain</v>
      </c>
      <c r="AS93" s="28">
        <f>+[1]RADIO!K76</f>
        <v>-7.3825766799999943</v>
      </c>
      <c r="AT93" s="29">
        <f>+[1]RADIO!L76</f>
        <v>-7.3570408900000235</v>
      </c>
      <c r="AU93" s="30">
        <f t="shared" si="58"/>
        <v>-3.4709321834380585E-3</v>
      </c>
      <c r="AV93" s="39"/>
      <c r="AW93" s="39"/>
      <c r="AX93" s="28">
        <f>+[1]RADIO!P76</f>
        <v>-1.3681719300000204</v>
      </c>
      <c r="AY93" s="29">
        <f>+[1]RADIO!Q76</f>
        <v>-5.711401920000057</v>
      </c>
      <c r="AZ93" s="30">
        <f t="shared" si="59"/>
        <v>0.7604490194939727</v>
      </c>
      <c r="BI93" s="39"/>
      <c r="BJ93" s="39"/>
    </row>
    <row r="94" spans="4:62">
      <c r="AD94" s="32"/>
      <c r="AF94" s="34"/>
      <c r="AG94" s="34"/>
      <c r="AH94" s="53"/>
      <c r="AK94" s="34"/>
      <c r="AL94" s="34"/>
      <c r="AM94" s="53"/>
      <c r="AQ94" s="32" t="str">
        <f>+IF($B$3="esp","España sin SSCC","Spain ex HQ")</f>
        <v>Spain ex HQ</v>
      </c>
      <c r="AR94" s="11"/>
      <c r="AS94" s="33">
        <f>+[1]RADIO!K77</f>
        <v>0.29073059000000528</v>
      </c>
      <c r="AT94" s="34">
        <f>+[1]RADIO!L77</f>
        <v>-4.6448598300000246</v>
      </c>
      <c r="AU94" s="35" t="str">
        <f>IF(AT94=0,"---",IF(OR(ABS((AS94-AT94)/ABS(AT94))&gt;9,(AS94*AT94)&lt;0),"---",IF(AT94="0","---",((AS94-AT94)/ABS(AT94)))))</f>
        <v>---</v>
      </c>
      <c r="AX94" s="33">
        <f>+[1]RADIO!P77</f>
        <v>3.1661786199999793</v>
      </c>
      <c r="AY94" s="34">
        <f>+[1]RADIO!Q77</f>
        <v>-4.2858304200000577</v>
      </c>
      <c r="AZ94" s="35" t="str">
        <f>IF(AY94=0,"---",IF(OR(ABS((AX94-AY94)/ABS(AY94))&gt;9,(AX94*AY94)&lt;0),"---",IF(AY94="0","---",((AX94-AY94)/ABS(AY94)))))</f>
        <v>---</v>
      </c>
    </row>
    <row r="95" spans="4:62">
      <c r="AQ95" s="32" t="str">
        <f>+IF($B$3="esp","Servicios Centrales","HQ")</f>
        <v>HQ</v>
      </c>
      <c r="AR95" s="11"/>
      <c r="AS95" s="33">
        <f>+[1]RADIO!K78</f>
        <v>-7.6733072700000005</v>
      </c>
      <c r="AT95" s="34">
        <f>+[1]RADIO!L78</f>
        <v>-2.7121810599999989</v>
      </c>
      <c r="AU95" s="35">
        <f>IF(AT95=0,"---",IF(OR(ABS((AS95-AT95)/ABS(AT95))&gt;9,(AS95*AT95)&lt;0),"---",IF(AT95="0","---",((AS95-AT95)/ABS(AT95)))))</f>
        <v>-1.8292017016002624</v>
      </c>
      <c r="AX95" s="33">
        <f>+[1]RADIO!P78</f>
        <v>-4.534350550000001</v>
      </c>
      <c r="AY95" s="34">
        <f>+[1]RADIO!Q78</f>
        <v>-1.4255714999999989</v>
      </c>
      <c r="AZ95" s="35">
        <f>IF(AY95=0,"---",IF(OR(ABS((AX95-AY95)/ABS(AY95))&gt;9,(AX95*AY95)&lt;0),"---",IF(AY95="0","---",((AX95-AY95)/ABS(AY95)))))</f>
        <v>-2.1807247479344283</v>
      </c>
    </row>
    <row r="96" spans="4:62">
      <c r="AQ96" s="27" t="str">
        <f>+IF($B$3="esp","Latam","Latam")</f>
        <v>Latam</v>
      </c>
      <c r="AS96" s="28">
        <f>+[1]RADIO!K79</f>
        <v>-2.5436812435454788</v>
      </c>
      <c r="AT96" s="29">
        <f>+[1]RADIO!L79</f>
        <v>-23.234746537646647</v>
      </c>
      <c r="AU96" s="30">
        <f t="shared" ref="AU96:AU98" si="62">IF(AT96=0,"---",IF(OR(ABS((AS96-AT96)/ABS(AT96))&gt;9,(AS96*AT96)&lt;0),"---",IF(AT96="0","---",((AS96-AT96)/ABS(AT96)))))</f>
        <v>0.8905225310108712</v>
      </c>
      <c r="AX96" s="28">
        <f>+[1]RADIO!P79</f>
        <v>0.34748045981035247</v>
      </c>
      <c r="AY96" s="29">
        <f>+[1]RADIO!Q79</f>
        <v>-20.460076910584505</v>
      </c>
      <c r="AZ96" s="30" t="str">
        <f t="shared" ref="AZ96:AZ98" si="63">IF(AY96=0,"---",IF(OR(ABS((AX96-AY96)/ABS(AY96))&gt;9,(AX96*AY96)&lt;0),"---",IF(AY96="0","---",((AX96-AY96)/ABS(AY96)))))</f>
        <v>---</v>
      </c>
    </row>
    <row r="97" spans="1:62">
      <c r="D97" s="64" t="str">
        <f>+IF($B$3="esp","Resultados por Negocio","Perfomance by Business")</f>
        <v>Perfomance by Business</v>
      </c>
      <c r="E97" s="11"/>
      <c r="F97" s="12" t="str">
        <f>+$F$6</f>
        <v>JANUARY - JUNE</v>
      </c>
      <c r="G97" s="13"/>
      <c r="H97" s="13"/>
      <c r="I97" s="11"/>
      <c r="J97" s="11"/>
      <c r="K97" s="12" t="str">
        <f>+K62</f>
        <v>APRIL - JUNE</v>
      </c>
      <c r="L97" s="13"/>
      <c r="M97" s="13"/>
      <c r="Q97" s="64" t="str">
        <f>+IF($B$3="esp","Resultados por Campaña","Perfomance by Campaign")</f>
        <v>Perfomance by Campaign</v>
      </c>
      <c r="R97" s="11"/>
      <c r="S97" s="12" t="str">
        <f>+$F$6</f>
        <v>JANUARY - JUNE</v>
      </c>
      <c r="T97" s="13"/>
      <c r="U97" s="13"/>
      <c r="V97" s="11"/>
      <c r="W97" s="11"/>
      <c r="X97" s="12" t="str">
        <f>+X62</f>
        <v>APRIL - JUNE</v>
      </c>
      <c r="Y97" s="13"/>
      <c r="Z97" s="13"/>
      <c r="AI97" s="11"/>
      <c r="AJ97" s="11"/>
      <c r="AQ97" s="27" t="str">
        <f>+IF($B$3="esp","Otros","Other")</f>
        <v>Other</v>
      </c>
      <c r="AS97" s="28">
        <f>+[1]RADIO!K80</f>
        <v>-0.19814488000005914</v>
      </c>
      <c r="AT97" s="29">
        <f>+[1]RADIO!L80</f>
        <v>-3.2171255400000938</v>
      </c>
      <c r="AU97" s="30">
        <f t="shared" si="62"/>
        <v>0.93840934165097789</v>
      </c>
      <c r="AV97" s="11"/>
      <c r="AW97" s="11"/>
      <c r="AX97" s="28">
        <f>+[1]RADIO!P80</f>
        <v>-0.2483890700000515</v>
      </c>
      <c r="AY97" s="29">
        <f>+[1]RADIO!Q80</f>
        <v>-3.5624590100000244</v>
      </c>
      <c r="AZ97" s="30">
        <f t="shared" si="63"/>
        <v>0.93027595003821539</v>
      </c>
      <c r="BI97" s="11"/>
      <c r="BJ97" s="11"/>
    </row>
    <row r="98" spans="1:62" ht="14.4">
      <c r="D98" s="65"/>
      <c r="E98" s="11"/>
      <c r="F98" s="11"/>
      <c r="G98" s="11"/>
      <c r="H98" s="11"/>
      <c r="I98" s="11"/>
      <c r="J98" s="11"/>
      <c r="K98" s="11"/>
      <c r="L98" s="11"/>
      <c r="M98" s="11"/>
      <c r="Q98" s="65"/>
      <c r="R98" s="11"/>
      <c r="S98" s="11"/>
      <c r="T98" s="11"/>
      <c r="U98" s="11"/>
      <c r="V98" s="11"/>
      <c r="W98" s="11"/>
      <c r="X98" s="11"/>
      <c r="Y98" s="11"/>
      <c r="Z98" s="11"/>
      <c r="AD98" s="32"/>
      <c r="AF98" s="34"/>
      <c r="AG98" s="34"/>
      <c r="AH98" s="53"/>
      <c r="AI98" s="11"/>
      <c r="AJ98" s="11"/>
      <c r="AK98" s="34"/>
      <c r="AL98" s="34"/>
      <c r="AM98" s="53"/>
      <c r="AQ98" s="40" t="str">
        <f>+IF($B$3="esp","Margen EBIT ","EBIT Margin")</f>
        <v>EBIT Margin</v>
      </c>
      <c r="AR98" s="39"/>
      <c r="AS98" s="41">
        <f>+AS92/AS66</f>
        <v>-0.1039923397300947</v>
      </c>
      <c r="AT98" s="42">
        <f>+AT92/AT66</f>
        <v>-0.41529689555057259</v>
      </c>
      <c r="AU98" s="43">
        <f t="shared" si="62"/>
        <v>0.74959519118911622</v>
      </c>
      <c r="AV98" s="11"/>
      <c r="AW98" s="11"/>
      <c r="AX98" s="41">
        <f>+AX92/AX66</f>
        <v>-2.2825372447137247E-2</v>
      </c>
      <c r="AY98" s="42">
        <f>+AY92/AY66</f>
        <v>-0.87313167939632375</v>
      </c>
      <c r="AZ98" s="43">
        <f t="shared" si="63"/>
        <v>0.97385804113427832</v>
      </c>
      <c r="BI98" s="11"/>
      <c r="BJ98" s="11"/>
    </row>
    <row r="99" spans="1:62">
      <c r="D99" s="14" t="str">
        <f>+IF($B$3="esp","Millones de €","€ Millions")</f>
        <v>€ Millions</v>
      </c>
      <c r="E99" s="11"/>
      <c r="F99" s="15">
        <v>2021</v>
      </c>
      <c r="G99" s="15">
        <v>2020</v>
      </c>
      <c r="H99" s="15" t="str">
        <f>+IF($B$3="esp","Var.","Chg.")</f>
        <v>Chg.</v>
      </c>
      <c r="I99" s="11"/>
      <c r="J99" s="11"/>
      <c r="K99" s="15">
        <v>2021</v>
      </c>
      <c r="L99" s="15">
        <v>2020</v>
      </c>
      <c r="M99" s="15" t="str">
        <f>+IF($B$3="esp","Var.","Chg.")</f>
        <v>Chg.</v>
      </c>
      <c r="Q99" s="14" t="str">
        <f>+IF($B$3="esp","Millones de €","€ Millions")</f>
        <v>€ Millions</v>
      </c>
      <c r="R99" s="11"/>
      <c r="S99" s="15">
        <v>2021</v>
      </c>
      <c r="T99" s="15">
        <v>2020</v>
      </c>
      <c r="U99" s="15" t="str">
        <f>+IF($B$3="esp","Var.","Chg.")</f>
        <v>Chg.</v>
      </c>
      <c r="V99" s="11"/>
      <c r="W99" s="11"/>
      <c r="X99" s="15">
        <v>2021</v>
      </c>
      <c r="Y99" s="15">
        <v>2020</v>
      </c>
      <c r="Z99" s="15" t="str">
        <f>+IF($B$3="esp","Var.","Chg.")</f>
        <v>Chg.</v>
      </c>
      <c r="AD99" s="32"/>
      <c r="AF99" s="34"/>
      <c r="AG99" s="34"/>
      <c r="AH99" s="53"/>
      <c r="AI99" s="11"/>
      <c r="AJ99" s="11"/>
      <c r="AK99" s="34"/>
      <c r="AL99" s="34"/>
      <c r="AM99" s="53"/>
      <c r="AV99" s="11"/>
      <c r="AW99" s="11"/>
      <c r="BI99" s="11"/>
      <c r="BJ99" s="11"/>
    </row>
    <row r="100" spans="1:62">
      <c r="D100" s="16" t="str">
        <f>+IF($B$3="esp","Ingresos de Explotación","Operating Revenues")</f>
        <v>Operating Revenues</v>
      </c>
      <c r="F100" s="17"/>
      <c r="G100" s="17"/>
      <c r="H100" s="17"/>
      <c r="K100" s="17"/>
      <c r="L100" s="17"/>
      <c r="M100" s="17"/>
      <c r="Q100" s="16" t="str">
        <f>+IF($B$3="esp","Ingresos de Explotación","Operating Revenues")</f>
        <v>Operating Revenues</v>
      </c>
      <c r="S100" s="17"/>
      <c r="T100" s="17"/>
      <c r="U100" s="17"/>
      <c r="X100" s="17"/>
      <c r="Y100" s="17"/>
      <c r="Z100" s="17"/>
    </row>
    <row r="101" spans="1:62" ht="15.75" customHeight="1">
      <c r="D101" s="19" t="str">
        <f>+IF($B$3="esp","GRUPO","GROUP")</f>
        <v>GROUP</v>
      </c>
      <c r="E101" s="18"/>
      <c r="F101" s="20">
        <f>+[1]GRUPO!K101</f>
        <v>306.214990084058</v>
      </c>
      <c r="G101" s="21">
        <f>+[1]GRUPO!L101</f>
        <v>353.15377432231816</v>
      </c>
      <c r="H101" s="22">
        <f>IF(G101=0,"---",IF(OR(ABS((F101-G101)/ABS(G101))&gt;9,(F101*G101)&lt;0),"---",IF(G101="0","---",((F101-G101)/ABS(G101)))))</f>
        <v>-0.13291316036005277</v>
      </c>
      <c r="I101" s="18"/>
      <c r="J101" s="18"/>
      <c r="K101" s="20">
        <f>+[1]GRUPO!P101</f>
        <v>147.69840863559327</v>
      </c>
      <c r="L101" s="21">
        <f>+[1]GRUPO!Q101</f>
        <v>91.954695331452342</v>
      </c>
      <c r="M101" s="22">
        <f>IF(L101=0,"---",IF(OR(ABS((K101-L101)/ABS(L101))&gt;9,(K101*L101)&lt;0),"---",IF(L101="0","---",((K101-L101)/ABS(L101)))))</f>
        <v>0.60620844975030053</v>
      </c>
      <c r="Q101" s="19" t="str">
        <f>+IF($B$3="esp","Total Santillana","Santillana Total")</f>
        <v>Santillana Total</v>
      </c>
      <c r="R101" s="18"/>
      <c r="S101" s="20">
        <f>+[1]EDUCACIÓN!K90</f>
        <v>131.73807410550592</v>
      </c>
      <c r="T101" s="21">
        <f>+[1]EDUCACIÓN!L90</f>
        <v>204.80019036987886</v>
      </c>
      <c r="U101" s="22">
        <f>IF(T101=0,"---",IF(OR(ABS((S101-T101)/ABS(T101))&gt;9,(S101*T101)&lt;0),"---",IF(T101="0","---",((S101-T101)/ABS(T101)))))</f>
        <v>-0.35674828296018329</v>
      </c>
      <c r="V101" s="18"/>
      <c r="W101" s="18"/>
      <c r="X101" s="20">
        <f>+[1]EDUCACIÓN!P90</f>
        <v>49.76480190289135</v>
      </c>
      <c r="Y101" s="21">
        <f>+[1]EDUCACIÓN!Q90</f>
        <v>28.21730253666766</v>
      </c>
      <c r="Z101" s="22">
        <f>IF(Y101=0,"---",IF(OR(ABS((X101-Y101)/ABS(Y101))&gt;9,(X101*Y101)&lt;0),"---",IF(Y101="0","---",((X101-Y101)/ABS(Y101)))))</f>
        <v>0.76362718719208778</v>
      </c>
      <c r="AD101" s="32"/>
      <c r="AF101" s="34"/>
      <c r="AG101" s="34"/>
      <c r="AH101" s="53"/>
      <c r="AI101" s="18"/>
      <c r="AJ101" s="18"/>
      <c r="AK101" s="34"/>
      <c r="AL101" s="34"/>
      <c r="AM101" s="53"/>
      <c r="AV101" s="18"/>
      <c r="AW101" s="18"/>
      <c r="BI101" s="18"/>
      <c r="BJ101" s="18"/>
    </row>
    <row r="102" spans="1:62" ht="15.75" customHeight="1">
      <c r="D102" s="27" t="str">
        <f>+IF($B$3="esp","Educación","Education")</f>
        <v>Education</v>
      </c>
      <c r="F102" s="28">
        <f>+[1]GRUPO!K102</f>
        <v>131.73807410550592</v>
      </c>
      <c r="G102" s="29">
        <f>+[1]GRUPO!L102</f>
        <v>204.80019036987886</v>
      </c>
      <c r="H102" s="30">
        <f t="shared" ref="H102:H106" si="64">IF(G102=0,"---",IF(OR(ABS((F102-G102)/ABS(G102))&gt;9,(F102*G102)&lt;0),"---",IF(G102="0","---",((F102-G102)/ABS(G102)))))</f>
        <v>-0.35674828296018329</v>
      </c>
      <c r="K102" s="28">
        <f>+[1]GRUPO!P102</f>
        <v>49.76480190289135</v>
      </c>
      <c r="L102" s="29">
        <f>+[1]GRUPO!Q102</f>
        <v>28.21730253666766</v>
      </c>
      <c r="M102" s="30">
        <f t="shared" ref="M102:M106" si="65">IF(L102=0,"---",IF(OR(ABS((K102-L102)/ABS(L102))&gt;9,(K102*L102)&lt;0),"---",IF(L102="0","---",((K102-L102)/ABS(L102)))))</f>
        <v>0.76362718719208778</v>
      </c>
      <c r="Q102" s="27" t="str">
        <f>+IF($B$3="esp","Campaña Sur","South Campaign")</f>
        <v>South Campaign</v>
      </c>
      <c r="S102" s="28">
        <f>+[1]EDUCACIÓN!K91</f>
        <v>89.763699171938697</v>
      </c>
      <c r="T102" s="29">
        <f>+[1]EDUCACIÓN!L91</f>
        <v>164.3506983123886</v>
      </c>
      <c r="U102" s="30">
        <f t="shared" ref="U102:U108" si="66">IF(T102=0,"---",IF(OR(ABS((S102-T102)/ABS(T102))&gt;9,(S102*T102)&lt;0),"---",IF(T102="0","---",((S102-T102)/ABS(T102)))))</f>
        <v>-0.45382830682397901</v>
      </c>
      <c r="X102" s="28">
        <f>+[1]EDUCACIÓN!P91</f>
        <v>15.684682545229492</v>
      </c>
      <c r="Y102" s="29">
        <f>+[1]EDUCACIÓN!Q91</f>
        <v>2.2707324390386816</v>
      </c>
      <c r="Z102" s="30">
        <f t="shared" ref="Z102:Z108" si="67">IF(Y102=0,"---",IF(OR(ABS((X102-Y102)/ABS(Y102))&gt;9,(X102*Y102)&lt;0),"---",IF(Y102="0","---",((X102-Y102)/ABS(Y102)))))</f>
        <v>5.9073230626280342</v>
      </c>
      <c r="AD102" s="32"/>
      <c r="AF102" s="34"/>
      <c r="AG102" s="34"/>
      <c r="AH102" s="53"/>
      <c r="AK102" s="34"/>
      <c r="AL102" s="34"/>
      <c r="AM102" s="53"/>
    </row>
    <row r="103" spans="1:62" ht="15.75" customHeight="1">
      <c r="D103" s="27" t="str">
        <f>+IF($B$3="esp","Media","Media")</f>
        <v>Media</v>
      </c>
      <c r="F103" s="28">
        <f>+[1]GRUPO!K103</f>
        <v>175.15462103967022</v>
      </c>
      <c r="G103" s="29">
        <f>+[1]GRUPO!L103</f>
        <v>149.18822384493686</v>
      </c>
      <c r="H103" s="30">
        <f t="shared" si="64"/>
        <v>0.17405125234095081</v>
      </c>
      <c r="K103" s="28">
        <f>+[1]GRUPO!P103</f>
        <v>98.159916884460756</v>
      </c>
      <c r="L103" s="29">
        <f>+[1]GRUPO!Q103</f>
        <v>64.328569360638113</v>
      </c>
      <c r="M103" s="30">
        <f t="shared" si="65"/>
        <v>0.5259148129683674</v>
      </c>
      <c r="Q103" s="37" t="str">
        <f>+IF($B$3="esp","Brasil","Brazil")</f>
        <v>Brazil</v>
      </c>
      <c r="S103" s="28">
        <f>+[1]EDUCACIÓN!K92</f>
        <v>35.908146420910917</v>
      </c>
      <c r="T103" s="29">
        <f>+[1]EDUCACIÓN!L92</f>
        <v>70.37990826162212</v>
      </c>
      <c r="U103" s="30">
        <f t="shared" si="66"/>
        <v>-0.48979549266489331</v>
      </c>
      <c r="X103" s="28">
        <f>+[1]EDUCACIÓN!P92</f>
        <v>13.071611226610266</v>
      </c>
      <c r="Y103" s="29">
        <f>+[1]EDUCACIÓN!Q92</f>
        <v>1.9864372354770268</v>
      </c>
      <c r="Z103" s="30">
        <f t="shared" si="67"/>
        <v>5.5804300247479119</v>
      </c>
    </row>
    <row r="104" spans="1:62" ht="15.75" customHeight="1">
      <c r="D104" s="37" t="s">
        <v>8</v>
      </c>
      <c r="F104" s="28">
        <f>+[1]GRUPO!K104</f>
        <v>96.605438902318483</v>
      </c>
      <c r="G104" s="29">
        <f>+[1]GRUPO!L104</f>
        <v>81.409019257958064</v>
      </c>
      <c r="H104" s="30">
        <f t="shared" si="64"/>
        <v>0.18666751894170383</v>
      </c>
      <c r="K104" s="28">
        <f>+[1]GRUPO!P104</f>
        <v>55.328367574104291</v>
      </c>
      <c r="L104" s="29">
        <f>+[1]GRUPO!Q104</f>
        <v>34.054356911138981</v>
      </c>
      <c r="M104" s="30">
        <f t="shared" si="65"/>
        <v>0.6247074557442811</v>
      </c>
      <c r="Q104" s="37" t="str">
        <f>+IF($B$3="esp","Otros países","Other countries")</f>
        <v>Other countries</v>
      </c>
      <c r="S104" s="28">
        <f>+[1]EDUCACIÓN!K93</f>
        <v>53.85555275102778</v>
      </c>
      <c r="T104" s="29">
        <f>+[1]EDUCACIÓN!L93</f>
        <v>93.970790050766482</v>
      </c>
      <c r="U104" s="30">
        <f t="shared" si="66"/>
        <v>-0.42689049733504392</v>
      </c>
      <c r="X104" s="28">
        <f>+[1]EDUCACIÓN!P93</f>
        <v>2.6130713186192267</v>
      </c>
      <c r="Y104" s="29">
        <f>+[1]EDUCACIÓN!Q93</f>
        <v>0.28429520356165483</v>
      </c>
      <c r="Z104" s="30">
        <f t="shared" si="67"/>
        <v>8.1914013528284251</v>
      </c>
    </row>
    <row r="105" spans="1:62" ht="15.75" customHeight="1">
      <c r="D105" s="37" t="s">
        <v>9</v>
      </c>
      <c r="F105" s="28">
        <f>+[1]GRUPO!K105</f>
        <v>87.081717117560501</v>
      </c>
      <c r="G105" s="29">
        <f>+[1]GRUPO!L105</f>
        <v>75.579894746428039</v>
      </c>
      <c r="H105" s="30">
        <f t="shared" si="64"/>
        <v>0.15218097894580684</v>
      </c>
      <c r="K105" s="28">
        <f>+[1]GRUPO!P105</f>
        <v>47.128621012340211</v>
      </c>
      <c r="L105" s="29">
        <f>+[1]GRUPO!Q105</f>
        <v>33.884859971802271</v>
      </c>
      <c r="M105" s="30">
        <f t="shared" si="65"/>
        <v>0.39084597225896489</v>
      </c>
      <c r="Q105" s="27" t="str">
        <f>+IF($B$3="esp","Campaña Norte","North Campaign")</f>
        <v>North Campaign</v>
      </c>
      <c r="S105" s="28">
        <f>+[1]EDUCACIÓN!K94</f>
        <v>38.721048480676416</v>
      </c>
      <c r="T105" s="29">
        <f>+[1]EDUCACIÓN!L94</f>
        <v>39.695816881328959</v>
      </c>
      <c r="U105" s="30">
        <f t="shared" si="66"/>
        <v>-2.4555947634649342E-2</v>
      </c>
      <c r="X105" s="28">
        <f>+[1]EDUCACIÓN!P94</f>
        <v>32.159120918928572</v>
      </c>
      <c r="Y105" s="29">
        <f>+[1]EDUCACIÓN!Q94</f>
        <v>25.460141269627321</v>
      </c>
      <c r="Z105" s="30">
        <f t="shared" si="67"/>
        <v>0.26311635816776868</v>
      </c>
    </row>
    <row r="106" spans="1:62" ht="15.75" customHeight="1">
      <c r="A106" s="63"/>
      <c r="D106" s="27" t="str">
        <f>+IF($B$3="esp","Otros","Other")</f>
        <v>Other</v>
      </c>
      <c r="F106" s="28">
        <f>+[1]GRUPO!K106</f>
        <v>-0.67770506111813233</v>
      </c>
      <c r="G106" s="29">
        <f>+[1]GRUPO!L106</f>
        <v>-0.8346398924975631</v>
      </c>
      <c r="H106" s="30">
        <f t="shared" si="64"/>
        <v>0.18802699558227617</v>
      </c>
      <c r="K106" s="28">
        <f>+[1]GRUPO!P106</f>
        <v>-0.22631015175883817</v>
      </c>
      <c r="L106" s="29">
        <f>+[1]GRUPO!Q106</f>
        <v>-0.5911765658534307</v>
      </c>
      <c r="M106" s="30">
        <f t="shared" si="65"/>
        <v>0.61718686965858716</v>
      </c>
      <c r="Q106" s="37" t="str">
        <f>+IF($B$3="esp","México","Mexico")</f>
        <v>Mexico</v>
      </c>
      <c r="S106" s="28">
        <f>+[1]EDUCACIÓN!K95</f>
        <v>29.871608081160236</v>
      </c>
      <c r="T106" s="29">
        <f>+[1]EDUCACIÓN!L95</f>
        <v>29.639305610686922</v>
      </c>
      <c r="U106" s="30">
        <f t="shared" si="66"/>
        <v>7.8376488816780509E-3</v>
      </c>
      <c r="X106" s="28">
        <f>+[1]EDUCACIÓN!P95</f>
        <v>24.099078868614729</v>
      </c>
      <c r="Y106" s="29">
        <f>+[1]EDUCACIÓN!Q95</f>
        <v>22.193063736037619</v>
      </c>
      <c r="Z106" s="30">
        <f t="shared" si="67"/>
        <v>8.5883371275236681E-2</v>
      </c>
    </row>
    <row r="107" spans="1:62">
      <c r="Q107" s="37" t="str">
        <f>+IF($B$3="esp","Otros países","Other countries")</f>
        <v>Other countries</v>
      </c>
      <c r="S107" s="28">
        <f>+[1]EDUCACIÓN!K96</f>
        <v>8.8494403995161797</v>
      </c>
      <c r="T107" s="29">
        <f>+[1]EDUCACIÓN!L96</f>
        <v>10.056511270642037</v>
      </c>
      <c r="U107" s="30">
        <f t="shared" si="66"/>
        <v>-0.1200287891736032</v>
      </c>
      <c r="X107" s="28">
        <f>+[1]EDUCACIÓN!P96</f>
        <v>8.0600420503138466</v>
      </c>
      <c r="Y107" s="29">
        <f>+[1]EDUCACIÓN!Q96</f>
        <v>3.2670775335897018</v>
      </c>
      <c r="Z107" s="30">
        <f t="shared" si="67"/>
        <v>1.4670495167152873</v>
      </c>
    </row>
    <row r="108" spans="1:62">
      <c r="D108" s="16" t="str">
        <f>+IF($B$3="esp","EBITDA","EBITDA")</f>
        <v>EBITDA</v>
      </c>
      <c r="F108" s="17"/>
      <c r="G108" s="17"/>
      <c r="H108" s="17"/>
      <c r="K108" s="17"/>
      <c r="L108" s="17"/>
      <c r="M108" s="17"/>
      <c r="Q108" s="27" t="str">
        <f>+IF($B$3="esp","Tecnología Educativa global y Centro Corpor.","Global Educational IT &amp; HQ")</f>
        <v>Global Educational IT &amp; HQ</v>
      </c>
      <c r="S108" s="28">
        <f>+[1]EDUCACIÓN!K97</f>
        <v>3.257414030000001</v>
      </c>
      <c r="T108" s="29">
        <f>+[1]EDUCACIÓN!L97</f>
        <v>0.75718017999999965</v>
      </c>
      <c r="U108" s="30">
        <f t="shared" si="66"/>
        <v>3.3020328794131966</v>
      </c>
      <c r="X108" s="28">
        <f>+[1]EDUCACIÓN!P97</f>
        <v>1.9247353100000009</v>
      </c>
      <c r="Y108" s="29">
        <f>+[1]EDUCACIÓN!Q97</f>
        <v>0.47523249999999956</v>
      </c>
      <c r="Z108" s="30">
        <f t="shared" si="67"/>
        <v>3.0500919234269599</v>
      </c>
    </row>
    <row r="109" spans="1:62" ht="15.75" customHeight="1">
      <c r="D109" s="19" t="str">
        <f>+IF($B$3="esp","GRUPO","GROUP")</f>
        <v>GROUP</v>
      </c>
      <c r="E109" s="18"/>
      <c r="F109" s="20">
        <f>+[1]GRUPO!K109</f>
        <v>2.7262869758044044</v>
      </c>
      <c r="G109" s="21">
        <f>+[1]GRUPO!L109</f>
        <v>19.805832106314533</v>
      </c>
      <c r="H109" s="22">
        <f>IF(G109=0,"---",IF(OR(ABS((F109-G109)/ABS(G109))&gt;9,(F109*G109)&lt;0),"---",IF(G109="0","---",((F109-G109)/ABS(G109)))))</f>
        <v>-0.86234928372763464</v>
      </c>
      <c r="I109" s="18"/>
      <c r="J109" s="18"/>
      <c r="K109" s="20">
        <f>+[1]GRUPO!P109</f>
        <v>-9.5798270990358318</v>
      </c>
      <c r="L109" s="21">
        <f>+[1]GRUPO!Q109</f>
        <v>-44.26244747599457</v>
      </c>
      <c r="M109" s="22">
        <f>IF(L109=0,"---",IF(OR(ABS((K109-L109)/ABS(L109))&gt;9,(K109*L109)&lt;0),"---",IF(L109="0","---",((K109-L109)/ABS(L109)))))</f>
        <v>0.78356761441555201</v>
      </c>
      <c r="V109" s="18"/>
      <c r="W109" s="18"/>
      <c r="AI109" s="18"/>
      <c r="AJ109" s="18"/>
      <c r="AV109" s="18"/>
      <c r="AW109" s="18"/>
      <c r="BI109" s="18"/>
      <c r="BJ109" s="18"/>
    </row>
    <row r="110" spans="1:62" ht="15.75" customHeight="1">
      <c r="D110" s="27" t="str">
        <f>+IF($B$3="esp","Educación","Education")</f>
        <v>Education</v>
      </c>
      <c r="F110" s="28">
        <f>+[1]GRUPO!K110</f>
        <v>12.920538632294845</v>
      </c>
      <c r="G110" s="29">
        <f>+[1]GRUPO!L110</f>
        <v>42.246165727421904</v>
      </c>
      <c r="H110" s="30">
        <f t="shared" ref="H110:H114" si="68">IF(G110=0,"---",IF(OR(ABS((F110-G110)/ABS(G110))&gt;9,(F110*G110)&lt;0),"---",IF(G110="0","---",((F110-G110)/ABS(G110)))))</f>
        <v>-0.69416067920435798</v>
      </c>
      <c r="K110" s="28">
        <f>+[1]GRUPO!P110</f>
        <v>-10.318471353568489</v>
      </c>
      <c r="L110" s="29">
        <f>+[1]GRUPO!Q110</f>
        <v>-28.160007777659494</v>
      </c>
      <c r="M110" s="30">
        <f t="shared" ref="M110:M114" si="69">IF(L110=0,"---",IF(OR(ABS((K110-L110)/ABS(L110))&gt;9,(K110*L110)&lt;0),"---",IF(L110="0","---",((K110-L110)/ABS(L110)))))</f>
        <v>0.63357711279630524</v>
      </c>
      <c r="Q110" s="16" t="str">
        <f>+IF($B$3="esp","EBITDA","EBITDA")</f>
        <v>EBITDA</v>
      </c>
      <c r="S110" s="17"/>
      <c r="T110" s="17"/>
      <c r="U110" s="17"/>
      <c r="X110" s="17"/>
      <c r="Y110" s="17"/>
      <c r="Z110" s="17"/>
    </row>
    <row r="111" spans="1:62" ht="15.75" customHeight="1">
      <c r="D111" s="27" t="str">
        <f>+IF($B$3="esp","Media","Media")</f>
        <v>Media</v>
      </c>
      <c r="F111" s="28">
        <f>+[1]GRUPO!K111</f>
        <v>-1.2238059564902413</v>
      </c>
      <c r="G111" s="29">
        <f>+[1]GRUPO!L111</f>
        <v>-18.821808011107301</v>
      </c>
      <c r="H111" s="30">
        <f t="shared" si="68"/>
        <v>0.93497936246252011</v>
      </c>
      <c r="K111" s="28">
        <f>+[1]GRUPO!P111</f>
        <v>6.251348124532659</v>
      </c>
      <c r="L111" s="29">
        <f>+[1]GRUPO!Q111</f>
        <v>-13.527137988335063</v>
      </c>
      <c r="M111" s="30" t="str">
        <f t="shared" si="69"/>
        <v>---</v>
      </c>
      <c r="Q111" s="19" t="str">
        <f>+IF($B$3="esp","Total Santillana","Santillana Total")</f>
        <v>Santillana Total</v>
      </c>
      <c r="R111" s="18"/>
      <c r="S111" s="20">
        <f>+[1]EDUCACIÓN!K100</f>
        <v>12.920538632294845</v>
      </c>
      <c r="T111" s="21">
        <f>+[1]EDUCACIÓN!L100</f>
        <v>42.246165727421904</v>
      </c>
      <c r="U111" s="22">
        <f>IF(T111=0,"---",IF(OR(ABS((S111-T111)/ABS(T111))&gt;9,(S111*T111)&lt;0),"---",IF(T111="0","---",((S111-T111)/ABS(T111)))))</f>
        <v>-0.69416067920435798</v>
      </c>
      <c r="X111" s="20">
        <f>+[1]EDUCACIÓN!P100</f>
        <v>-10.318471353568489</v>
      </c>
      <c r="Y111" s="21">
        <f>+[1]EDUCACIÓN!Q100</f>
        <v>-28.160007777659494</v>
      </c>
      <c r="Z111" s="22">
        <f>IF(Y111=0,"---",IF(OR(ABS((X111-Y111)/ABS(Y111))&gt;9,(X111*Y111)&lt;0),"---",IF(Y111="0","---",((X111-Y111)/ABS(Y111)))))</f>
        <v>0.63357711279630524</v>
      </c>
    </row>
    <row r="112" spans="1:62" ht="15.75" customHeight="1">
      <c r="D112" s="37" t="s">
        <v>8</v>
      </c>
      <c r="F112" s="28">
        <f>+[1]GRUPO!K112</f>
        <v>-1.9177552145363055</v>
      </c>
      <c r="G112" s="29">
        <f>+[1]GRUPO!L112</f>
        <v>-5.1827484440266032</v>
      </c>
      <c r="H112" s="30">
        <f t="shared" si="68"/>
        <v>0.62997331719878824</v>
      </c>
      <c r="K112" s="28">
        <f>+[1]GRUPO!P112</f>
        <v>2.5739971539811677</v>
      </c>
      <c r="L112" s="29">
        <f>+[1]GRUPO!Q112</f>
        <v>-5.855112174989662</v>
      </c>
      <c r="M112" s="30" t="str">
        <f t="shared" si="69"/>
        <v>---</v>
      </c>
      <c r="Q112" s="27" t="str">
        <f>+IF($B$3="esp","Campaña Sur","South Campaign")</f>
        <v>South Campaign</v>
      </c>
      <c r="S112" s="28">
        <f>+[1]EDUCACIÓN!K101</f>
        <v>12.900365107764975</v>
      </c>
      <c r="T112" s="29">
        <f>+[1]EDUCACIÓN!L101</f>
        <v>51.875482560301016</v>
      </c>
      <c r="U112" s="30">
        <f t="shared" ref="U112:U118" si="70">IF(T112=0,"---",IF(OR(ABS((S112-T112)/ABS(T112))&gt;9,(S112*T112)&lt;0),"---",IF(T112="0","---",((S112-T112)/ABS(T112)))))</f>
        <v>-0.75132057629017035</v>
      </c>
      <c r="X112" s="28">
        <f>+[1]EDUCACIÓN!P101</f>
        <v>-19.316518011152311</v>
      </c>
      <c r="Y112" s="29">
        <f>+[1]EDUCACIÓN!Q101</f>
        <v>-34.393903453733039</v>
      </c>
      <c r="Z112" s="30">
        <f t="shared" ref="Z112:Z118" si="71">IF(Y112=0,"---",IF(OR(ABS((X112-Y112)/ABS(Y112))&gt;9,(X112*Y112)&lt;0),"---",IF(Y112="0","---",((X112-Y112)/ABS(Y112)))))</f>
        <v>0.4383737793200167</v>
      </c>
    </row>
    <row r="113" spans="1:62" ht="15.75" customHeight="1">
      <c r="D113" s="37" t="s">
        <v>9</v>
      </c>
      <c r="F113" s="28">
        <f>+[1]GRUPO!K113</f>
        <v>0.8672362980461763</v>
      </c>
      <c r="G113" s="29">
        <f>+[1]GRUPO!L113</f>
        <v>-13.639059567080702</v>
      </c>
      <c r="H113" s="30" t="str">
        <f t="shared" si="68"/>
        <v>---</v>
      </c>
      <c r="K113" s="28">
        <f>+[1]GRUPO!P113</f>
        <v>3.8506380105515889</v>
      </c>
      <c r="L113" s="29">
        <f>+[1]GRUPO!Q113</f>
        <v>-7.67202581334538</v>
      </c>
      <c r="M113" s="30" t="str">
        <f t="shared" si="69"/>
        <v>---</v>
      </c>
      <c r="Q113" s="37" t="str">
        <f>+IF($B$3="esp","Brasil","Brazil")</f>
        <v>Brazil</v>
      </c>
      <c r="S113" s="28">
        <f>+[1]EDUCACIÓN!K102</f>
        <v>-0.90865168353421921</v>
      </c>
      <c r="T113" s="29">
        <f>+[1]EDUCACIÓN!L102</f>
        <v>20.607712153461435</v>
      </c>
      <c r="U113" s="30" t="str">
        <f t="shared" si="70"/>
        <v>---</v>
      </c>
      <c r="X113" s="28">
        <f>+[1]EDUCACIÓN!P102</f>
        <v>-5.15352664189537</v>
      </c>
      <c r="Y113" s="29">
        <f>+[1]EDUCACIÓN!Q102</f>
        <v>-11.348916204329043</v>
      </c>
      <c r="Z113" s="30">
        <f t="shared" si="71"/>
        <v>0.54590142802098074</v>
      </c>
    </row>
    <row r="114" spans="1:62" ht="15.75" customHeight="1">
      <c r="A114" s="63"/>
      <c r="D114" s="27" t="str">
        <f>+IF($B$3="esp","Otros","Other")</f>
        <v>Other</v>
      </c>
      <c r="F114" s="28">
        <f>+[1]GRUPO!K114</f>
        <v>-8.970445700000198</v>
      </c>
      <c r="G114" s="29">
        <f>+[1]GRUPO!L114</f>
        <v>-3.61852561000007</v>
      </c>
      <c r="H114" s="30">
        <f t="shared" si="68"/>
        <v>-1.4790333596671779</v>
      </c>
      <c r="K114" s="28">
        <f>+[1]GRUPO!P114</f>
        <v>-5.5127038700000011</v>
      </c>
      <c r="L114" s="29">
        <f>+[1]GRUPO!Q114</f>
        <v>-2.5753017100000122</v>
      </c>
      <c r="M114" s="30">
        <f t="shared" si="69"/>
        <v>-1.1406050594359194</v>
      </c>
      <c r="Q114" s="37" t="str">
        <f>+IF($B$3="esp","Otros países","Other countries")</f>
        <v>Other countries</v>
      </c>
      <c r="S114" s="28">
        <f>+[1]EDUCACIÓN!K103</f>
        <v>13.809016791299193</v>
      </c>
      <c r="T114" s="29">
        <f>+[1]EDUCACIÓN!L103</f>
        <v>31.267770406839581</v>
      </c>
      <c r="U114" s="30">
        <f t="shared" si="70"/>
        <v>-0.55836260111854419</v>
      </c>
      <c r="X114" s="28">
        <f>+[1]EDUCACIÓN!P103</f>
        <v>-14.162991369256943</v>
      </c>
      <c r="Y114" s="29">
        <f>+[1]EDUCACIÓN!Q103</f>
        <v>-23.044987249403995</v>
      </c>
      <c r="Z114" s="30">
        <f t="shared" si="71"/>
        <v>0.3854198652410521</v>
      </c>
    </row>
    <row r="115" spans="1:62">
      <c r="Q115" s="27" t="str">
        <f>+IF($B$3="esp","Campaña Norte","North Campaign")</f>
        <v>North Campaign</v>
      </c>
      <c r="S115" s="28">
        <f>+[1]EDUCACIÓN!K104</f>
        <v>7.970950123469434</v>
      </c>
      <c r="T115" s="29">
        <f>+[1]EDUCACIÓN!L104</f>
        <v>3.687596651515161</v>
      </c>
      <c r="U115" s="30">
        <f t="shared" si="70"/>
        <v>1.1615569371434176</v>
      </c>
      <c r="X115" s="28">
        <f>+[1]EDUCACIÓN!P104</f>
        <v>11.925469426767682</v>
      </c>
      <c r="Y115" s="29">
        <f>+[1]EDUCACIÓN!Q104</f>
        <v>7.8271133702435298</v>
      </c>
      <c r="Z115" s="30">
        <f t="shared" si="71"/>
        <v>0.52361015647287568</v>
      </c>
    </row>
    <row r="116" spans="1:62">
      <c r="D116" s="16" t="str">
        <f>+IF($B$3="esp","EBITDA sin indemnizaciones","EBITDA ex severance expenses")</f>
        <v>EBITDA ex severance expenses</v>
      </c>
      <c r="F116" s="17"/>
      <c r="G116" s="17"/>
      <c r="H116" s="17"/>
      <c r="K116" s="17"/>
      <c r="L116" s="17"/>
      <c r="M116" s="17"/>
      <c r="Q116" s="37" t="str">
        <f>+IF($B$3="esp","México","Mexico")</f>
        <v>Mexico</v>
      </c>
      <c r="S116" s="28">
        <f>+[1]EDUCACIÓN!K105</f>
        <v>6.0141558223984255</v>
      </c>
      <c r="T116" s="29">
        <f>+[1]EDUCACIÓN!L105</f>
        <v>5.2527257220726407</v>
      </c>
      <c r="U116" s="30">
        <f t="shared" si="70"/>
        <v>0.14495904423986122</v>
      </c>
      <c r="X116" s="28">
        <f>+[1]EDUCACIÓN!P105</f>
        <v>8.1203495427287375</v>
      </c>
      <c r="Y116" s="29">
        <f>+[1]EDUCACIÓN!Q105</f>
        <v>8.9107005911185642</v>
      </c>
      <c r="Z116" s="30">
        <f t="shared" si="71"/>
        <v>-8.8696847156729958E-2</v>
      </c>
    </row>
    <row r="117" spans="1:62" ht="15.75" customHeight="1">
      <c r="D117" s="19" t="str">
        <f>+IF($B$3="esp","GRUPO","GROUP")</f>
        <v>GROUP</v>
      </c>
      <c r="E117" s="18"/>
      <c r="F117" s="20">
        <f>+[1]GRUPO!K117</f>
        <v>17.966641545918876</v>
      </c>
      <c r="G117" s="21">
        <f>+[1]GRUPO!L117</f>
        <v>23.381537486640795</v>
      </c>
      <c r="H117" s="22">
        <f>IF(G117=0,"---",IF(OR(ABS((F117-G117)/ABS(G117))&gt;9,(F117*G117)&lt;0),"---",IF(G117="0","---",((F117-G117)/ABS(G117)))))</f>
        <v>-0.23158853192677162</v>
      </c>
      <c r="I117" s="18"/>
      <c r="J117" s="18"/>
      <c r="K117" s="20">
        <f>+[1]GRUPO!P117</f>
        <v>0.88292938203533566</v>
      </c>
      <c r="L117" s="21">
        <f>+[1]GRUPO!Q117</f>
        <v>-42.865121448289329</v>
      </c>
      <c r="M117" s="22" t="str">
        <f>IF(L117=0,"---",IF(OR(ABS((K117-L117)/ABS(L117))&gt;9,(K117*L117)&lt;0),"---",IF(L117="0","---",((K117-L117)/ABS(L117)))))</f>
        <v>---</v>
      </c>
      <c r="Q117" s="37" t="str">
        <f>+IF($B$3="esp","Otros países","Other countries")</f>
        <v>Other countries</v>
      </c>
      <c r="S117" s="28">
        <f>+[1]EDUCACIÓN!K106</f>
        <v>1.9567943010710085</v>
      </c>
      <c r="T117" s="29">
        <f>+[1]EDUCACIÓN!L106</f>
        <v>-1.5651290705574796</v>
      </c>
      <c r="U117" s="30" t="str">
        <f t="shared" si="70"/>
        <v>---</v>
      </c>
      <c r="V117" s="18"/>
      <c r="W117" s="18"/>
      <c r="X117" s="28">
        <f>+[1]EDUCACIÓN!P106</f>
        <v>3.8051198840389451</v>
      </c>
      <c r="Y117" s="29">
        <f>+[1]EDUCACIÓN!Q106</f>
        <v>-1.0835872208750343</v>
      </c>
      <c r="Z117" s="30" t="str">
        <f t="shared" si="71"/>
        <v>---</v>
      </c>
      <c r="AI117" s="18"/>
      <c r="AJ117" s="18"/>
      <c r="AV117" s="18"/>
      <c r="AW117" s="18"/>
      <c r="BI117" s="18"/>
      <c r="BJ117" s="18"/>
    </row>
    <row r="118" spans="1:62" ht="15.75" customHeight="1">
      <c r="D118" s="27" t="str">
        <f>+IF($B$3="esp","Educación","Education")</f>
        <v>Education</v>
      </c>
      <c r="F118" s="28">
        <f>+[1]GRUPO!K118</f>
        <v>15.00584539737293</v>
      </c>
      <c r="G118" s="29">
        <f>+[1]GRUPO!L118</f>
        <v>43.350591255133224</v>
      </c>
      <c r="H118" s="30">
        <f t="shared" ref="H118:H122" si="72">IF(G118=0,"---",IF(OR(ABS((F118-G118)/ABS(G118))&gt;9,(F118*G118)&lt;0),"---",IF(G118="0","---",((F118-G118)/ABS(G118)))))</f>
        <v>-0.65384911801875234</v>
      </c>
      <c r="K118" s="28">
        <f>+[1]GRUPO!P118</f>
        <v>-9.5344177713742972</v>
      </c>
      <c r="L118" s="29">
        <f>+[1]GRUPO!Q118</f>
        <v>-27.747162910287614</v>
      </c>
      <c r="M118" s="30">
        <f t="shared" ref="M118:M122" si="73">IF(L118=0,"---",IF(OR(ABS((K118-L118)/ABS(L118))&gt;9,(K118*L118)&lt;0),"---",IF(L118="0","---",((K118-L118)/ABS(L118)))))</f>
        <v>0.65638224699941161</v>
      </c>
      <c r="Q118" s="27" t="str">
        <f>+IF($B$3="esp","Tecnología Educativa global y Centro Corpor.","Global Educational IT &amp; HQ")</f>
        <v>Global Educational IT &amp; HQ</v>
      </c>
      <c r="S118" s="28">
        <f>+[1]EDUCACIÓN!K107</f>
        <v>-8.4964980999999984</v>
      </c>
      <c r="T118" s="29">
        <f>+[1]EDUCACIÓN!L107</f>
        <v>-10.516227339999995</v>
      </c>
      <c r="U118" s="30">
        <f t="shared" si="70"/>
        <v>0.19205834703835886</v>
      </c>
      <c r="X118" s="28">
        <f>+[1]EDUCACIÓN!P107</f>
        <v>-2.7744168399999998</v>
      </c>
      <c r="Y118" s="29">
        <f>+[1]EDUCACIÓN!Q107</f>
        <v>-4.5978998299999949</v>
      </c>
      <c r="Z118" s="30">
        <f t="shared" si="71"/>
        <v>0.39659041245359128</v>
      </c>
    </row>
    <row r="119" spans="1:62" ht="15.75" customHeight="1">
      <c r="D119" s="27" t="str">
        <f>+IF($B$3="esp","Media","Media")</f>
        <v>Media</v>
      </c>
      <c r="F119" s="28">
        <f>+[1]GRUPO!K119</f>
        <v>8.4601676185461461</v>
      </c>
      <c r="G119" s="29">
        <f>+[1]GRUPO!L119</f>
        <v>-17.137273298492364</v>
      </c>
      <c r="H119" s="30" t="str">
        <f t="shared" si="72"/>
        <v>---</v>
      </c>
      <c r="K119" s="28">
        <f>+[1]GRUPO!P119</f>
        <v>13.219190103409636</v>
      </c>
      <c r="L119" s="29">
        <f>+[1]GRUPO!Q119</f>
        <v>-12.874638118001712</v>
      </c>
      <c r="M119" s="30" t="str">
        <f t="shared" si="73"/>
        <v>---</v>
      </c>
    </row>
    <row r="120" spans="1:62" ht="15.75" customHeight="1">
      <c r="D120" s="37" t="s">
        <v>8</v>
      </c>
      <c r="F120" s="28">
        <f>+[1]GRUPO!K120</f>
        <v>5.1545418504404443</v>
      </c>
      <c r="G120" s="29">
        <f>+[1]GRUPO!L120</f>
        <v>-4.8860160727546562</v>
      </c>
      <c r="H120" s="30" t="str">
        <f t="shared" si="72"/>
        <v>---</v>
      </c>
      <c r="K120" s="28">
        <f>+[1]GRUPO!P120</f>
        <v>8.480111072342309</v>
      </c>
      <c r="L120" s="29">
        <f>+[1]GRUPO!Q120</f>
        <v>-5.7767204646563117</v>
      </c>
      <c r="M120" s="30" t="str">
        <f t="shared" si="73"/>
        <v>---</v>
      </c>
      <c r="Q120" s="16" t="str">
        <f>+IF($B$3="esp","EBITDA sin indemnizaciones","EBITDA ex severance expenses")</f>
        <v>EBITDA ex severance expenses</v>
      </c>
      <c r="S120" s="17"/>
      <c r="T120" s="17"/>
      <c r="U120" s="17"/>
      <c r="X120" s="17"/>
      <c r="Y120" s="17"/>
      <c r="Z120" s="17"/>
    </row>
    <row r="121" spans="1:62" ht="15.75" customHeight="1">
      <c r="D121" s="37" t="s">
        <v>9</v>
      </c>
      <c r="F121" s="28">
        <f>+[1]GRUPO!K121</f>
        <v>3.7363065981058163</v>
      </c>
      <c r="G121" s="29">
        <f>+[1]GRUPO!L121</f>
        <v>-12.251257225737712</v>
      </c>
      <c r="H121" s="30" t="str">
        <f t="shared" si="72"/>
        <v>---</v>
      </c>
      <c r="K121" s="28">
        <f>+[1]GRUPO!P121</f>
        <v>4.9201160910674293</v>
      </c>
      <c r="L121" s="29">
        <f>+[1]GRUPO!Q121</f>
        <v>-7.0979176533453803</v>
      </c>
      <c r="M121" s="30" t="str">
        <f t="shared" si="73"/>
        <v>---</v>
      </c>
      <c r="Q121" s="19" t="str">
        <f>+IF($B$3="esp","Total Santillana","Santillana Total")</f>
        <v>Santillana Total</v>
      </c>
      <c r="R121" s="18"/>
      <c r="S121" s="20">
        <f>+[1]EDUCACIÓN!K110</f>
        <v>15.00584539737293</v>
      </c>
      <c r="T121" s="21">
        <f>+[1]EDUCACIÓN!L110</f>
        <v>43.350591255133224</v>
      </c>
      <c r="U121" s="22">
        <f>IF(T121=0,"---",IF(OR(ABS((S121-T121)/ABS(T121))&gt;9,(S121*T121)&lt;0),"---",IF(T121="0","---",((S121-T121)/ABS(T121)))))</f>
        <v>-0.65384911801875234</v>
      </c>
      <c r="X121" s="20">
        <f>+[1]EDUCACIÓN!P110</f>
        <v>-9.5344177713742972</v>
      </c>
      <c r="Y121" s="21">
        <f>+[1]EDUCACIÓN!Q110</f>
        <v>-27.747162910287614</v>
      </c>
      <c r="Z121" s="22">
        <f>IF(Y121=0,"---",IF(OR(ABS((X121-Y121)/ABS(Y121))&gt;9,(X121*Y121)&lt;0),"---",IF(Y121="0","---",((X121-Y121)/ABS(Y121)))))</f>
        <v>0.65638224699941161</v>
      </c>
    </row>
    <row r="122" spans="1:62" ht="15.75" customHeight="1">
      <c r="A122" s="63"/>
      <c r="D122" s="27" t="str">
        <f>+IF($B$3="esp","Otros","Other")</f>
        <v>Other</v>
      </c>
      <c r="F122" s="28">
        <f>+[1]GRUPO!K122</f>
        <v>-5.4993714700002005</v>
      </c>
      <c r="G122" s="29">
        <f>+[1]GRUPO!L122</f>
        <v>-2.8317804700000657</v>
      </c>
      <c r="H122" s="30">
        <f t="shared" si="72"/>
        <v>-0.9420189976803085</v>
      </c>
      <c r="K122" s="28">
        <f>+[1]GRUPO!P122</f>
        <v>-2.8018429500000028</v>
      </c>
      <c r="L122" s="29">
        <f>+[1]GRUPO!Q122</f>
        <v>-2.2433204200000034</v>
      </c>
      <c r="M122" s="30">
        <f t="shared" si="73"/>
        <v>-0.24897135737747109</v>
      </c>
      <c r="Q122" s="27" t="str">
        <f>+IF($B$3="esp","Campaña Sur","South Campaign")</f>
        <v>South Campaign</v>
      </c>
      <c r="S122" s="28">
        <f>+[1]EDUCACIÓN!K111</f>
        <v>14.521439982347884</v>
      </c>
      <c r="T122" s="29">
        <f>+[1]EDUCACIÓN!L111</f>
        <v>52.847463712239609</v>
      </c>
      <c r="U122" s="30">
        <f t="shared" ref="U122:U128" si="74">IF(T122=0,"---",IF(OR(ABS((S122-T122)/ABS(T122))&gt;9,(S122*T122)&lt;0),"---",IF(T122="0","---",((S122-T122)/ABS(T122)))))</f>
        <v>-0.7252197369126594</v>
      </c>
      <c r="X122" s="28">
        <f>+[1]EDUCACIÓN!P111</f>
        <v>-18.439619036740119</v>
      </c>
      <c r="Y122" s="29">
        <f>+[1]EDUCACIÓN!Q111</f>
        <v>-34.060083366114533</v>
      </c>
      <c r="Z122" s="30">
        <f t="shared" ref="Z122:Z128" si="75">IF(Y122=0,"---",IF(OR(ABS((X122-Y122)/ABS(Y122))&gt;9,(X122*Y122)&lt;0),"---",IF(Y122="0","---",((X122-Y122)/ABS(Y122)))))</f>
        <v>0.4586149764070982</v>
      </c>
    </row>
    <row r="123" spans="1:62">
      <c r="Q123" s="37" t="str">
        <f>+IF($B$3="esp","Brasil","Brazil")</f>
        <v>Brazil</v>
      </c>
      <c r="S123" s="28">
        <f>+[1]EDUCACIÓN!K112</f>
        <v>-0.96764458472351911</v>
      </c>
      <c r="T123" s="29">
        <f>+[1]EDUCACIÓN!L112</f>
        <v>21.235249662887895</v>
      </c>
      <c r="U123" s="30" t="str">
        <f t="shared" si="74"/>
        <v>---</v>
      </c>
      <c r="X123" s="28">
        <f>+[1]EDUCACIÓN!P112</f>
        <v>-5.4665998936800415</v>
      </c>
      <c r="Y123" s="29">
        <f>+[1]EDUCACIÓN!Q112</f>
        <v>-11.203101349032089</v>
      </c>
      <c r="Z123" s="30">
        <f t="shared" si="75"/>
        <v>0.51204584129265796</v>
      </c>
    </row>
    <row r="124" spans="1:62">
      <c r="Q124" s="37" t="str">
        <f>+IF($B$3="esp","Otros países","Other countries")</f>
        <v>Other countries</v>
      </c>
      <c r="S124" s="28">
        <f>+[1]EDUCACIÓN!K113</f>
        <v>15.489084567071403</v>
      </c>
      <c r="T124" s="29">
        <f>+[1]EDUCACIÓN!L113</f>
        <v>31.612214049351714</v>
      </c>
      <c r="U124" s="30">
        <f t="shared" si="74"/>
        <v>-0.51002848003969392</v>
      </c>
      <c r="X124" s="28">
        <f>+[1]EDUCACIÓN!P113</f>
        <v>-12.97301914306008</v>
      </c>
      <c r="Y124" s="29">
        <f>+[1]EDUCACIÓN!Q113</f>
        <v>-22.856982017082444</v>
      </c>
      <c r="Z124" s="30">
        <f t="shared" si="75"/>
        <v>0.43242641861622255</v>
      </c>
    </row>
    <row r="125" spans="1:62">
      <c r="Q125" s="27" t="str">
        <f>+IF($B$3="esp","Campaña Norte","North Campaign")</f>
        <v>North Campaign</v>
      </c>
      <c r="S125" s="28">
        <f>+[1]EDUCACIÓN!K114</f>
        <v>8.6925058618727942</v>
      </c>
      <c r="T125" s="29">
        <f>+[1]EDUCACIÓN!L114</f>
        <v>3.820058435043713</v>
      </c>
      <c r="U125" s="30">
        <f t="shared" si="74"/>
        <v>1.2754902862561384</v>
      </c>
      <c r="X125" s="28">
        <f>+[1]EDUCACIÓN!P114</f>
        <v>12.087820816780889</v>
      </c>
      <c r="Y125" s="29">
        <f>+[1]EDUCACIÓN!Q114</f>
        <v>7.9061359458686571</v>
      </c>
      <c r="Z125" s="30">
        <f t="shared" si="75"/>
        <v>0.52891638842832789</v>
      </c>
    </row>
    <row r="126" spans="1:62">
      <c r="Q126" s="37" t="str">
        <f>+IF($B$3="esp","México","Mexico")</f>
        <v>Mexico</v>
      </c>
      <c r="S126" s="28">
        <f>+[1]EDUCACIÓN!K115</f>
        <v>6.2744412890125965</v>
      </c>
      <c r="T126" s="29">
        <f>+[1]EDUCACIÓN!L115</f>
        <v>5.3716978348579802</v>
      </c>
      <c r="U126" s="30">
        <f t="shared" si="74"/>
        <v>0.16805551650663228</v>
      </c>
      <c r="X126" s="28">
        <f>+[1]EDUCACIÓN!P115</f>
        <v>8.2827009327419443</v>
      </c>
      <c r="Y126" s="29">
        <f>+[1]EDUCACIÓN!Q115</f>
        <v>8.9761785381063675</v>
      </c>
      <c r="Z126" s="30">
        <f t="shared" si="75"/>
        <v>-7.7257554806916817E-2</v>
      </c>
    </row>
    <row r="127" spans="1:62">
      <c r="Q127" s="37" t="str">
        <f>+IF($B$3="esp","Otros países","Other countries")</f>
        <v>Other countries</v>
      </c>
      <c r="S127" s="28">
        <f>+[1]EDUCACIÓN!K116</f>
        <v>2.4180645728601977</v>
      </c>
      <c r="T127" s="29">
        <f>+[1]EDUCACIÓN!L116</f>
        <v>-1.5516393998142672</v>
      </c>
      <c r="U127" s="30" t="str">
        <f t="shared" si="74"/>
        <v>---</v>
      </c>
      <c r="X127" s="28">
        <f>+[1]EDUCACIÓN!P116</f>
        <v>3.8051198840389451</v>
      </c>
      <c r="Y127" s="29">
        <f>+[1]EDUCACIÓN!Q116</f>
        <v>-1.0700425922377104</v>
      </c>
      <c r="Z127" s="30" t="str">
        <f t="shared" si="75"/>
        <v>---</v>
      </c>
    </row>
    <row r="128" spans="1:62">
      <c r="Q128" s="27" t="str">
        <f>+IF($B$3="esp","Tecnología Educativa global y Centro Corpor.","Global Educational IT &amp; HQ")</f>
        <v>Global Educational IT &amp; HQ</v>
      </c>
      <c r="S128" s="28">
        <f>+[1]EDUCACIÓN!K117</f>
        <v>-8.7572537399999977</v>
      </c>
      <c r="T128" s="29">
        <f>+[1]EDUCACIÓN!L117</f>
        <v>-10.516227339999995</v>
      </c>
      <c r="U128" s="30">
        <f t="shared" si="74"/>
        <v>0.16726279711636571</v>
      </c>
      <c r="X128" s="28">
        <f>+[1]EDUCACIÓN!P117</f>
        <v>-3.0356913399999987</v>
      </c>
      <c r="Y128" s="29">
        <f>+[1]EDUCACIÓN!Q117</f>
        <v>-4.5978998299999949</v>
      </c>
      <c r="Z128" s="30">
        <f t="shared" si="75"/>
        <v>0.33976566427285521</v>
      </c>
    </row>
    <row r="129" spans="1:62" ht="15.75" customHeight="1"/>
    <row r="130" spans="1:62" ht="15.75" customHeight="1"/>
    <row r="131" spans="1:62" ht="15.75" customHeight="1">
      <c r="D131" s="64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31" s="11"/>
      <c r="F131" s="12" t="str">
        <f>+$F$6</f>
        <v>JANUARY - JUNE</v>
      </c>
      <c r="G131" s="12"/>
      <c r="H131" s="12"/>
      <c r="I131" s="11"/>
      <c r="J131" s="11"/>
      <c r="K131" s="12" t="str">
        <f>+K97</f>
        <v>APRIL - JUNE</v>
      </c>
      <c r="L131" s="12"/>
      <c r="M131" s="12"/>
      <c r="Q131" s="64" t="str">
        <f>+IF($B$3="esp","Resultados por Campaña                                                                                                        a tipo de cambio constante","Perfomance by Campaign on constant currency")</f>
        <v>Perfomance by Campaign on constant currency</v>
      </c>
      <c r="R131" s="11"/>
      <c r="S131" s="12" t="str">
        <f>+$F$6</f>
        <v>JANUARY - JUNE</v>
      </c>
      <c r="T131" s="13"/>
      <c r="U131" s="13"/>
      <c r="V131" s="11"/>
      <c r="W131" s="11"/>
      <c r="X131" s="12" t="str">
        <f>+X97</f>
        <v>APRIL - JUNE</v>
      </c>
      <c r="Y131" s="13"/>
      <c r="Z131" s="13"/>
      <c r="AI131" s="11"/>
      <c r="AJ131" s="11"/>
      <c r="AV131" s="11"/>
      <c r="AW131" s="11"/>
      <c r="BI131" s="11"/>
      <c r="BJ131" s="11"/>
    </row>
    <row r="132" spans="1:62" ht="15.75" customHeight="1">
      <c r="D132" s="65"/>
      <c r="E132" s="11"/>
      <c r="F132" s="11"/>
      <c r="G132" s="11"/>
      <c r="H132" s="11"/>
      <c r="I132" s="11"/>
      <c r="J132" s="11"/>
      <c r="K132" s="11"/>
      <c r="L132" s="11"/>
      <c r="M132" s="11"/>
      <c r="Q132" s="65"/>
      <c r="R132" s="11"/>
      <c r="S132" s="11"/>
      <c r="T132" s="11"/>
      <c r="U132" s="11"/>
      <c r="V132" s="11"/>
      <c r="W132" s="11"/>
      <c r="X132" s="11"/>
      <c r="Y132" s="11"/>
      <c r="Z132" s="11"/>
      <c r="AI132" s="11"/>
      <c r="AJ132" s="11"/>
      <c r="AV132" s="11"/>
      <c r="AW132" s="11"/>
      <c r="BI132" s="11"/>
      <c r="BJ132" s="11"/>
    </row>
    <row r="133" spans="1:62" ht="15.75" customHeight="1">
      <c r="D133" s="14" t="str">
        <f>+IF($B$3="esp","Millones de €","€ Millions")</f>
        <v>€ Millions</v>
      </c>
      <c r="E133" s="11"/>
      <c r="F133" s="15">
        <v>2021</v>
      </c>
      <c r="G133" s="15">
        <v>2020</v>
      </c>
      <c r="H133" s="15" t="str">
        <f>+IF($B$3="esp","Var.","Chg.")</f>
        <v>Chg.</v>
      </c>
      <c r="I133" s="11"/>
      <c r="J133" s="11"/>
      <c r="K133" s="15">
        <v>2021</v>
      </c>
      <c r="L133" s="15">
        <v>2020</v>
      </c>
      <c r="M133" s="15" t="str">
        <f>+IF($B$3="esp","Var.","Chg.")</f>
        <v>Chg.</v>
      </c>
      <c r="Q133" s="14" t="str">
        <f>+IF($B$3="esp","Millones de €","€ Millions")</f>
        <v>€ Millions</v>
      </c>
      <c r="R133" s="11"/>
      <c r="S133" s="15">
        <v>2021</v>
      </c>
      <c r="T133" s="15">
        <v>2020</v>
      </c>
      <c r="U133" s="15" t="str">
        <f>+IF($B$3="esp","Var.","Chg.")</f>
        <v>Chg.</v>
      </c>
      <c r="V133" s="11"/>
      <c r="W133" s="11"/>
      <c r="X133" s="15">
        <v>2021</v>
      </c>
      <c r="Y133" s="15">
        <v>2020</v>
      </c>
      <c r="Z133" s="15" t="str">
        <f>+IF($B$3="esp","Var.","Chg.")</f>
        <v>Chg.</v>
      </c>
      <c r="AI133" s="11"/>
      <c r="AJ133" s="11"/>
      <c r="AV133" s="11"/>
      <c r="AW133" s="11"/>
      <c r="BI133" s="11"/>
      <c r="BJ133" s="11"/>
    </row>
    <row r="134" spans="1:62" ht="15.75" customHeight="1">
      <c r="A134" s="63"/>
      <c r="D134" s="16" t="str">
        <f>+IF($B$3="esp","Ingresos de Explotación a tipo constante","Operating Revenues on constant currency")</f>
        <v>Operating Revenues on constant currency</v>
      </c>
      <c r="F134" s="17"/>
      <c r="G134" s="17"/>
      <c r="H134" s="17"/>
      <c r="K134" s="17"/>
      <c r="L134" s="17"/>
      <c r="M134" s="17"/>
      <c r="Q134" s="16" t="str">
        <f>+IF($B$3="esp","Ingresos de Explotación a tipo constante","Operating Revenues on constant currency")</f>
        <v>Operating Revenues on constant currency</v>
      </c>
      <c r="S134" s="17"/>
      <c r="T134" s="17"/>
      <c r="U134" s="17"/>
      <c r="X134" s="17"/>
      <c r="Y134" s="17"/>
      <c r="Z134" s="17"/>
    </row>
    <row r="135" spans="1:62">
      <c r="D135" s="19" t="str">
        <f>+IF($B$3="esp","GRUPO","GROUP")</f>
        <v>GROUP</v>
      </c>
      <c r="E135" s="18"/>
      <c r="F135" s="20">
        <f>+[1]GRUPO!K129</f>
        <v>329.69390008885136</v>
      </c>
      <c r="G135" s="21">
        <f>+[1]GRUPO!L129</f>
        <v>353.15377432231816</v>
      </c>
      <c r="H135" s="22">
        <f>IF(G135=0,"---",IF(OR(ABS((F135-G135)/ABS(G135))&gt;9,(F135*G135)&lt;0),"---",IF(G135="0","---",((F135-G135)/ABS(G135)))))</f>
        <v>-6.6429629071599036E-2</v>
      </c>
      <c r="I135" s="18"/>
      <c r="J135" s="18"/>
      <c r="K135" s="20">
        <f>+[1]GRUPO!P129</f>
        <v>151.10277966774564</v>
      </c>
      <c r="L135" s="21">
        <f>+[1]GRUPO!Q129</f>
        <v>91.954695331452342</v>
      </c>
      <c r="M135" s="22">
        <f>IF(L135=0,"---",IF(OR(ABS((K135-L135)/ABS(L135))&gt;9,(K135*L135)&lt;0),"---",IF(L135="0","---",((K135-L135)/ABS(L135)))))</f>
        <v>0.64323071402817411</v>
      </c>
      <c r="Q135" s="19" t="str">
        <f>+IF($B$3="esp","Total Santillana","Santillana Total")</f>
        <v>Santillana Total</v>
      </c>
      <c r="R135" s="18"/>
      <c r="S135" s="20">
        <f>+[1]EDUCACIÓN!K124</f>
        <v>154.36526084699727</v>
      </c>
      <c r="T135" s="21">
        <f>+[1]EDUCACIÓN!L124</f>
        <v>204.80019036987886</v>
      </c>
      <c r="U135" s="22">
        <f>IF(T135=0,"---",IF(OR(ABS((S135-T135)/ABS(T135))&gt;9,(S135*T135)&lt;0),"---",IF(T135="0","---",((S135-T135)/ABS(T135)))))</f>
        <v>-0.24626407539853215</v>
      </c>
      <c r="V135" s="18"/>
      <c r="W135" s="18"/>
      <c r="X135" s="20">
        <f>+[1]EDUCACIÓN!P124</f>
        <v>52.861749190924414</v>
      </c>
      <c r="Y135" s="21">
        <f>+[1]EDUCACIÓN!Q124</f>
        <v>28.21730253666766</v>
      </c>
      <c r="Z135" s="22">
        <f>IF(Y135=0,"---",IF(OR(ABS((X135-Y135)/ABS(Y135))&gt;9,(X135*Y135)&lt;0),"---",IF(Y135="0","---",((X135-Y135)/ABS(Y135)))))</f>
        <v>0.87338067209762271</v>
      </c>
      <c r="AI135" s="18"/>
      <c r="AJ135" s="18"/>
      <c r="AV135" s="18"/>
      <c r="AW135" s="18"/>
      <c r="BI135" s="18"/>
      <c r="BJ135" s="18"/>
    </row>
    <row r="136" spans="1:62">
      <c r="D136" s="27" t="str">
        <f>+IF($B$3="esp","Educación","Education")</f>
        <v>Education</v>
      </c>
      <c r="F136" s="28">
        <f>+[1]GRUPO!K130</f>
        <v>154.36526084699727</v>
      </c>
      <c r="G136" s="29">
        <f>+[1]GRUPO!L130</f>
        <v>204.80019036987886</v>
      </c>
      <c r="H136" s="30">
        <f t="shared" ref="H136:H140" si="76">IF(G136=0,"---",IF(OR(ABS((F136-G136)/ABS(G136))&gt;9,(F136*G136)&lt;0),"---",IF(G136="0","---",((F136-G136)/ABS(G136)))))</f>
        <v>-0.24626407539853215</v>
      </c>
      <c r="K136" s="28">
        <f>+[1]GRUPO!P130</f>
        <v>52.861749190924414</v>
      </c>
      <c r="L136" s="29">
        <f>+[1]GRUPO!Q130</f>
        <v>28.21730253666766</v>
      </c>
      <c r="M136" s="30">
        <f t="shared" ref="M136:M140" si="77">IF(L136=0,"---",IF(OR(ABS((K136-L136)/ABS(L136))&gt;9,(K136*L136)&lt;0),"---",IF(L136="0","---",((K136-L136)/ABS(L136)))))</f>
        <v>0.87338067209762271</v>
      </c>
      <c r="Q136" s="27" t="str">
        <f>+IF($B$3="esp","Campaña Sur","South Campaign")</f>
        <v>South Campaign</v>
      </c>
      <c r="S136" s="28">
        <f>+[1]EDUCACIÓN!K125</f>
        <v>111.98588208781767</v>
      </c>
      <c r="T136" s="29">
        <f>+[1]EDUCACIÓN!L125</f>
        <v>164.3506983123886</v>
      </c>
      <c r="U136" s="30">
        <f t="shared" ref="U136:U142" si="78">IF(T136=0,"---",IF(OR(ABS((S136-T136)/ABS(T136))&gt;9,(S136*T136)&lt;0),"---",IF(T136="0","---",((S136-T136)/ABS(T136)))))</f>
        <v>-0.31861632936319395</v>
      </c>
      <c r="X136" s="28">
        <f>+[1]EDUCACIÓN!P125</f>
        <v>19.125682180553483</v>
      </c>
      <c r="Y136" s="29">
        <f>+[1]EDUCACIÓN!Q125</f>
        <v>2.2707324390386816</v>
      </c>
      <c r="Z136" s="30">
        <f t="shared" ref="Z136:Z142" si="79">IF(Y136=0,"---",IF(OR(ABS((X136-Y136)/ABS(Y136))&gt;9,(X136*Y136)&lt;0),"---",IF(Y136="0","---",((X136-Y136)/ABS(Y136)))))</f>
        <v>7.422692982996435</v>
      </c>
    </row>
    <row r="137" spans="1:62" ht="15.75" customHeight="1">
      <c r="D137" s="27" t="str">
        <f>+IF($B$3="esp","Media","Media")</f>
        <v>Media</v>
      </c>
      <c r="F137" s="28">
        <f>+[1]GRUPO!K131</f>
        <v>176.0063443029722</v>
      </c>
      <c r="G137" s="29">
        <f>+[1]GRUPO!L131</f>
        <v>149.18822384493686</v>
      </c>
      <c r="H137" s="30">
        <f t="shared" si="76"/>
        <v>0.17976030390917139</v>
      </c>
      <c r="K137" s="28">
        <f>+[1]GRUPO!P131</f>
        <v>98.467340628580061</v>
      </c>
      <c r="L137" s="29">
        <f>+[1]GRUPO!Q131</f>
        <v>64.328569360638113</v>
      </c>
      <c r="M137" s="30">
        <f t="shared" si="77"/>
        <v>0.53069377427863418</v>
      </c>
      <c r="Q137" s="37" t="str">
        <f>+IF($B$3="esp","Brasil","Brazil")</f>
        <v>Brazil</v>
      </c>
      <c r="S137" s="28">
        <f>+[1]EDUCACIÓN!K126</f>
        <v>48.574802289126566</v>
      </c>
      <c r="T137" s="29">
        <f>+[1]EDUCACIÓN!L126</f>
        <v>70.37990826162212</v>
      </c>
      <c r="U137" s="30">
        <f t="shared" si="78"/>
        <v>-0.30982003971133038</v>
      </c>
      <c r="X137" s="28">
        <f>+[1]EDUCACIÓN!P126</f>
        <v>16.750903400370611</v>
      </c>
      <c r="Y137" s="29">
        <f>+[1]EDUCACIÓN!Q126</f>
        <v>1.9864372354770268</v>
      </c>
      <c r="Z137" s="30">
        <f t="shared" si="79"/>
        <v>7.4326366326636126</v>
      </c>
    </row>
    <row r="138" spans="1:62" ht="15.75" customHeight="1">
      <c r="D138" s="37" t="s">
        <v>8</v>
      </c>
      <c r="F138" s="28">
        <f>+[1]GRUPO!K132</f>
        <v>97.357197941913384</v>
      </c>
      <c r="G138" s="29">
        <f>+[1]GRUPO!L132</f>
        <v>81.409019257958064</v>
      </c>
      <c r="H138" s="30">
        <f t="shared" si="76"/>
        <v>0.19590186479732491</v>
      </c>
      <c r="K138" s="28">
        <f>+[1]GRUPO!P132</f>
        <v>55.599554536464403</v>
      </c>
      <c r="L138" s="29">
        <f>+[1]GRUPO!Q132</f>
        <v>34.054356911138981</v>
      </c>
      <c r="M138" s="30">
        <f t="shared" si="77"/>
        <v>0.63267081159527383</v>
      </c>
      <c r="Q138" s="37" t="str">
        <f>+IF($B$3="esp","Otros países","Other countries")</f>
        <v>Other countries</v>
      </c>
      <c r="S138" s="28">
        <f>+[1]EDUCACIÓN!K127</f>
        <v>63.411079798691105</v>
      </c>
      <c r="T138" s="29">
        <f>+[1]EDUCACIÓN!L127</f>
        <v>93.970790050766482</v>
      </c>
      <c r="U138" s="30">
        <f t="shared" si="78"/>
        <v>-0.3252043559021468</v>
      </c>
      <c r="X138" s="28">
        <f>+[1]EDUCACIÓN!P127</f>
        <v>2.3747787801828721</v>
      </c>
      <c r="Y138" s="29">
        <f>+[1]EDUCACIÓN!Q127</f>
        <v>0.28429520356165483</v>
      </c>
      <c r="Z138" s="30">
        <f t="shared" si="79"/>
        <v>7.35321437165174</v>
      </c>
    </row>
    <row r="139" spans="1:62" ht="15.75" customHeight="1">
      <c r="D139" s="37" t="s">
        <v>9</v>
      </c>
      <c r="F139" s="28">
        <f>+[1]GRUPO!K133</f>
        <v>87.181681341267549</v>
      </c>
      <c r="G139" s="29">
        <f>+[1]GRUPO!L133</f>
        <v>75.579894746428039</v>
      </c>
      <c r="H139" s="30">
        <f t="shared" si="76"/>
        <v>0.15350360878066477</v>
      </c>
      <c r="K139" s="28">
        <f>+[1]GRUPO!P133</f>
        <v>47.164857794099369</v>
      </c>
      <c r="L139" s="29">
        <f>+[1]GRUPO!Q133</f>
        <v>33.884859971802271</v>
      </c>
      <c r="M139" s="30">
        <f t="shared" si="77"/>
        <v>0.39191538148152955</v>
      </c>
      <c r="Q139" s="27" t="str">
        <f>+IF($B$3="esp","Campaña Norte","North Campaign")</f>
        <v>North Campaign</v>
      </c>
      <c r="S139" s="28">
        <f>+[1]EDUCACIÓN!K128</f>
        <v>39.126052306288777</v>
      </c>
      <c r="T139" s="29">
        <f>+[1]EDUCACIÓN!L128</f>
        <v>39.695816881328959</v>
      </c>
      <c r="U139" s="30">
        <f t="shared" si="78"/>
        <v>-1.4353264897999171E-2</v>
      </c>
      <c r="X139" s="28">
        <f>+[1]EDUCACIÓN!P128</f>
        <v>31.815068571637632</v>
      </c>
      <c r="Y139" s="29">
        <f>+[1]EDUCACIÓN!Q128</f>
        <v>25.460141269627321</v>
      </c>
      <c r="Z139" s="30">
        <f t="shared" si="79"/>
        <v>0.24960298667279671</v>
      </c>
    </row>
    <row r="140" spans="1:62" ht="15.75" customHeight="1">
      <c r="D140" s="27" t="str">
        <f>+IF($B$3="esp","Otros","Other")</f>
        <v>Other</v>
      </c>
      <c r="F140" s="28">
        <f>+[1]GRUPO!K134</f>
        <v>-0.67770506111810391</v>
      </c>
      <c r="G140" s="29">
        <f>+[1]GRUPO!L134</f>
        <v>-0.8346398924975631</v>
      </c>
      <c r="H140" s="30">
        <f t="shared" si="76"/>
        <v>0.18802699558231023</v>
      </c>
      <c r="K140" s="28">
        <f>+[1]GRUPO!P134</f>
        <v>-0.22631015175883817</v>
      </c>
      <c r="L140" s="29">
        <f>+[1]GRUPO!Q134</f>
        <v>-0.5911765658534307</v>
      </c>
      <c r="M140" s="30">
        <f t="shared" si="77"/>
        <v>0.61718686965858716</v>
      </c>
      <c r="Q140" s="37" t="str">
        <f>+IF($B$3="esp","México","Mexico")</f>
        <v>Mexico</v>
      </c>
      <c r="S140" s="28">
        <f>+[1]EDUCACIÓN!K129</f>
        <v>29.479861159559928</v>
      </c>
      <c r="T140" s="29">
        <f>+[1]EDUCACIÓN!L129</f>
        <v>29.639305610686922</v>
      </c>
      <c r="U140" s="30">
        <f t="shared" si="78"/>
        <v>-5.3794934746886885E-3</v>
      </c>
      <c r="X140" s="28">
        <f>+[1]EDUCACIÓN!P129</f>
        <v>23.03839642076759</v>
      </c>
      <c r="Y140" s="29">
        <f>+[1]EDUCACIÓN!Q129</f>
        <v>22.193063736037619</v>
      </c>
      <c r="Z140" s="30">
        <f t="shared" si="79"/>
        <v>3.8089949850290399E-2</v>
      </c>
    </row>
    <row r="141" spans="1:62" ht="15.75" customHeight="1">
      <c r="Q141" s="37" t="str">
        <f>+IF($B$3="esp","Otros países","Other countries")</f>
        <v>Other countries</v>
      </c>
      <c r="S141" s="28">
        <f>+[1]EDUCACIÓN!K130</f>
        <v>9.6461911467288495</v>
      </c>
      <c r="T141" s="29">
        <f>+[1]EDUCACIÓN!L130</f>
        <v>10.056511270642037</v>
      </c>
      <c r="U141" s="30">
        <f t="shared" si="78"/>
        <v>-4.0801438279200741E-2</v>
      </c>
      <c r="X141" s="28">
        <f>+[1]EDUCACIÓN!P130</f>
        <v>8.7766721508700414</v>
      </c>
      <c r="Y141" s="29">
        <f>+[1]EDUCACIÓN!Q130</f>
        <v>3.2670775335897018</v>
      </c>
      <c r="Z141" s="30">
        <f t="shared" si="79"/>
        <v>1.6863984893638786</v>
      </c>
    </row>
    <row r="142" spans="1:62" ht="15.75" customHeight="1">
      <c r="A142" s="63"/>
      <c r="D142" s="16" t="str">
        <f>+IF($B$3="esp","EBITDA a tipo constante","EBITDA on constant currency")</f>
        <v>EBITDA on constant currency</v>
      </c>
      <c r="F142" s="17"/>
      <c r="G142" s="17"/>
      <c r="H142" s="17"/>
      <c r="K142" s="17"/>
      <c r="L142" s="17"/>
      <c r="M142" s="17"/>
      <c r="Q142" s="27" t="str">
        <f>+IF($B$3="esp","Tecnología Educativa global y Centro Corpor.","Global Educational IT &amp; HQ")</f>
        <v>Global Educational IT &amp; HQ</v>
      </c>
      <c r="S142" s="28">
        <f>+[1]EDUCACIÓN!K131</f>
        <v>3.257414030000001</v>
      </c>
      <c r="T142" s="29">
        <f>+[1]EDUCACIÓN!L131</f>
        <v>0.75718017999999965</v>
      </c>
      <c r="U142" s="30">
        <f t="shared" si="78"/>
        <v>3.3020328794131966</v>
      </c>
      <c r="X142" s="28">
        <f>+[1]EDUCACIÓN!P131</f>
        <v>1.9247353100000009</v>
      </c>
      <c r="Y142" s="29">
        <f>+[1]EDUCACIÓN!Q131</f>
        <v>0.47523249999999956</v>
      </c>
      <c r="Z142" s="30">
        <f t="shared" si="79"/>
        <v>3.0500919234269599</v>
      </c>
    </row>
    <row r="143" spans="1:62">
      <c r="D143" s="19" t="str">
        <f>+IF($B$3="esp","GRUPO","GROUP")</f>
        <v>GROUP</v>
      </c>
      <c r="E143" s="18"/>
      <c r="F143" s="20">
        <f>+[1]GRUPO!K137</f>
        <v>7.3641767094567125</v>
      </c>
      <c r="G143" s="21">
        <f>+[1]GRUPO!L137</f>
        <v>19.805832106314533</v>
      </c>
      <c r="H143" s="22">
        <f>IF(G143=0,"---",IF(OR(ABS((F143-G143)/ABS(G143))&gt;9,(F143*G143)&lt;0),"---",IF(G143="0","---",((F143-G143)/ABS(G143)))))</f>
        <v>-0.62818140283493307</v>
      </c>
      <c r="I143" s="18"/>
      <c r="J143" s="18"/>
      <c r="K143" s="20">
        <f>+[1]GRUPO!P137</f>
        <v>-11.397739683435733</v>
      </c>
      <c r="L143" s="21">
        <f>+[1]GRUPO!Q137</f>
        <v>-44.26244747599457</v>
      </c>
      <c r="M143" s="22">
        <f>IF(L143=0,"---",IF(OR(ABS((K143-L143)/ABS(L143))&gt;9,(K143*L143)&lt;0),"---",IF(L143="0","---",((K143-L143)/ABS(L143)))))</f>
        <v>0.74249639743447948</v>
      </c>
      <c r="V143" s="18"/>
      <c r="W143" s="18"/>
      <c r="AI143" s="18"/>
      <c r="AJ143" s="18"/>
      <c r="AV143" s="18"/>
      <c r="AW143" s="18"/>
      <c r="BI143" s="18"/>
      <c r="BJ143" s="18"/>
    </row>
    <row r="144" spans="1:62">
      <c r="D144" s="27" t="str">
        <f>+IF($B$3="esp","Educación","Education")</f>
        <v>Education</v>
      </c>
      <c r="F144" s="28">
        <f>+[1]GRUPO!K138</f>
        <v>17.84912286919192</v>
      </c>
      <c r="G144" s="29">
        <f>+[1]GRUPO!L138</f>
        <v>42.246165727421904</v>
      </c>
      <c r="H144" s="30">
        <f t="shared" ref="H144:H148" si="80">IF(G144=0,"---",IF(OR(ABS((F144-G144)/ABS(G144))&gt;9,(F144*G144)&lt;0),"---",IF(G144="0","---",((F144-G144)/ABS(G144)))))</f>
        <v>-0.57749721041296564</v>
      </c>
      <c r="K144" s="28">
        <f>+[1]GRUPO!P138</f>
        <v>-12.167461083525556</v>
      </c>
      <c r="L144" s="29">
        <f>+[1]GRUPO!Q138</f>
        <v>-28.160007777659494</v>
      </c>
      <c r="M144" s="30">
        <f t="shared" ref="M144:M148" si="81">IF(L144=0,"---",IF(OR(ABS((K144-L144)/ABS(L144))&gt;9,(K144*L144)&lt;0),"---",IF(L144="0","---",((K144-L144)/ABS(L144)))))</f>
        <v>0.56791698427091664</v>
      </c>
      <c r="Q144" s="16" t="str">
        <f>+IF($B$3="esp","EBITDA a tipo constante","EBITDA on constant currency")</f>
        <v>EBITDA on constant currency</v>
      </c>
      <c r="S144" s="17"/>
      <c r="T144" s="17"/>
      <c r="U144" s="17"/>
      <c r="X144" s="17"/>
      <c r="Y144" s="17"/>
      <c r="Z144" s="17"/>
    </row>
    <row r="145" spans="1:62" ht="15.75" customHeight="1">
      <c r="D145" s="27" t="str">
        <f>+IF($B$3="esp","Media","Media")</f>
        <v>Media</v>
      </c>
      <c r="F145" s="28">
        <f>+[1]GRUPO!K139</f>
        <v>-1.5145004597350091</v>
      </c>
      <c r="G145" s="29">
        <f>+[1]GRUPO!L139</f>
        <v>-18.821808011107301</v>
      </c>
      <c r="H145" s="30">
        <f t="shared" si="80"/>
        <v>0.91953480458193704</v>
      </c>
      <c r="K145" s="28">
        <f>+[1]GRUPO!P139</f>
        <v>6.2824252700898215</v>
      </c>
      <c r="L145" s="29">
        <f>+[1]GRUPO!Q139</f>
        <v>-13.527137988335063</v>
      </c>
      <c r="M145" s="30" t="str">
        <f t="shared" si="81"/>
        <v>---</v>
      </c>
      <c r="Q145" s="19" t="str">
        <f>+IF($B$3="esp","Total Santillana","Santillana Total")</f>
        <v>Santillana Total</v>
      </c>
      <c r="R145" s="18"/>
      <c r="S145" s="20">
        <f>+[1]EDUCACIÓN!K134</f>
        <v>17.84912286919192</v>
      </c>
      <c r="T145" s="21">
        <f>+[1]EDUCACIÓN!L134</f>
        <v>42.246165727421904</v>
      </c>
      <c r="U145" s="22">
        <f>IF(T145=0,"---",IF(OR(ABS((S145-T145)/ABS(T145))&gt;9,(S145*T145)&lt;0),"---",IF(T145="0","---",((S145-T145)/ABS(T145)))))</f>
        <v>-0.57749721041296564</v>
      </c>
      <c r="X145" s="20">
        <f>+[1]EDUCACIÓN!P134</f>
        <v>-12.167461083525556</v>
      </c>
      <c r="Y145" s="21">
        <f>+[1]EDUCACIÓN!Q134</f>
        <v>-28.160007777659494</v>
      </c>
      <c r="Z145" s="22">
        <f>IF(Y145=0,"---",IF(OR(ABS((X145-Y145)/ABS(Y145))&gt;9,(X145*Y145)&lt;0),"---",IF(Y145="0","---",((X145-Y145)/ABS(Y145)))))</f>
        <v>0.56791698427091664</v>
      </c>
    </row>
    <row r="146" spans="1:62" ht="15.75" customHeight="1">
      <c r="D146" s="37" t="s">
        <v>8</v>
      </c>
      <c r="F146" s="28">
        <f>+[1]GRUPO!K140</f>
        <v>-2.3393956402126661</v>
      </c>
      <c r="G146" s="29">
        <f>+[1]GRUPO!L140</f>
        <v>-5.1827484440266032</v>
      </c>
      <c r="H146" s="30">
        <f t="shared" si="80"/>
        <v>0.54861871737013479</v>
      </c>
      <c r="K146" s="28">
        <f>+[1]GRUPO!P140</f>
        <v>2.5261907431118966</v>
      </c>
      <c r="L146" s="29">
        <f>+[1]GRUPO!Q140</f>
        <v>-5.855112174989662</v>
      </c>
      <c r="M146" s="30" t="str">
        <f t="shared" si="81"/>
        <v>---</v>
      </c>
      <c r="Q146" s="27" t="str">
        <f>+IF($B$3="esp","Campaña Sur","South Campaign")</f>
        <v>South Campaign</v>
      </c>
      <c r="S146" s="28">
        <f>+[1]EDUCACIÓN!K135</f>
        <v>18.498506216780449</v>
      </c>
      <c r="T146" s="29">
        <f>+[1]EDUCACIÓN!L135</f>
        <v>51.875482560301016</v>
      </c>
      <c r="U146" s="30">
        <f t="shared" ref="U146:U152" si="82">IF(T146=0,"---",IF(OR(ABS((S146-T146)/ABS(T146))&gt;9,(S146*T146)&lt;0),"---",IF(T146="0","---",((S146-T146)/ABS(T146)))))</f>
        <v>-0.64340560696900617</v>
      </c>
      <c r="X146" s="28">
        <f>+[1]EDUCACIÓN!P135</f>
        <v>-20.95501061597939</v>
      </c>
      <c r="Y146" s="29">
        <f>+[1]EDUCACIÓN!Q135</f>
        <v>-34.393903453733039</v>
      </c>
      <c r="Z146" s="30">
        <f t="shared" ref="Z146:Z152" si="83">IF(Y146=0,"---",IF(OR(ABS((X146-Y146)/ABS(Y146))&gt;9,(X146*Y146)&lt;0),"---",IF(Y146="0","---",((X146-Y146)/ABS(Y146)))))</f>
        <v>0.39073473750462079</v>
      </c>
    </row>
    <row r="147" spans="1:62" ht="15.75" customHeight="1">
      <c r="D147" s="37" t="s">
        <v>9</v>
      </c>
      <c r="F147" s="28">
        <f>+[1]GRUPO!K141</f>
        <v>0.99818222047776894</v>
      </c>
      <c r="G147" s="29">
        <f>+[1]GRUPO!L141</f>
        <v>-13.639059567080702</v>
      </c>
      <c r="H147" s="30" t="str">
        <f t="shared" si="80"/>
        <v>---</v>
      </c>
      <c r="K147" s="28">
        <f>+[1]GRUPO!P141</f>
        <v>3.9295215669780221</v>
      </c>
      <c r="L147" s="29">
        <f>+[1]GRUPO!Q141</f>
        <v>-7.67202581334538</v>
      </c>
      <c r="M147" s="30" t="str">
        <f t="shared" si="81"/>
        <v>---</v>
      </c>
      <c r="Q147" s="37" t="str">
        <f>+IF($B$3="esp","Brasil","Brazil")</f>
        <v>Brazil</v>
      </c>
      <c r="S147" s="28">
        <f>+[1]EDUCACIÓN!K136</f>
        <v>1.338497431079255</v>
      </c>
      <c r="T147" s="29">
        <f>+[1]EDUCACIÓN!L136</f>
        <v>20.607712153461435</v>
      </c>
      <c r="U147" s="30">
        <f t="shared" si="82"/>
        <v>-0.93504871277744295</v>
      </c>
      <c r="X147" s="28">
        <f>+[1]EDUCACIÓN!P136</f>
        <v>-4.6195441644838695</v>
      </c>
      <c r="Y147" s="29">
        <f>+[1]EDUCACIÓN!Q136</f>
        <v>-11.348916204329043</v>
      </c>
      <c r="Z147" s="30">
        <f t="shared" si="83"/>
        <v>0.59295283520361663</v>
      </c>
    </row>
    <row r="148" spans="1:62" ht="15.75" customHeight="1">
      <c r="D148" s="27" t="str">
        <f>+IF($B$3="esp","Otros","Other")</f>
        <v>Other</v>
      </c>
      <c r="F148" s="28">
        <f>+[1]GRUPO!K142</f>
        <v>-8.970445700000198</v>
      </c>
      <c r="G148" s="29">
        <f>+[1]GRUPO!L142</f>
        <v>-3.61852561000007</v>
      </c>
      <c r="H148" s="30">
        <f t="shared" si="80"/>
        <v>-1.4790333596671779</v>
      </c>
      <c r="K148" s="28">
        <f>+[1]GRUPO!P142</f>
        <v>-5.5127038699999984</v>
      </c>
      <c r="L148" s="29">
        <f>+[1]GRUPO!Q142</f>
        <v>-2.5753017100000122</v>
      </c>
      <c r="M148" s="30">
        <f t="shared" si="81"/>
        <v>-1.1406050594359185</v>
      </c>
      <c r="Q148" s="37" t="str">
        <f>+IF($B$3="esp","Otros países","Other countries")</f>
        <v>Other countries</v>
      </c>
      <c r="S148" s="28">
        <f>+[1]EDUCACIÓN!K137</f>
        <v>17.160008785701194</v>
      </c>
      <c r="T148" s="29">
        <f>+[1]EDUCACIÓN!L137</f>
        <v>31.267770406839581</v>
      </c>
      <c r="U148" s="30">
        <f t="shared" si="82"/>
        <v>-0.4511918002971016</v>
      </c>
      <c r="X148" s="28">
        <f>+[1]EDUCACIÓN!P137</f>
        <v>-16.33546645149552</v>
      </c>
      <c r="Y148" s="29">
        <f>+[1]EDUCACIÓN!Q137</f>
        <v>-23.044987249403995</v>
      </c>
      <c r="Z148" s="30">
        <f t="shared" si="83"/>
        <v>0.29114881797480713</v>
      </c>
    </row>
    <row r="149" spans="1:62" ht="15.75" customHeight="1">
      <c r="Q149" s="27" t="str">
        <f>+IF($B$3="esp","Campaña Norte","North Campaign")</f>
        <v>North Campaign</v>
      </c>
      <c r="S149" s="28">
        <f>+[1]EDUCACIÓN!K138</f>
        <v>7.3013932513510316</v>
      </c>
      <c r="T149" s="29">
        <f>+[1]EDUCACIÓN!L138</f>
        <v>3.687596651515161</v>
      </c>
      <c r="U149" s="30">
        <f t="shared" si="82"/>
        <v>0.97998695121686707</v>
      </c>
      <c r="X149" s="28">
        <f>+[1]EDUCACIÓN!P138</f>
        <v>11.71497230163768</v>
      </c>
      <c r="Y149" s="29">
        <f>+[1]EDUCACIÓN!Q138</f>
        <v>7.8271133702435298</v>
      </c>
      <c r="Z149" s="30">
        <f t="shared" si="83"/>
        <v>0.49671682873212103</v>
      </c>
    </row>
    <row r="150" spans="1:62" ht="15.75" customHeight="1">
      <c r="A150" s="63"/>
      <c r="D150" s="16" t="str">
        <f>+IF($B$3="esp","EBITDA sin indemnizaciones a tipo constante","EBITDA ex severance expenses on constant currency")</f>
        <v>EBITDA ex severance expenses on constant currency</v>
      </c>
      <c r="F150" s="17"/>
      <c r="G150" s="17"/>
      <c r="H150" s="17"/>
      <c r="K150" s="17"/>
      <c r="L150" s="17"/>
      <c r="M150" s="17"/>
      <c r="Q150" s="37" t="str">
        <f>+IF($B$3="esp","México","Mexico")</f>
        <v>Mexico</v>
      </c>
      <c r="S150" s="28">
        <f>+[1]EDUCACIÓN!K139</f>
        <v>5.2241436500455167</v>
      </c>
      <c r="T150" s="29">
        <f>+[1]EDUCACIÓN!L139</f>
        <v>5.2527257220726407</v>
      </c>
      <c r="U150" s="30">
        <f t="shared" si="82"/>
        <v>-5.441379112375566E-3</v>
      </c>
      <c r="X150" s="28">
        <f>+[1]EDUCACIÓN!P139</f>
        <v>7.5617484465982496</v>
      </c>
      <c r="Y150" s="29">
        <f>+[1]EDUCACIÓN!Q139</f>
        <v>8.9107005911185642</v>
      </c>
      <c r="Z150" s="30">
        <f t="shared" si="83"/>
        <v>-0.15138564366811252</v>
      </c>
    </row>
    <row r="151" spans="1:62">
      <c r="D151" s="19" t="str">
        <f>+IF($B$3="esp","GRUPO","GROUP")</f>
        <v>GROUP</v>
      </c>
      <c r="E151" s="18"/>
      <c r="F151" s="20">
        <f>+[1]GRUPO!K145</f>
        <v>22.879704366155959</v>
      </c>
      <c r="G151" s="21">
        <f>+[1]GRUPO!L145</f>
        <v>23.381537486640795</v>
      </c>
      <c r="H151" s="22">
        <f>IF(G151=0,"---",IF(OR(ABS((F151-G151)/ABS(G151))&gt;9,(F151*G151)&lt;0),"---",IF(G151="0","---",((F151-G151)/ABS(G151)))))</f>
        <v>-2.1462793914709916E-2</v>
      </c>
      <c r="I151" s="18"/>
      <c r="J151" s="18"/>
      <c r="K151" s="20">
        <f>+[1]GRUPO!P145</f>
        <v>-0.78928231645005908</v>
      </c>
      <c r="L151" s="21">
        <f>+[1]GRUPO!Q145</f>
        <v>-42.865121448289329</v>
      </c>
      <c r="M151" s="22">
        <f>IF(L151=0,"---",IF(OR(ABS((K151-L151)/ABS(L151))&gt;9,(K151*L151)&lt;0),"---",IF(L151="0","---",((K151-L151)/ABS(L151)))))</f>
        <v>0.98158684054115619</v>
      </c>
      <c r="Q151" s="37" t="str">
        <f>+IF($B$3="esp","Otros países","Other countries")</f>
        <v>Other countries</v>
      </c>
      <c r="S151" s="28">
        <f>+[1]EDUCACIÓN!K140</f>
        <v>2.0772496013055148</v>
      </c>
      <c r="T151" s="29">
        <f>+[1]EDUCACIÓN!L140</f>
        <v>-1.5651290705574796</v>
      </c>
      <c r="U151" s="30" t="str">
        <f t="shared" si="82"/>
        <v>---</v>
      </c>
      <c r="V151" s="18"/>
      <c r="W151" s="18"/>
      <c r="X151" s="28">
        <f>+[1]EDUCACIÓN!P140</f>
        <v>4.15322385503943</v>
      </c>
      <c r="Y151" s="29">
        <f>+[1]EDUCACIÓN!Q140</f>
        <v>-1.0835872208750343</v>
      </c>
      <c r="Z151" s="30" t="str">
        <f t="shared" si="83"/>
        <v>---</v>
      </c>
      <c r="AI151" s="18"/>
      <c r="AJ151" s="18"/>
      <c r="AV151" s="18"/>
      <c r="AW151" s="18"/>
      <c r="BI151" s="18"/>
      <c r="BJ151" s="18"/>
    </row>
    <row r="152" spans="1:62">
      <c r="D152" s="27" t="str">
        <f>+IF($B$3="esp","Educación","Education")</f>
        <v>Education</v>
      </c>
      <c r="F152" s="28">
        <f>+[1]GRUPO!K146</f>
        <v>20.201854978949854</v>
      </c>
      <c r="G152" s="29">
        <f>+[1]GRUPO!L146</f>
        <v>43.350591255133224</v>
      </c>
      <c r="H152" s="30">
        <f t="shared" ref="H152:H156" si="84">IF(G152=0,"---",IF(OR(ABS((F152-G152)/ABS(G152))&gt;9,(F152*G152)&lt;0),"---",IF(G152="0","---",((F152-G152)/ABS(G152)))))</f>
        <v>-0.53398894008031061</v>
      </c>
      <c r="K152" s="28">
        <f>+[1]GRUPO!P146</f>
        <v>-11.23794809181355</v>
      </c>
      <c r="L152" s="29">
        <f>+[1]GRUPO!Q146</f>
        <v>-27.747162910287614</v>
      </c>
      <c r="M152" s="30">
        <f t="shared" ref="M152:M156" si="85">IF(L152=0,"---",IF(OR(ABS((K152-L152)/ABS(L152))&gt;9,(K152*L152)&lt;0),"---",IF(L152="0","---",((K152-L152)/ABS(L152)))))</f>
        <v>0.5949874901391472</v>
      </c>
      <c r="Q152" s="27" t="str">
        <f>+IF($B$3="esp","Tecnología Educativa global y Centro Corpor.","Global Educational IT &amp; HQ")</f>
        <v>Global Educational IT &amp; HQ</v>
      </c>
      <c r="S152" s="28">
        <f>+[1]EDUCACIÓN!K141</f>
        <v>-8.4964980999999984</v>
      </c>
      <c r="T152" s="29">
        <f>+[1]EDUCACIÓN!L141</f>
        <v>-10.516227339999995</v>
      </c>
      <c r="U152" s="30">
        <f t="shared" si="82"/>
        <v>0.19205834703835886</v>
      </c>
      <c r="X152" s="28">
        <f>+[1]EDUCACIÓN!P141</f>
        <v>-2.7744168399999998</v>
      </c>
      <c r="Y152" s="29">
        <f>+[1]EDUCACIÓN!Q141</f>
        <v>-4.5978998299999949</v>
      </c>
      <c r="Z152" s="30">
        <f t="shared" si="83"/>
        <v>0.39659041245359128</v>
      </c>
    </row>
    <row r="153" spans="1:62">
      <c r="D153" s="27" t="str">
        <f>+IF($B$3="esp","Media","Media")</f>
        <v>Media</v>
      </c>
      <c r="F153" s="28">
        <f>+[1]GRUPO!K147</f>
        <v>8.1772208572063079</v>
      </c>
      <c r="G153" s="29">
        <f>+[1]GRUPO!L147</f>
        <v>-17.137273298492364</v>
      </c>
      <c r="H153" s="30" t="str">
        <f t="shared" si="84"/>
        <v>---</v>
      </c>
      <c r="K153" s="28">
        <f>+[1]GRUPO!P147</f>
        <v>13.250508725363499</v>
      </c>
      <c r="L153" s="29">
        <f>+[1]GRUPO!Q147</f>
        <v>-12.874638118001712</v>
      </c>
      <c r="M153" s="30" t="str">
        <f t="shared" si="85"/>
        <v>---</v>
      </c>
    </row>
    <row r="154" spans="1:62">
      <c r="D154" s="37" t="s">
        <v>8</v>
      </c>
      <c r="F154" s="28">
        <f>+[1]GRUPO!K148</f>
        <v>4.7414666907706557</v>
      </c>
      <c r="G154" s="29">
        <f>+[1]GRUPO!L148</f>
        <v>-4.8860160727546562</v>
      </c>
      <c r="H154" s="30" t="str">
        <f t="shared" si="84"/>
        <v>---</v>
      </c>
      <c r="K154" s="28">
        <f>+[1]GRUPO!P148</f>
        <v>8.4338364813719586</v>
      </c>
      <c r="L154" s="29">
        <f>+[1]GRUPO!Q148</f>
        <v>-5.7767204646563117</v>
      </c>
      <c r="M154" s="30" t="str">
        <f t="shared" si="85"/>
        <v>---</v>
      </c>
      <c r="Q154" s="16" t="str">
        <f>+IF($B$3="esp","EBITDA sin indemnizaciones a tipo constante","EBITDA ex severance expenses on constant currency")</f>
        <v>EBITDA ex severance expenses on constant currency</v>
      </c>
      <c r="S154" s="17"/>
      <c r="T154" s="17"/>
      <c r="U154" s="17"/>
      <c r="X154" s="17"/>
      <c r="Y154" s="17"/>
      <c r="Z154" s="17"/>
    </row>
    <row r="155" spans="1:62">
      <c r="D155" s="37" t="s">
        <v>9</v>
      </c>
      <c r="F155" s="28">
        <f>+[1]GRUPO!K149</f>
        <v>3.8664349964357663</v>
      </c>
      <c r="G155" s="29">
        <f>+[1]GRUPO!L149</f>
        <v>-12.251257225737712</v>
      </c>
      <c r="H155" s="30" t="str">
        <f t="shared" si="84"/>
        <v>---</v>
      </c>
      <c r="K155" s="28">
        <f>+[1]GRUPO!P149</f>
        <v>4.9977093039916411</v>
      </c>
      <c r="L155" s="29">
        <f>+[1]GRUPO!Q149</f>
        <v>-7.0979176533453803</v>
      </c>
      <c r="M155" s="30" t="str">
        <f t="shared" si="85"/>
        <v>---</v>
      </c>
      <c r="Q155" s="19" t="str">
        <f>+IF($B$3="esp","Total Santillana","Santillana Total")</f>
        <v>Santillana Total</v>
      </c>
      <c r="R155" s="18"/>
      <c r="S155" s="20">
        <f>+[1]EDUCACIÓN!K144</f>
        <v>20.201854978949854</v>
      </c>
      <c r="T155" s="21">
        <f>+[1]EDUCACIÓN!L144</f>
        <v>43.350591255133224</v>
      </c>
      <c r="U155" s="22">
        <f>IF(T155=0,"---",IF(OR(ABS((S155-T155)/ABS(T155))&gt;9,(S155*T155)&lt;0),"---",IF(T155="0","---",((S155-T155)/ABS(T155)))))</f>
        <v>-0.53398894008031061</v>
      </c>
      <c r="X155" s="20">
        <f>+[1]EDUCACIÓN!P144</f>
        <v>-11.23794809181355</v>
      </c>
      <c r="Y155" s="21">
        <f>+[1]EDUCACIÓN!Q144</f>
        <v>-27.747162910287614</v>
      </c>
      <c r="Z155" s="22">
        <f>IF(Y155=0,"---",IF(OR(ABS((X155-Y155)/ABS(Y155))&gt;9,(X155*Y155)&lt;0),"---",IF(Y155="0","---",((X155-Y155)/ABS(Y155)))))</f>
        <v>0.5949874901391472</v>
      </c>
    </row>
    <row r="156" spans="1:62">
      <c r="D156" s="27" t="str">
        <f>+IF($B$3="esp","Otros","Other")</f>
        <v>Other</v>
      </c>
      <c r="F156" s="28">
        <f>+[1]GRUPO!K150</f>
        <v>-5.4993714700002023</v>
      </c>
      <c r="G156" s="29">
        <f>+[1]GRUPO!L150</f>
        <v>-2.8317804700000657</v>
      </c>
      <c r="H156" s="30">
        <f t="shared" si="84"/>
        <v>-0.94201899768030917</v>
      </c>
      <c r="K156" s="28">
        <f>+[1]GRUPO!P150</f>
        <v>-2.8018429500000082</v>
      </c>
      <c r="L156" s="29">
        <f>+[1]GRUPO!Q150</f>
        <v>-2.2433204200000034</v>
      </c>
      <c r="M156" s="30">
        <f t="shared" si="85"/>
        <v>-0.24897135737747347</v>
      </c>
      <c r="Q156" s="27" t="str">
        <f>+IF($B$3="esp","Campaña Sur","South Campaign")</f>
        <v>South Campaign</v>
      </c>
      <c r="S156" s="28">
        <f>+[1]EDUCACIÓN!K145</f>
        <v>20.313544298811124</v>
      </c>
      <c r="T156" s="29">
        <f>+[1]EDUCACIÓN!L145</f>
        <v>52.847463712239609</v>
      </c>
      <c r="U156" s="30">
        <f t="shared" ref="U156:U162" si="86">IF(T156=0,"---",IF(OR(ABS((S156-T156)/ABS(T156))&gt;9,(S156*T156)&lt;0),"---",IF(T156="0","---",((S156-T156)/ABS(T156)))))</f>
        <v>-0.61561931506456657</v>
      </c>
      <c r="X156" s="28">
        <f>+[1]EDUCACIÓN!P145</f>
        <v>-19.973937555155558</v>
      </c>
      <c r="Y156" s="29">
        <f>+[1]EDUCACIÓN!Q145</f>
        <v>-34.060083366114533</v>
      </c>
      <c r="Z156" s="30">
        <f t="shared" ref="Z156:Z162" si="87">IF(Y156=0,"---",IF(OR(ABS((X156-Y156)/ABS(Y156))&gt;9,(X156*Y156)&lt;0),"---",IF(Y156="0","---",((X156-Y156)/ABS(Y156)))))</f>
        <v>0.41356756704162695</v>
      </c>
    </row>
    <row r="157" spans="1:62">
      <c r="Q157" s="37" t="str">
        <f>+IF($B$3="esp","Brasil","Brazil")</f>
        <v>Brazil</v>
      </c>
      <c r="S157" s="28">
        <f>+[1]EDUCACIÓN!K146</f>
        <v>1.3163675276866953</v>
      </c>
      <c r="T157" s="29">
        <f>+[1]EDUCACIÓN!L146</f>
        <v>21.235249662887895</v>
      </c>
      <c r="U157" s="30">
        <f t="shared" si="86"/>
        <v>-0.93801026366140339</v>
      </c>
      <c r="X157" s="28">
        <f>+[1]EDUCACIÓN!P146</f>
        <v>-4.9699023060753724</v>
      </c>
      <c r="Y157" s="29">
        <f>+[1]EDUCACIÓN!Q146</f>
        <v>-11.203101349032089</v>
      </c>
      <c r="Z157" s="30">
        <f t="shared" si="87"/>
        <v>0.55638156335122724</v>
      </c>
    </row>
    <row r="158" spans="1:62">
      <c r="Q158" s="37" t="str">
        <f>+IF($B$3="esp","Otros países","Other countries")</f>
        <v>Other countries</v>
      </c>
      <c r="S158" s="28">
        <f>+[1]EDUCACIÓN!K147</f>
        <v>18.99717677112443</v>
      </c>
      <c r="T158" s="29">
        <f>+[1]EDUCACIÓN!L147</f>
        <v>31.612214049351714</v>
      </c>
      <c r="U158" s="30">
        <f t="shared" si="86"/>
        <v>-0.39905579718437934</v>
      </c>
      <c r="X158" s="28">
        <f>+[1]EDUCACIÓN!P147</f>
        <v>-15.004035249080182</v>
      </c>
      <c r="Y158" s="29">
        <f>+[1]EDUCACIÓN!Q147</f>
        <v>-22.856982017082444</v>
      </c>
      <c r="Z158" s="30">
        <f t="shared" si="87"/>
        <v>0.34356883870903282</v>
      </c>
    </row>
    <row r="159" spans="1:62">
      <c r="Q159" s="27" t="str">
        <f>+IF($B$3="esp","Campaña Norte","North Campaign")</f>
        <v>North Campaign</v>
      </c>
      <c r="S159" s="28">
        <f>+[1]EDUCACIÓN!K148</f>
        <v>8.0964111269864834</v>
      </c>
      <c r="T159" s="29">
        <f>+[1]EDUCACIÓN!L148</f>
        <v>3.820058435043713</v>
      </c>
      <c r="U159" s="30">
        <f t="shared" si="86"/>
        <v>1.1194469311550823</v>
      </c>
      <c r="X159" s="28">
        <f>+[1]EDUCACIÓN!P148</f>
        <v>11.918609014757072</v>
      </c>
      <c r="Y159" s="29">
        <f>+[1]EDUCACIÓN!Q148</f>
        <v>7.9061359458686571</v>
      </c>
      <c r="Z159" s="30">
        <f t="shared" si="87"/>
        <v>0.50751379641848027</v>
      </c>
    </row>
    <row r="160" spans="1:62">
      <c r="Q160" s="37" t="str">
        <f>+IF($B$3="esp","México","Mexico")</f>
        <v>Mexico</v>
      </c>
      <c r="S160" s="28">
        <f>+[1]EDUCACIÓN!K149</f>
        <v>5.4892398699108256</v>
      </c>
      <c r="T160" s="29">
        <f>+[1]EDUCACIÓN!L149</f>
        <v>5.3716978348579802</v>
      </c>
      <c r="U160" s="30">
        <f t="shared" si="86"/>
        <v>2.1881728769271507E-2</v>
      </c>
      <c r="X160" s="28">
        <f>+[1]EDUCACIÓN!P149</f>
        <v>7.7146575916761275</v>
      </c>
      <c r="Y160" s="29">
        <f>+[1]EDUCACIÓN!Q149</f>
        <v>8.9761785381063675</v>
      </c>
      <c r="Z160" s="30">
        <f t="shared" si="87"/>
        <v>-0.14054098200862802</v>
      </c>
    </row>
    <row r="161" spans="17:26">
      <c r="Q161" s="37" t="str">
        <f>+IF($B$3="esp","Otros países","Other countries")</f>
        <v>Other countries</v>
      </c>
      <c r="S161" s="28">
        <f>+[1]EDUCACIÓN!K150</f>
        <v>2.6071712570756578</v>
      </c>
      <c r="T161" s="29">
        <f>+[1]EDUCACIÓN!L150</f>
        <v>-1.5516393998142672</v>
      </c>
      <c r="U161" s="30" t="str">
        <f t="shared" si="86"/>
        <v>---</v>
      </c>
      <c r="X161" s="28">
        <f>+[1]EDUCACIÓN!P150</f>
        <v>4.2039514230809445</v>
      </c>
      <c r="Y161" s="29">
        <f>+[1]EDUCACIÓN!Q150</f>
        <v>-1.0700425922377104</v>
      </c>
      <c r="Z161" s="30" t="str">
        <f t="shared" si="87"/>
        <v>---</v>
      </c>
    </row>
    <row r="162" spans="17:26">
      <c r="Q162" s="27" t="str">
        <f>+IF($B$3="esp","Tecnología Educativa global y Centro Corpor.","Global Educational IT &amp; HQ")</f>
        <v>Global Educational IT &amp; HQ</v>
      </c>
      <c r="S162" s="28">
        <f>+[1]EDUCACIÓN!K151</f>
        <v>-8.7572537399999977</v>
      </c>
      <c r="T162" s="29">
        <f>+[1]EDUCACIÓN!L151</f>
        <v>-10.516227339999995</v>
      </c>
      <c r="U162" s="30">
        <f t="shared" si="86"/>
        <v>0.16726279711636571</v>
      </c>
      <c r="X162" s="28">
        <f>+[1]EDUCACIÓN!P151</f>
        <v>-3.0356913399999987</v>
      </c>
      <c r="Y162" s="29">
        <f>+[1]EDUCACIÓN!Q151</f>
        <v>-4.5978998299999949</v>
      </c>
      <c r="Z162" s="30">
        <f t="shared" si="87"/>
        <v>0.33976566427285521</v>
      </c>
    </row>
  </sheetData>
  <mergeCells count="4">
    <mergeCell ref="D97:D98"/>
    <mergeCell ref="Q97:Q98"/>
    <mergeCell ref="D131:D132"/>
    <mergeCell ref="Q131:Q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Guelbenzu Robles, Belen</cp:lastModifiedBy>
  <dcterms:created xsi:type="dcterms:W3CDTF">2021-07-21T12:12:11Z</dcterms:created>
  <dcterms:modified xsi:type="dcterms:W3CDTF">2021-07-21T12:15:47Z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