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1\4Q2021\"/>
    </mc:Choice>
  </mc:AlternateContent>
  <xr:revisionPtr revIDLastSave="0" documentId="13_ncr:1_{87E2D377-46BB-43DD-B61A-3D1527B341C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MEDIA versión Rad vs Not" sheetId="8" state="hidden" r:id="rId1"/>
    <sheet name="To Publish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7" l="1"/>
  <c r="M54" i="7"/>
  <c r="G54" i="7"/>
  <c r="H54" i="7"/>
  <c r="L48" i="7"/>
  <c r="G48" i="7"/>
  <c r="AF14" i="8"/>
  <c r="AF28" i="8"/>
  <c r="AF21" i="8"/>
  <c r="V14" i="8"/>
  <c r="V28" i="8"/>
  <c r="V21" i="8"/>
  <c r="AF11" i="8"/>
  <c r="AF25" i="8"/>
  <c r="AF18" i="8"/>
  <c r="V11" i="8"/>
  <c r="V25" i="8"/>
  <c r="V18" i="8"/>
  <c r="AE14" i="8"/>
  <c r="AE28" i="8"/>
  <c r="AE21" i="8"/>
  <c r="U14" i="8"/>
  <c r="U28" i="8"/>
  <c r="U21" i="8"/>
  <c r="AE11" i="8"/>
  <c r="AE25" i="8"/>
  <c r="AE18" i="8"/>
  <c r="U11" i="8"/>
  <c r="U25" i="8"/>
  <c r="U18" i="8"/>
  <c r="AD17" i="7"/>
  <c r="AD16" i="7"/>
  <c r="AD15" i="7"/>
  <c r="AD14" i="7"/>
  <c r="AD13" i="7"/>
  <c r="AD12" i="7"/>
  <c r="AD11" i="7"/>
  <c r="AD18" i="7"/>
  <c r="AF70" i="8"/>
  <c r="AF71" i="8"/>
  <c r="AF72" i="8"/>
  <c r="AF84" i="8"/>
  <c r="AF85" i="8"/>
  <c r="AF86" i="8"/>
  <c r="AF79" i="8"/>
  <c r="AE70" i="8"/>
  <c r="AE71" i="8"/>
  <c r="AE72" i="8"/>
  <c r="AE84" i="8"/>
  <c r="AE85" i="8"/>
  <c r="AE86" i="8"/>
  <c r="AE79" i="8"/>
  <c r="AF78" i="8"/>
  <c r="AE78" i="8"/>
  <c r="AF77" i="8"/>
  <c r="AE77" i="8"/>
  <c r="AF69" i="8"/>
  <c r="AF83" i="8"/>
  <c r="AF76" i="8"/>
  <c r="AE69" i="8"/>
  <c r="AE83" i="8"/>
  <c r="AE76" i="8"/>
  <c r="AF68" i="8"/>
  <c r="AF82" i="8"/>
  <c r="AF75" i="8"/>
  <c r="AE68" i="8"/>
  <c r="AE82" i="8"/>
  <c r="AE75" i="8"/>
  <c r="AF67" i="8"/>
  <c r="AF81" i="8"/>
  <c r="AF74" i="8"/>
  <c r="AE67" i="8"/>
  <c r="AE81" i="8"/>
  <c r="AE74" i="8"/>
  <c r="V70" i="8"/>
  <c r="V71" i="8"/>
  <c r="V72" i="8"/>
  <c r="V84" i="8"/>
  <c r="V85" i="8"/>
  <c r="V86" i="8"/>
  <c r="V79" i="8"/>
  <c r="U70" i="8"/>
  <c r="U71" i="8"/>
  <c r="U72" i="8"/>
  <c r="U84" i="8"/>
  <c r="U85" i="8"/>
  <c r="U86" i="8"/>
  <c r="U79" i="8"/>
  <c r="V78" i="8"/>
  <c r="U78" i="8"/>
  <c r="V77" i="8"/>
  <c r="U77" i="8"/>
  <c r="V69" i="8"/>
  <c r="V83" i="8"/>
  <c r="V76" i="8"/>
  <c r="U69" i="8"/>
  <c r="U83" i="8"/>
  <c r="U76" i="8"/>
  <c r="V68" i="8"/>
  <c r="V82" i="8"/>
  <c r="V75" i="8"/>
  <c r="U68" i="8"/>
  <c r="U82" i="8"/>
  <c r="U75" i="8"/>
  <c r="V67" i="8"/>
  <c r="V81" i="8"/>
  <c r="V74" i="8"/>
  <c r="U67" i="8"/>
  <c r="U81" i="8"/>
  <c r="U74" i="8"/>
  <c r="L70" i="8"/>
  <c r="L71" i="8"/>
  <c r="L72" i="8"/>
  <c r="L84" i="8"/>
  <c r="L85" i="8"/>
  <c r="L86" i="8"/>
  <c r="L79" i="8"/>
  <c r="K70" i="8"/>
  <c r="K71" i="8"/>
  <c r="K72" i="8"/>
  <c r="K84" i="8"/>
  <c r="K85" i="8"/>
  <c r="K86" i="8"/>
  <c r="K79" i="8"/>
  <c r="L78" i="8"/>
  <c r="K78" i="8"/>
  <c r="L77" i="8"/>
  <c r="K77" i="8"/>
  <c r="L69" i="8"/>
  <c r="L83" i="8"/>
  <c r="L76" i="8"/>
  <c r="K69" i="8"/>
  <c r="K83" i="8"/>
  <c r="K76" i="8"/>
  <c r="L68" i="8"/>
  <c r="L82" i="8"/>
  <c r="L75" i="8"/>
  <c r="K68" i="8"/>
  <c r="K82" i="8"/>
  <c r="K75" i="8"/>
  <c r="L67" i="8"/>
  <c r="L81" i="8"/>
  <c r="L74" i="8"/>
  <c r="K67" i="8"/>
  <c r="K81" i="8"/>
  <c r="K74" i="8"/>
  <c r="G70" i="8"/>
  <c r="G71" i="8"/>
  <c r="G72" i="8"/>
  <c r="G84" i="8"/>
  <c r="G85" i="8"/>
  <c r="G86" i="8"/>
  <c r="G79" i="8"/>
  <c r="G78" i="8"/>
  <c r="G77" i="8"/>
  <c r="G69" i="8"/>
  <c r="G83" i="8"/>
  <c r="G76" i="8"/>
  <c r="G68" i="8"/>
  <c r="G82" i="8"/>
  <c r="G75" i="8"/>
  <c r="G67" i="8"/>
  <c r="G81" i="8"/>
  <c r="G74" i="8"/>
  <c r="F70" i="8"/>
  <c r="F71" i="8"/>
  <c r="F72" i="8"/>
  <c r="F84" i="8"/>
  <c r="F85" i="8"/>
  <c r="F86" i="8"/>
  <c r="F79" i="8"/>
  <c r="F78" i="8"/>
  <c r="F77" i="8"/>
  <c r="F69" i="8"/>
  <c r="F83" i="8"/>
  <c r="F76" i="8"/>
  <c r="F68" i="8"/>
  <c r="F82" i="8"/>
  <c r="F75" i="8"/>
  <c r="F67" i="8"/>
  <c r="F81" i="8"/>
  <c r="F74" i="8"/>
  <c r="AE15" i="8"/>
  <c r="AE16" i="8"/>
  <c r="AE29" i="8"/>
  <c r="AE30" i="8"/>
  <c r="AE23" i="8"/>
  <c r="U15" i="8"/>
  <c r="U16" i="8"/>
  <c r="U29" i="8"/>
  <c r="U30" i="8"/>
  <c r="U23" i="8"/>
  <c r="K14" i="8"/>
  <c r="K15" i="8"/>
  <c r="K16" i="8"/>
  <c r="K28" i="8"/>
  <c r="K29" i="8"/>
  <c r="K30" i="8"/>
  <c r="K23" i="8"/>
  <c r="AE22" i="8"/>
  <c r="U22" i="8"/>
  <c r="K22" i="8"/>
  <c r="K21" i="8"/>
  <c r="AE13" i="8"/>
  <c r="AE27" i="8"/>
  <c r="AE20" i="8"/>
  <c r="U13" i="8"/>
  <c r="U27" i="8"/>
  <c r="U20" i="8"/>
  <c r="K13" i="8"/>
  <c r="K27" i="8"/>
  <c r="K20" i="8"/>
  <c r="AE12" i="8"/>
  <c r="AE26" i="8"/>
  <c r="AE19" i="8"/>
  <c r="U12" i="8"/>
  <c r="U26" i="8"/>
  <c r="U19" i="8"/>
  <c r="K12" i="8"/>
  <c r="K26" i="8"/>
  <c r="K19" i="8"/>
  <c r="K11" i="8"/>
  <c r="K25" i="8"/>
  <c r="K18" i="8"/>
  <c r="AF15" i="8"/>
  <c r="AF16" i="8"/>
  <c r="AF29" i="8"/>
  <c r="AF30" i="8"/>
  <c r="AF23" i="8"/>
  <c r="AF22" i="8"/>
  <c r="AF13" i="8"/>
  <c r="AF27" i="8"/>
  <c r="AF20" i="8"/>
  <c r="AF12" i="8"/>
  <c r="AF26" i="8"/>
  <c r="AF19" i="8"/>
  <c r="V15" i="8"/>
  <c r="V16" i="8"/>
  <c r="V29" i="8"/>
  <c r="V30" i="8"/>
  <c r="V23" i="8"/>
  <c r="V22" i="8"/>
  <c r="V13" i="8"/>
  <c r="V27" i="8"/>
  <c r="V20" i="8"/>
  <c r="V12" i="8"/>
  <c r="V26" i="8"/>
  <c r="V19" i="8"/>
  <c r="L14" i="8"/>
  <c r="L15" i="8"/>
  <c r="L16" i="8"/>
  <c r="L28" i="8"/>
  <c r="L29" i="8"/>
  <c r="L30" i="8"/>
  <c r="L23" i="8"/>
  <c r="L22" i="8"/>
  <c r="L21" i="8"/>
  <c r="L13" i="8"/>
  <c r="L27" i="8"/>
  <c r="L20" i="8"/>
  <c r="L12" i="8"/>
  <c r="L26" i="8"/>
  <c r="L19" i="8"/>
  <c r="L11" i="8"/>
  <c r="L25" i="8"/>
  <c r="L18" i="8"/>
  <c r="G14" i="8"/>
  <c r="G15" i="8"/>
  <c r="G16" i="8"/>
  <c r="G28" i="8"/>
  <c r="G29" i="8"/>
  <c r="G30" i="8"/>
  <c r="G23" i="8"/>
  <c r="F14" i="8"/>
  <c r="F15" i="8"/>
  <c r="F16" i="8"/>
  <c r="F28" i="8"/>
  <c r="F29" i="8"/>
  <c r="F30" i="8"/>
  <c r="F23" i="8"/>
  <c r="G22" i="8"/>
  <c r="F22" i="8"/>
  <c r="G21" i="8"/>
  <c r="F21" i="8"/>
  <c r="G13" i="8"/>
  <c r="G27" i="8"/>
  <c r="G20" i="8"/>
  <c r="F13" i="8"/>
  <c r="F27" i="8"/>
  <c r="F20" i="8"/>
  <c r="G12" i="8"/>
  <c r="G26" i="8"/>
  <c r="G19" i="8"/>
  <c r="F12" i="8"/>
  <c r="F26" i="8"/>
  <c r="F19" i="8"/>
  <c r="G11" i="8"/>
  <c r="G25" i="8"/>
  <c r="G18" i="8"/>
  <c r="F11" i="8"/>
  <c r="F25" i="8"/>
  <c r="F18" i="8"/>
  <c r="AE162" i="8"/>
  <c r="U162" i="8"/>
  <c r="AJ162" i="8"/>
  <c r="AF162" i="8"/>
  <c r="V162" i="8"/>
  <c r="AK162" i="8"/>
  <c r="AL162" i="8"/>
  <c r="AG162" i="8"/>
  <c r="K162" i="8"/>
  <c r="Z162" i="8"/>
  <c r="L162" i="8"/>
  <c r="AA162" i="8"/>
  <c r="AB162" i="8"/>
  <c r="W162" i="8"/>
  <c r="M162" i="8"/>
  <c r="D162" i="8"/>
  <c r="AE158" i="8"/>
  <c r="AE159" i="8"/>
  <c r="AE161" i="8"/>
  <c r="U158" i="8"/>
  <c r="U159" i="8"/>
  <c r="U161" i="8"/>
  <c r="AJ161" i="8"/>
  <c r="AF158" i="8"/>
  <c r="AF159" i="8"/>
  <c r="AF161" i="8"/>
  <c r="V158" i="8"/>
  <c r="V159" i="8"/>
  <c r="V161" i="8"/>
  <c r="AK161" i="8"/>
  <c r="AL161" i="8"/>
  <c r="AG161" i="8"/>
  <c r="K158" i="8"/>
  <c r="K159" i="8"/>
  <c r="K161" i="8"/>
  <c r="Z161" i="8"/>
  <c r="L158" i="8"/>
  <c r="L159" i="8"/>
  <c r="L161" i="8"/>
  <c r="AA161" i="8"/>
  <c r="AB161" i="8"/>
  <c r="W161" i="8"/>
  <c r="M161" i="8"/>
  <c r="D161" i="8"/>
  <c r="AK158" i="8"/>
  <c r="AK159" i="8"/>
  <c r="AK160" i="8"/>
  <c r="AJ158" i="8"/>
  <c r="AJ159" i="8"/>
  <c r="AJ160" i="8"/>
  <c r="AL160" i="8"/>
  <c r="AF160" i="8"/>
  <c r="AE160" i="8"/>
  <c r="AG160" i="8"/>
  <c r="AA158" i="8"/>
  <c r="AA159" i="8"/>
  <c r="AA160" i="8"/>
  <c r="Z158" i="8"/>
  <c r="Z159" i="8"/>
  <c r="Z160" i="8"/>
  <c r="AB160" i="8"/>
  <c r="V160" i="8"/>
  <c r="U160" i="8"/>
  <c r="W160" i="8"/>
  <c r="L160" i="8"/>
  <c r="K160" i="8"/>
  <c r="M160" i="8"/>
  <c r="D160" i="8"/>
  <c r="AL159" i="8"/>
  <c r="AG159" i="8"/>
  <c r="AB159" i="8"/>
  <c r="W159" i="8"/>
  <c r="M159" i="8"/>
  <c r="D159" i="8"/>
  <c r="AL158" i="8"/>
  <c r="AG158" i="8"/>
  <c r="AB158" i="8"/>
  <c r="W158" i="8"/>
  <c r="M158" i="8"/>
  <c r="D158" i="8"/>
  <c r="D157" i="8"/>
  <c r="AL155" i="8"/>
  <c r="AE155" i="8"/>
  <c r="AF155" i="8"/>
  <c r="AG155" i="8"/>
  <c r="U155" i="8"/>
  <c r="Z155" i="8"/>
  <c r="V155" i="8"/>
  <c r="AA155" i="8"/>
  <c r="AB155" i="8"/>
  <c r="W155" i="8"/>
  <c r="K155" i="8"/>
  <c r="L155" i="8"/>
  <c r="M155" i="8"/>
  <c r="D155" i="8"/>
  <c r="AL154" i="8"/>
  <c r="AE154" i="8"/>
  <c r="AF154" i="8"/>
  <c r="AG154" i="8"/>
  <c r="U154" i="8"/>
  <c r="Z154" i="8"/>
  <c r="V154" i="8"/>
  <c r="AA154" i="8"/>
  <c r="AB154" i="8"/>
  <c r="W154" i="8"/>
  <c r="K154" i="8"/>
  <c r="L154" i="8"/>
  <c r="M154" i="8"/>
  <c r="D154" i="8"/>
  <c r="AL153" i="8"/>
  <c r="AE153" i="8"/>
  <c r="AF153" i="8"/>
  <c r="AG153" i="8"/>
  <c r="Z153" i="8"/>
  <c r="AA153" i="8"/>
  <c r="AB153" i="8"/>
  <c r="U153" i="8"/>
  <c r="V153" i="8"/>
  <c r="W153" i="8"/>
  <c r="K153" i="8"/>
  <c r="L153" i="8"/>
  <c r="M153" i="8"/>
  <c r="D153" i="8"/>
  <c r="AL152" i="8"/>
  <c r="AE152" i="8"/>
  <c r="AF152" i="8"/>
  <c r="AG152" i="8"/>
  <c r="Z152" i="8"/>
  <c r="AA152" i="8"/>
  <c r="AB152" i="8"/>
  <c r="U152" i="8"/>
  <c r="V152" i="8"/>
  <c r="W152" i="8"/>
  <c r="K152" i="8"/>
  <c r="L152" i="8"/>
  <c r="M152" i="8"/>
  <c r="D152" i="8"/>
  <c r="AL151" i="8"/>
  <c r="AE151" i="8"/>
  <c r="AF151" i="8"/>
  <c r="AG151" i="8"/>
  <c r="Z151" i="8"/>
  <c r="AA151" i="8"/>
  <c r="AB151" i="8"/>
  <c r="U151" i="8"/>
  <c r="V151" i="8"/>
  <c r="W151" i="8"/>
  <c r="K151" i="8"/>
  <c r="L151" i="8"/>
  <c r="M151" i="8"/>
  <c r="D151" i="8"/>
  <c r="D150" i="8"/>
  <c r="AL149" i="8"/>
  <c r="AG149" i="8"/>
  <c r="AB149" i="8"/>
  <c r="W149" i="8"/>
  <c r="M149" i="8"/>
  <c r="H149" i="8"/>
  <c r="AJ6" i="8"/>
  <c r="AJ147" i="8"/>
  <c r="AE6" i="8"/>
  <c r="AE147" i="8"/>
  <c r="Z6" i="8"/>
  <c r="Z147" i="8"/>
  <c r="U6" i="8"/>
  <c r="U147" i="8"/>
  <c r="K6" i="8"/>
  <c r="K147" i="8"/>
  <c r="F6" i="8"/>
  <c r="F147" i="8"/>
  <c r="D147" i="8"/>
  <c r="AF139" i="8"/>
  <c r="AF140" i="8"/>
  <c r="AF141" i="8"/>
  <c r="AF142" i="8"/>
  <c r="AF143" i="8"/>
  <c r="V139" i="8"/>
  <c r="V140" i="8"/>
  <c r="V141" i="8"/>
  <c r="V142" i="8"/>
  <c r="V143" i="8"/>
  <c r="AK143" i="8"/>
  <c r="AE121" i="8"/>
  <c r="AE122" i="8"/>
  <c r="AE123" i="8"/>
  <c r="AE124" i="8"/>
  <c r="AE125" i="8"/>
  <c r="AE143" i="8"/>
  <c r="U121" i="8"/>
  <c r="U122" i="8"/>
  <c r="U123" i="8"/>
  <c r="U124" i="8"/>
  <c r="U125" i="8"/>
  <c r="U143" i="8"/>
  <c r="AJ143" i="8"/>
  <c r="AL143" i="8"/>
  <c r="AG143" i="8"/>
  <c r="L139" i="8"/>
  <c r="L140" i="8"/>
  <c r="L141" i="8"/>
  <c r="L142" i="8"/>
  <c r="L143" i="8"/>
  <c r="AA143" i="8"/>
  <c r="K121" i="8"/>
  <c r="K122" i="8"/>
  <c r="K123" i="8"/>
  <c r="K124" i="8"/>
  <c r="K125" i="8"/>
  <c r="K143" i="8"/>
  <c r="Z143" i="8"/>
  <c r="AB143" i="8"/>
  <c r="W143" i="8"/>
  <c r="G139" i="8"/>
  <c r="G140" i="8"/>
  <c r="G141" i="8"/>
  <c r="G142" i="8"/>
  <c r="G143" i="8"/>
  <c r="Q143" i="8"/>
  <c r="F121" i="8"/>
  <c r="F122" i="8"/>
  <c r="F123" i="8"/>
  <c r="F124" i="8"/>
  <c r="F125" i="8"/>
  <c r="F143" i="8"/>
  <c r="P143" i="8"/>
  <c r="R143" i="8"/>
  <c r="M143" i="8"/>
  <c r="H143" i="8"/>
  <c r="D143" i="8"/>
  <c r="AK142" i="8"/>
  <c r="AE142" i="8"/>
  <c r="U142" i="8"/>
  <c r="AJ142" i="8"/>
  <c r="AL142" i="8"/>
  <c r="AG142" i="8"/>
  <c r="AA142" i="8"/>
  <c r="K142" i="8"/>
  <c r="Z142" i="8"/>
  <c r="AB142" i="8"/>
  <c r="W142" i="8"/>
  <c r="Q142" i="8"/>
  <c r="F142" i="8"/>
  <c r="P142" i="8"/>
  <c r="R142" i="8"/>
  <c r="M142" i="8"/>
  <c r="H142" i="8"/>
  <c r="D142" i="8"/>
  <c r="AK141" i="8"/>
  <c r="AE141" i="8"/>
  <c r="U141" i="8"/>
  <c r="AJ141" i="8"/>
  <c r="AL141" i="8"/>
  <c r="AG141" i="8"/>
  <c r="AA141" i="8"/>
  <c r="K141" i="8"/>
  <c r="Z141" i="8"/>
  <c r="AB141" i="8"/>
  <c r="W141" i="8"/>
  <c r="Q141" i="8"/>
  <c r="F141" i="8"/>
  <c r="P141" i="8"/>
  <c r="R141" i="8"/>
  <c r="M141" i="8"/>
  <c r="H141" i="8"/>
  <c r="D141" i="8"/>
  <c r="AK140" i="8"/>
  <c r="AE139" i="8"/>
  <c r="AE140" i="8"/>
  <c r="U139" i="8"/>
  <c r="U140" i="8"/>
  <c r="AJ140" i="8"/>
  <c r="AL140" i="8"/>
  <c r="AG140" i="8"/>
  <c r="AA140" i="8"/>
  <c r="K139" i="8"/>
  <c r="K140" i="8"/>
  <c r="Z140" i="8"/>
  <c r="AB140" i="8"/>
  <c r="W140" i="8"/>
  <c r="Q140" i="8"/>
  <c r="F139" i="8"/>
  <c r="F140" i="8"/>
  <c r="P140" i="8"/>
  <c r="R140" i="8"/>
  <c r="M140" i="8"/>
  <c r="H140" i="8"/>
  <c r="D140" i="8"/>
  <c r="AK139" i="8"/>
  <c r="AJ139" i="8"/>
  <c r="AL139" i="8"/>
  <c r="AG139" i="8"/>
  <c r="AA139" i="8"/>
  <c r="Z139" i="8"/>
  <c r="AB139" i="8"/>
  <c r="W139" i="8"/>
  <c r="Q139" i="8"/>
  <c r="P139" i="8"/>
  <c r="R139" i="8"/>
  <c r="M139" i="8"/>
  <c r="H139" i="8"/>
  <c r="AF129" i="8"/>
  <c r="AF130" i="8"/>
  <c r="AF134" i="8"/>
  <c r="AF138" i="8"/>
  <c r="V129" i="8"/>
  <c r="V130" i="8"/>
  <c r="V134" i="8"/>
  <c r="V138" i="8"/>
  <c r="AK138" i="8"/>
  <c r="AE129" i="8"/>
  <c r="AE130" i="8"/>
  <c r="AE134" i="8"/>
  <c r="AE138" i="8"/>
  <c r="U129" i="8"/>
  <c r="U130" i="8"/>
  <c r="U134" i="8"/>
  <c r="U138" i="8"/>
  <c r="AJ138" i="8"/>
  <c r="AL138" i="8"/>
  <c r="AG138" i="8"/>
  <c r="L129" i="8"/>
  <c r="L130" i="8"/>
  <c r="L134" i="8"/>
  <c r="L138" i="8"/>
  <c r="AA138" i="8"/>
  <c r="K129" i="8"/>
  <c r="K130" i="8"/>
  <c r="K134" i="8"/>
  <c r="K138" i="8"/>
  <c r="Z138" i="8"/>
  <c r="AB138" i="8"/>
  <c r="W138" i="8"/>
  <c r="G129" i="8"/>
  <c r="G130" i="8"/>
  <c r="G134" i="8"/>
  <c r="G138" i="8"/>
  <c r="Q138" i="8"/>
  <c r="F129" i="8"/>
  <c r="F130" i="8"/>
  <c r="F134" i="8"/>
  <c r="F138" i="8"/>
  <c r="P138" i="8"/>
  <c r="R138" i="8"/>
  <c r="M138" i="8"/>
  <c r="H138" i="8"/>
  <c r="D138" i="8"/>
  <c r="AF135" i="8"/>
  <c r="AF136" i="8"/>
  <c r="AF137" i="8"/>
  <c r="V135" i="8"/>
  <c r="V136" i="8"/>
  <c r="V137" i="8"/>
  <c r="AK137" i="8"/>
  <c r="AE135" i="8"/>
  <c r="AE136" i="8"/>
  <c r="AE137" i="8"/>
  <c r="U135" i="8"/>
  <c r="U136" i="8"/>
  <c r="U137" i="8"/>
  <c r="AJ137" i="8"/>
  <c r="AL137" i="8"/>
  <c r="AG137" i="8"/>
  <c r="L135" i="8"/>
  <c r="L136" i="8"/>
  <c r="L137" i="8"/>
  <c r="AA137" i="8"/>
  <c r="K135" i="8"/>
  <c r="K136" i="8"/>
  <c r="K137" i="8"/>
  <c r="Z137" i="8"/>
  <c r="AB137" i="8"/>
  <c r="W137" i="8"/>
  <c r="G135" i="8"/>
  <c r="G136" i="8"/>
  <c r="G137" i="8"/>
  <c r="Q137" i="8"/>
  <c r="F135" i="8"/>
  <c r="F136" i="8"/>
  <c r="F137" i="8"/>
  <c r="P137" i="8"/>
  <c r="R137" i="8"/>
  <c r="M137" i="8"/>
  <c r="H137" i="8"/>
  <c r="D137" i="8"/>
  <c r="AK136" i="8"/>
  <c r="AJ136" i="8"/>
  <c r="AL136" i="8"/>
  <c r="AG136" i="8"/>
  <c r="AA136" i="8"/>
  <c r="Z136" i="8"/>
  <c r="AB136" i="8"/>
  <c r="W136" i="8"/>
  <c r="Q136" i="8"/>
  <c r="P136" i="8"/>
  <c r="R136" i="8"/>
  <c r="M136" i="8"/>
  <c r="H136" i="8"/>
  <c r="AK135" i="8"/>
  <c r="AJ135" i="8"/>
  <c r="AL135" i="8"/>
  <c r="AG135" i="8"/>
  <c r="AA135" i="8"/>
  <c r="Z135" i="8"/>
  <c r="AB135" i="8"/>
  <c r="W135" i="8"/>
  <c r="Q135" i="8"/>
  <c r="P135" i="8"/>
  <c r="R135" i="8"/>
  <c r="M135" i="8"/>
  <c r="H135" i="8"/>
  <c r="AK134" i="8"/>
  <c r="AJ134" i="8"/>
  <c r="AL134" i="8"/>
  <c r="AG134" i="8"/>
  <c r="AA134" i="8"/>
  <c r="Z134" i="8"/>
  <c r="AB134" i="8"/>
  <c r="W134" i="8"/>
  <c r="Q134" i="8"/>
  <c r="P134" i="8"/>
  <c r="R134" i="8"/>
  <c r="M134" i="8"/>
  <c r="H134" i="8"/>
  <c r="D134" i="8"/>
  <c r="AF131" i="8"/>
  <c r="AF132" i="8"/>
  <c r="AF133" i="8"/>
  <c r="V131" i="8"/>
  <c r="V132" i="8"/>
  <c r="V133" i="8"/>
  <c r="AK133" i="8"/>
  <c r="AE131" i="8"/>
  <c r="AE132" i="8"/>
  <c r="AE133" i="8"/>
  <c r="U131" i="8"/>
  <c r="U132" i="8"/>
  <c r="U133" i="8"/>
  <c r="AJ133" i="8"/>
  <c r="AL133" i="8"/>
  <c r="AG133" i="8"/>
  <c r="L131" i="8"/>
  <c r="L132" i="8"/>
  <c r="L133" i="8"/>
  <c r="AA133" i="8"/>
  <c r="K131" i="8"/>
  <c r="K132" i="8"/>
  <c r="K133" i="8"/>
  <c r="Z133" i="8"/>
  <c r="AB133" i="8"/>
  <c r="W133" i="8"/>
  <c r="G131" i="8"/>
  <c r="G132" i="8"/>
  <c r="G133" i="8"/>
  <c r="Q133" i="8"/>
  <c r="F131" i="8"/>
  <c r="F132" i="8"/>
  <c r="F133" i="8"/>
  <c r="P133" i="8"/>
  <c r="R133" i="8"/>
  <c r="M133" i="8"/>
  <c r="H133" i="8"/>
  <c r="D133" i="8"/>
  <c r="AK132" i="8"/>
  <c r="AJ132" i="8"/>
  <c r="AL132" i="8"/>
  <c r="AG132" i="8"/>
  <c r="AA132" i="8"/>
  <c r="Z132" i="8"/>
  <c r="AB132" i="8"/>
  <c r="W132" i="8"/>
  <c r="Q132" i="8"/>
  <c r="P132" i="8"/>
  <c r="R132" i="8"/>
  <c r="M132" i="8"/>
  <c r="H132" i="8"/>
  <c r="AK131" i="8"/>
  <c r="AJ131" i="8"/>
  <c r="AL131" i="8"/>
  <c r="AG131" i="8"/>
  <c r="AA131" i="8"/>
  <c r="Z131" i="8"/>
  <c r="AB131" i="8"/>
  <c r="W131" i="8"/>
  <c r="Q131" i="8"/>
  <c r="P131" i="8"/>
  <c r="R131" i="8"/>
  <c r="M131" i="8"/>
  <c r="H131" i="8"/>
  <c r="D131" i="8"/>
  <c r="AK130" i="8"/>
  <c r="AJ130" i="8"/>
  <c r="AL130" i="8"/>
  <c r="AG130" i="8"/>
  <c r="AA130" i="8"/>
  <c r="Z130" i="8"/>
  <c r="AB130" i="8"/>
  <c r="W130" i="8"/>
  <c r="Q130" i="8"/>
  <c r="P130" i="8"/>
  <c r="R130" i="8"/>
  <c r="M130" i="8"/>
  <c r="H130" i="8"/>
  <c r="D130" i="8"/>
  <c r="AK129" i="8"/>
  <c r="AJ129" i="8"/>
  <c r="AL129" i="8"/>
  <c r="AG129" i="8"/>
  <c r="AA129" i="8"/>
  <c r="Z129" i="8"/>
  <c r="AB129" i="8"/>
  <c r="W129" i="8"/>
  <c r="Q129" i="8"/>
  <c r="P129" i="8"/>
  <c r="R129" i="8"/>
  <c r="M129" i="8"/>
  <c r="H129" i="8"/>
  <c r="AF128" i="8"/>
  <c r="V128" i="8"/>
  <c r="AK128" i="8"/>
  <c r="AE128" i="8"/>
  <c r="U128" i="8"/>
  <c r="AJ128" i="8"/>
  <c r="AL128" i="8"/>
  <c r="AG128" i="8"/>
  <c r="L128" i="8"/>
  <c r="AA128" i="8"/>
  <c r="K128" i="8"/>
  <c r="Z128" i="8"/>
  <c r="AB128" i="8"/>
  <c r="W128" i="8"/>
  <c r="G128" i="8"/>
  <c r="Q128" i="8"/>
  <c r="F128" i="8"/>
  <c r="P128" i="8"/>
  <c r="R128" i="8"/>
  <c r="M128" i="8"/>
  <c r="H128" i="8"/>
  <c r="D127" i="8"/>
  <c r="AZ121" i="8"/>
  <c r="AZ122" i="8"/>
  <c r="AZ123" i="8"/>
  <c r="AZ124" i="8"/>
  <c r="AZ125" i="8"/>
  <c r="AY121" i="8"/>
  <c r="AY122" i="8"/>
  <c r="AY123" i="8"/>
  <c r="AY124" i="8"/>
  <c r="AY125" i="8"/>
  <c r="V121" i="8"/>
  <c r="V122" i="8"/>
  <c r="V123" i="8"/>
  <c r="V124" i="8"/>
  <c r="V125" i="8"/>
  <c r="AO125" i="8"/>
  <c r="AF121" i="8"/>
  <c r="AF122" i="8"/>
  <c r="AF123" i="8"/>
  <c r="AF124" i="8"/>
  <c r="AF125" i="8"/>
  <c r="AN125" i="8"/>
  <c r="AP125" i="8"/>
  <c r="AK125" i="8"/>
  <c r="AJ125" i="8"/>
  <c r="AL125" i="8"/>
  <c r="AG125" i="8"/>
  <c r="L121" i="8"/>
  <c r="L122" i="8"/>
  <c r="L123" i="8"/>
  <c r="L124" i="8"/>
  <c r="L125" i="8"/>
  <c r="AA125" i="8"/>
  <c r="Z125" i="8"/>
  <c r="AB125" i="8"/>
  <c r="W125" i="8"/>
  <c r="G121" i="8"/>
  <c r="G122" i="8"/>
  <c r="G123" i="8"/>
  <c r="G124" i="8"/>
  <c r="G125" i="8"/>
  <c r="Q125" i="8"/>
  <c r="P125" i="8"/>
  <c r="R125" i="8"/>
  <c r="M125" i="8"/>
  <c r="H125" i="8"/>
  <c r="D125" i="8"/>
  <c r="AO124" i="8"/>
  <c r="AN124" i="8"/>
  <c r="AP124" i="8"/>
  <c r="AK124" i="8"/>
  <c r="AJ124" i="8"/>
  <c r="AL124" i="8"/>
  <c r="AG124" i="8"/>
  <c r="AA124" i="8"/>
  <c r="Z124" i="8"/>
  <c r="AB124" i="8"/>
  <c r="W124" i="8"/>
  <c r="Q124" i="8"/>
  <c r="P124" i="8"/>
  <c r="R124" i="8"/>
  <c r="M124" i="8"/>
  <c r="H124" i="8"/>
  <c r="D124" i="8"/>
  <c r="AO123" i="8"/>
  <c r="AN123" i="8"/>
  <c r="AP123" i="8"/>
  <c r="AK123" i="8"/>
  <c r="AJ123" i="8"/>
  <c r="AL123" i="8"/>
  <c r="AG123" i="8"/>
  <c r="AA123" i="8"/>
  <c r="Z123" i="8"/>
  <c r="AB123" i="8"/>
  <c r="W123" i="8"/>
  <c r="Q123" i="8"/>
  <c r="P123" i="8"/>
  <c r="R123" i="8"/>
  <c r="M123" i="8"/>
  <c r="H123" i="8"/>
  <c r="D123" i="8"/>
  <c r="AO122" i="8"/>
  <c r="AN122" i="8"/>
  <c r="AP122" i="8"/>
  <c r="AK122" i="8"/>
  <c r="AJ122" i="8"/>
  <c r="AL122" i="8"/>
  <c r="AG122" i="8"/>
  <c r="AA122" i="8"/>
  <c r="Z122" i="8"/>
  <c r="AB122" i="8"/>
  <c r="W122" i="8"/>
  <c r="Q122" i="8"/>
  <c r="P122" i="8"/>
  <c r="R122" i="8"/>
  <c r="M122" i="8"/>
  <c r="H122" i="8"/>
  <c r="D122" i="8"/>
  <c r="AO121" i="8"/>
  <c r="AN121" i="8"/>
  <c r="AP121" i="8"/>
  <c r="AK121" i="8"/>
  <c r="AJ121" i="8"/>
  <c r="AL121" i="8"/>
  <c r="AG121" i="8"/>
  <c r="AA121" i="8"/>
  <c r="Z121" i="8"/>
  <c r="AB121" i="8"/>
  <c r="W121" i="8"/>
  <c r="Q121" i="8"/>
  <c r="P121" i="8"/>
  <c r="R121" i="8"/>
  <c r="M121" i="8"/>
  <c r="H121" i="8"/>
  <c r="AZ111" i="8"/>
  <c r="AZ112" i="8"/>
  <c r="AZ116" i="8"/>
  <c r="AZ120" i="8"/>
  <c r="AY111" i="8"/>
  <c r="AY112" i="8"/>
  <c r="AY116" i="8"/>
  <c r="AY120" i="8"/>
  <c r="V111" i="8"/>
  <c r="V112" i="8"/>
  <c r="V116" i="8"/>
  <c r="V120" i="8"/>
  <c r="AO120" i="8"/>
  <c r="U111" i="8"/>
  <c r="U112" i="8"/>
  <c r="U116" i="8"/>
  <c r="U120" i="8"/>
  <c r="AF111" i="8"/>
  <c r="AF112" i="8"/>
  <c r="AF116" i="8"/>
  <c r="AF120" i="8"/>
  <c r="AN120" i="8"/>
  <c r="AP120" i="8"/>
  <c r="AK120" i="8"/>
  <c r="AE111" i="8"/>
  <c r="AE112" i="8"/>
  <c r="AE116" i="8"/>
  <c r="AE120" i="8"/>
  <c r="AJ120" i="8"/>
  <c r="AL120" i="8"/>
  <c r="AG120" i="8"/>
  <c r="L111" i="8"/>
  <c r="L112" i="8"/>
  <c r="L116" i="8"/>
  <c r="L120" i="8"/>
  <c r="AA120" i="8"/>
  <c r="K111" i="8"/>
  <c r="K112" i="8"/>
  <c r="K116" i="8"/>
  <c r="K120" i="8"/>
  <c r="Z120" i="8"/>
  <c r="AB120" i="8"/>
  <c r="W120" i="8"/>
  <c r="G111" i="8"/>
  <c r="G112" i="8"/>
  <c r="G116" i="8"/>
  <c r="G120" i="8"/>
  <c r="Q120" i="8"/>
  <c r="F111" i="8"/>
  <c r="F112" i="8"/>
  <c r="F116" i="8"/>
  <c r="F120" i="8"/>
  <c r="P120" i="8"/>
  <c r="R120" i="8"/>
  <c r="M120" i="8"/>
  <c r="H120" i="8"/>
  <c r="D120" i="8"/>
  <c r="AZ117" i="8"/>
  <c r="AZ118" i="8"/>
  <c r="AZ119" i="8"/>
  <c r="AY117" i="8"/>
  <c r="AY118" i="8"/>
  <c r="AY119" i="8"/>
  <c r="V117" i="8"/>
  <c r="V118" i="8"/>
  <c r="V119" i="8"/>
  <c r="AO119" i="8"/>
  <c r="U117" i="8"/>
  <c r="U118" i="8"/>
  <c r="U119" i="8"/>
  <c r="AF117" i="8"/>
  <c r="AF118" i="8"/>
  <c r="AF119" i="8"/>
  <c r="AN119" i="8"/>
  <c r="AP119" i="8"/>
  <c r="AK119" i="8"/>
  <c r="AE117" i="8"/>
  <c r="AE118" i="8"/>
  <c r="AE119" i="8"/>
  <c r="AJ119" i="8"/>
  <c r="AL119" i="8"/>
  <c r="AG119" i="8"/>
  <c r="L117" i="8"/>
  <c r="L118" i="8"/>
  <c r="L119" i="8"/>
  <c r="AA119" i="8"/>
  <c r="K117" i="8"/>
  <c r="K118" i="8"/>
  <c r="K119" i="8"/>
  <c r="Z119" i="8"/>
  <c r="AB119" i="8"/>
  <c r="W119" i="8"/>
  <c r="G117" i="8"/>
  <c r="G118" i="8"/>
  <c r="G119" i="8"/>
  <c r="Q119" i="8"/>
  <c r="F117" i="8"/>
  <c r="F118" i="8"/>
  <c r="F119" i="8"/>
  <c r="P119" i="8"/>
  <c r="R119" i="8"/>
  <c r="M119" i="8"/>
  <c r="H119" i="8"/>
  <c r="D119" i="8"/>
  <c r="AO118" i="8"/>
  <c r="AN118" i="8"/>
  <c r="AP118" i="8"/>
  <c r="AK118" i="8"/>
  <c r="AJ118" i="8"/>
  <c r="AL118" i="8"/>
  <c r="AG118" i="8"/>
  <c r="AA118" i="8"/>
  <c r="Z118" i="8"/>
  <c r="AB118" i="8"/>
  <c r="W118" i="8"/>
  <c r="Q118" i="8"/>
  <c r="P118" i="8"/>
  <c r="R118" i="8"/>
  <c r="M118" i="8"/>
  <c r="H118" i="8"/>
  <c r="AO117" i="8"/>
  <c r="AN117" i="8"/>
  <c r="AP117" i="8"/>
  <c r="AK117" i="8"/>
  <c r="AJ117" i="8"/>
  <c r="AL117" i="8"/>
  <c r="AG117" i="8"/>
  <c r="AA117" i="8"/>
  <c r="Z117" i="8"/>
  <c r="AB117" i="8"/>
  <c r="W117" i="8"/>
  <c r="Q117" i="8"/>
  <c r="P117" i="8"/>
  <c r="R117" i="8"/>
  <c r="M117" i="8"/>
  <c r="H117" i="8"/>
  <c r="AO116" i="8"/>
  <c r="AN116" i="8"/>
  <c r="AP116" i="8"/>
  <c r="AK116" i="8"/>
  <c r="AJ116" i="8"/>
  <c r="AL116" i="8"/>
  <c r="AG116" i="8"/>
  <c r="AA116" i="8"/>
  <c r="Z116" i="8"/>
  <c r="AB116" i="8"/>
  <c r="W116" i="8"/>
  <c r="Q116" i="8"/>
  <c r="P116" i="8"/>
  <c r="R116" i="8"/>
  <c r="M116" i="8"/>
  <c r="H116" i="8"/>
  <c r="D116" i="8"/>
  <c r="AZ113" i="8"/>
  <c r="AZ114" i="8"/>
  <c r="AZ115" i="8"/>
  <c r="AY113" i="8"/>
  <c r="AY114" i="8"/>
  <c r="AY115" i="8"/>
  <c r="V113" i="8"/>
  <c r="V114" i="8"/>
  <c r="V115" i="8"/>
  <c r="AO115" i="8"/>
  <c r="U113" i="8"/>
  <c r="U114" i="8"/>
  <c r="U115" i="8"/>
  <c r="AF113" i="8"/>
  <c r="AF114" i="8"/>
  <c r="AF115" i="8"/>
  <c r="AN115" i="8"/>
  <c r="AP115" i="8"/>
  <c r="AK115" i="8"/>
  <c r="AE113" i="8"/>
  <c r="AE114" i="8"/>
  <c r="AE115" i="8"/>
  <c r="AJ115" i="8"/>
  <c r="AL115" i="8"/>
  <c r="AG115" i="8"/>
  <c r="L113" i="8"/>
  <c r="L114" i="8"/>
  <c r="L115" i="8"/>
  <c r="AA115" i="8"/>
  <c r="K113" i="8"/>
  <c r="K114" i="8"/>
  <c r="K115" i="8"/>
  <c r="Z115" i="8"/>
  <c r="AB115" i="8"/>
  <c r="W115" i="8"/>
  <c r="G113" i="8"/>
  <c r="G114" i="8"/>
  <c r="G115" i="8"/>
  <c r="Q115" i="8"/>
  <c r="F113" i="8"/>
  <c r="F114" i="8"/>
  <c r="F115" i="8"/>
  <c r="P115" i="8"/>
  <c r="R115" i="8"/>
  <c r="M115" i="8"/>
  <c r="H115" i="8"/>
  <c r="D115" i="8"/>
  <c r="AO114" i="8"/>
  <c r="AN114" i="8"/>
  <c r="AP114" i="8"/>
  <c r="AK114" i="8"/>
  <c r="AJ114" i="8"/>
  <c r="AL114" i="8"/>
  <c r="AG114" i="8"/>
  <c r="AA114" i="8"/>
  <c r="Z114" i="8"/>
  <c r="AB114" i="8"/>
  <c r="W114" i="8"/>
  <c r="Q114" i="8"/>
  <c r="P114" i="8"/>
  <c r="R114" i="8"/>
  <c r="M114" i="8"/>
  <c r="H114" i="8"/>
  <c r="AO113" i="8"/>
  <c r="AN113" i="8"/>
  <c r="AP113" i="8"/>
  <c r="AK113" i="8"/>
  <c r="AJ113" i="8"/>
  <c r="AL113" i="8"/>
  <c r="AG113" i="8"/>
  <c r="AA113" i="8"/>
  <c r="Z113" i="8"/>
  <c r="AB113" i="8"/>
  <c r="W113" i="8"/>
  <c r="Q113" i="8"/>
  <c r="P113" i="8"/>
  <c r="R113" i="8"/>
  <c r="M113" i="8"/>
  <c r="H113" i="8"/>
  <c r="D113" i="8"/>
  <c r="AO112" i="8"/>
  <c r="AN112" i="8"/>
  <c r="AP112" i="8"/>
  <c r="AK112" i="8"/>
  <c r="AJ112" i="8"/>
  <c r="AL112" i="8"/>
  <c r="AG112" i="8"/>
  <c r="AA112" i="8"/>
  <c r="Z112" i="8"/>
  <c r="AB112" i="8"/>
  <c r="W112" i="8"/>
  <c r="Q112" i="8"/>
  <c r="P112" i="8"/>
  <c r="R112" i="8"/>
  <c r="M112" i="8"/>
  <c r="H112" i="8"/>
  <c r="D112" i="8"/>
  <c r="AO111" i="8"/>
  <c r="AN111" i="8"/>
  <c r="AP111" i="8"/>
  <c r="AK111" i="8"/>
  <c r="AJ111" i="8"/>
  <c r="AL111" i="8"/>
  <c r="AG111" i="8"/>
  <c r="AA111" i="8"/>
  <c r="Z111" i="8"/>
  <c r="AB111" i="8"/>
  <c r="W111" i="8"/>
  <c r="Q111" i="8"/>
  <c r="P111" i="8"/>
  <c r="R111" i="8"/>
  <c r="M111" i="8"/>
  <c r="H111" i="8"/>
  <c r="AZ110" i="8"/>
  <c r="AY110" i="8"/>
  <c r="V110" i="8"/>
  <c r="AO110" i="8"/>
  <c r="U110" i="8"/>
  <c r="AF110" i="8"/>
  <c r="AN110" i="8"/>
  <c r="AP110" i="8"/>
  <c r="AK110" i="8"/>
  <c r="AE110" i="8"/>
  <c r="AJ110" i="8"/>
  <c r="AL110" i="8"/>
  <c r="AG110" i="8"/>
  <c r="L110" i="8"/>
  <c r="AA110" i="8"/>
  <c r="K110" i="8"/>
  <c r="Z110" i="8"/>
  <c r="AB110" i="8"/>
  <c r="W110" i="8"/>
  <c r="G110" i="8"/>
  <c r="Q110" i="8"/>
  <c r="F110" i="8"/>
  <c r="P110" i="8"/>
  <c r="R110" i="8"/>
  <c r="M110" i="8"/>
  <c r="H110" i="8"/>
  <c r="D109" i="8"/>
  <c r="AL108" i="8"/>
  <c r="AG108" i="8"/>
  <c r="AB108" i="8"/>
  <c r="W108" i="8"/>
  <c r="R108" i="8"/>
  <c r="M108" i="8"/>
  <c r="H108" i="8"/>
  <c r="D108" i="8"/>
  <c r="AJ106" i="8"/>
  <c r="AE106" i="8"/>
  <c r="Z106" i="8"/>
  <c r="U106" i="8"/>
  <c r="P6" i="8"/>
  <c r="P106" i="8"/>
  <c r="K106" i="8"/>
  <c r="F106" i="8"/>
  <c r="D106" i="8"/>
  <c r="AF96" i="8"/>
  <c r="V96" i="8"/>
  <c r="AK96" i="8"/>
  <c r="AF66" i="8"/>
  <c r="V66" i="8"/>
  <c r="AK66" i="8"/>
  <c r="AK103" i="8"/>
  <c r="AE96" i="8"/>
  <c r="U96" i="8"/>
  <c r="AJ96" i="8"/>
  <c r="AE66" i="8"/>
  <c r="U66" i="8"/>
  <c r="AJ66" i="8"/>
  <c r="AJ103" i="8"/>
  <c r="AL103" i="8"/>
  <c r="AF103" i="8"/>
  <c r="AE103" i="8"/>
  <c r="AG103" i="8"/>
  <c r="L96" i="8"/>
  <c r="AA96" i="8"/>
  <c r="L66" i="8"/>
  <c r="AA66" i="8"/>
  <c r="AA103" i="8"/>
  <c r="K96" i="8"/>
  <c r="Z96" i="8"/>
  <c r="K66" i="8"/>
  <c r="Z66" i="8"/>
  <c r="Z103" i="8"/>
  <c r="AB103" i="8"/>
  <c r="V103" i="8"/>
  <c r="U103" i="8"/>
  <c r="W103" i="8"/>
  <c r="G96" i="8"/>
  <c r="Q96" i="8"/>
  <c r="G66" i="8"/>
  <c r="Q66" i="8"/>
  <c r="Q103" i="8"/>
  <c r="F96" i="8"/>
  <c r="P96" i="8"/>
  <c r="F66" i="8"/>
  <c r="P66" i="8"/>
  <c r="P103" i="8"/>
  <c r="R103" i="8"/>
  <c r="L103" i="8"/>
  <c r="K103" i="8"/>
  <c r="M103" i="8"/>
  <c r="G103" i="8"/>
  <c r="F103" i="8"/>
  <c r="H103" i="8"/>
  <c r="D103" i="8"/>
  <c r="AF100" i="8"/>
  <c r="AF101" i="8"/>
  <c r="AF102" i="8"/>
  <c r="V100" i="8"/>
  <c r="V101" i="8"/>
  <c r="V102" i="8"/>
  <c r="AK102" i="8"/>
  <c r="AE100" i="8"/>
  <c r="AE101" i="8"/>
  <c r="AE102" i="8"/>
  <c r="U100" i="8"/>
  <c r="U101" i="8"/>
  <c r="U102" i="8"/>
  <c r="AJ102" i="8"/>
  <c r="AL102" i="8"/>
  <c r="AG102" i="8"/>
  <c r="L100" i="8"/>
  <c r="L101" i="8"/>
  <c r="L102" i="8"/>
  <c r="AA102" i="8"/>
  <c r="K100" i="8"/>
  <c r="K101" i="8"/>
  <c r="K102" i="8"/>
  <c r="Z102" i="8"/>
  <c r="AB102" i="8"/>
  <c r="W102" i="8"/>
  <c r="G100" i="8"/>
  <c r="G101" i="8"/>
  <c r="G102" i="8"/>
  <c r="Q102" i="8"/>
  <c r="F100" i="8"/>
  <c r="F101" i="8"/>
  <c r="F102" i="8"/>
  <c r="P102" i="8"/>
  <c r="R102" i="8"/>
  <c r="M102" i="8"/>
  <c r="H102" i="8"/>
  <c r="D102" i="8"/>
  <c r="AK101" i="8"/>
  <c r="AJ101" i="8"/>
  <c r="AL101" i="8"/>
  <c r="AG101" i="8"/>
  <c r="AA101" i="8"/>
  <c r="Z101" i="8"/>
  <c r="AB101" i="8"/>
  <c r="W101" i="8"/>
  <c r="Q101" i="8"/>
  <c r="P101" i="8"/>
  <c r="R101" i="8"/>
  <c r="M101" i="8"/>
  <c r="H101" i="8"/>
  <c r="D101" i="8"/>
  <c r="AK100" i="8"/>
  <c r="AJ100" i="8"/>
  <c r="AL100" i="8"/>
  <c r="AG100" i="8"/>
  <c r="AA100" i="8"/>
  <c r="Z100" i="8"/>
  <c r="AB100" i="8"/>
  <c r="W100" i="8"/>
  <c r="Q100" i="8"/>
  <c r="P100" i="8"/>
  <c r="R100" i="8"/>
  <c r="M100" i="8"/>
  <c r="H100" i="8"/>
  <c r="AF99" i="8"/>
  <c r="V99" i="8"/>
  <c r="AK99" i="8"/>
  <c r="AE99" i="8"/>
  <c r="U99" i="8"/>
  <c r="AJ99" i="8"/>
  <c r="AL99" i="8"/>
  <c r="AG99" i="8"/>
  <c r="L99" i="8"/>
  <c r="AA99" i="8"/>
  <c r="K99" i="8"/>
  <c r="Z99" i="8"/>
  <c r="AB99" i="8"/>
  <c r="W99" i="8"/>
  <c r="G99" i="8"/>
  <c r="Q99" i="8"/>
  <c r="F99" i="8"/>
  <c r="P99" i="8"/>
  <c r="R99" i="8"/>
  <c r="M99" i="8"/>
  <c r="H99" i="8"/>
  <c r="D99" i="8"/>
  <c r="AF98" i="8"/>
  <c r="V98" i="8"/>
  <c r="AK98" i="8"/>
  <c r="AE98" i="8"/>
  <c r="U98" i="8"/>
  <c r="AJ98" i="8"/>
  <c r="AL98" i="8"/>
  <c r="AG98" i="8"/>
  <c r="L98" i="8"/>
  <c r="AA98" i="8"/>
  <c r="K98" i="8"/>
  <c r="Z98" i="8"/>
  <c r="AB98" i="8"/>
  <c r="W98" i="8"/>
  <c r="G98" i="8"/>
  <c r="Q98" i="8"/>
  <c r="F98" i="8"/>
  <c r="P98" i="8"/>
  <c r="R98" i="8"/>
  <c r="M98" i="8"/>
  <c r="H98" i="8"/>
  <c r="D98" i="8"/>
  <c r="AF97" i="8"/>
  <c r="V97" i="8"/>
  <c r="AK97" i="8"/>
  <c r="AE97" i="8"/>
  <c r="U97" i="8"/>
  <c r="AJ97" i="8"/>
  <c r="AL97" i="8"/>
  <c r="AG97" i="8"/>
  <c r="L97" i="8"/>
  <c r="AA97" i="8"/>
  <c r="K97" i="8"/>
  <c r="Z97" i="8"/>
  <c r="AB97" i="8"/>
  <c r="W97" i="8"/>
  <c r="G97" i="8"/>
  <c r="Q97" i="8"/>
  <c r="F97" i="8"/>
  <c r="P97" i="8"/>
  <c r="R97" i="8"/>
  <c r="M97" i="8"/>
  <c r="H97" i="8"/>
  <c r="AL96" i="8"/>
  <c r="AG96" i="8"/>
  <c r="AB96" i="8"/>
  <c r="W96" i="8"/>
  <c r="R96" i="8"/>
  <c r="M96" i="8"/>
  <c r="H96" i="8"/>
  <c r="D96" i="8"/>
  <c r="AF88" i="8"/>
  <c r="V88" i="8"/>
  <c r="AK88" i="8"/>
  <c r="AK95" i="8"/>
  <c r="AE88" i="8"/>
  <c r="U88" i="8"/>
  <c r="AJ88" i="8"/>
  <c r="AJ95" i="8"/>
  <c r="AL95" i="8"/>
  <c r="AF95" i="8"/>
  <c r="AE95" i="8"/>
  <c r="AG95" i="8"/>
  <c r="L88" i="8"/>
  <c r="AA88" i="8"/>
  <c r="AA95" i="8"/>
  <c r="K88" i="8"/>
  <c r="Z88" i="8"/>
  <c r="Z95" i="8"/>
  <c r="AB95" i="8"/>
  <c r="V95" i="8"/>
  <c r="U95" i="8"/>
  <c r="W95" i="8"/>
  <c r="G88" i="8"/>
  <c r="Q88" i="8"/>
  <c r="Q95" i="8"/>
  <c r="F88" i="8"/>
  <c r="P88" i="8"/>
  <c r="P95" i="8"/>
  <c r="R95" i="8"/>
  <c r="L95" i="8"/>
  <c r="K95" i="8"/>
  <c r="M95" i="8"/>
  <c r="G95" i="8"/>
  <c r="F95" i="8"/>
  <c r="H95" i="8"/>
  <c r="D95" i="8"/>
  <c r="AF92" i="8"/>
  <c r="AF93" i="8"/>
  <c r="AF94" i="8"/>
  <c r="V92" i="8"/>
  <c r="V93" i="8"/>
  <c r="V94" i="8"/>
  <c r="AK94" i="8"/>
  <c r="AE92" i="8"/>
  <c r="AE93" i="8"/>
  <c r="AE94" i="8"/>
  <c r="U92" i="8"/>
  <c r="U93" i="8"/>
  <c r="U94" i="8"/>
  <c r="AJ94" i="8"/>
  <c r="AL94" i="8"/>
  <c r="AG94" i="8"/>
  <c r="L92" i="8"/>
  <c r="L93" i="8"/>
  <c r="L94" i="8"/>
  <c r="AA94" i="8"/>
  <c r="K92" i="8"/>
  <c r="K93" i="8"/>
  <c r="K94" i="8"/>
  <c r="Z94" i="8"/>
  <c r="AB94" i="8"/>
  <c r="W94" i="8"/>
  <c r="G92" i="8"/>
  <c r="G93" i="8"/>
  <c r="G94" i="8"/>
  <c r="Q94" i="8"/>
  <c r="F92" i="8"/>
  <c r="F93" i="8"/>
  <c r="F94" i="8"/>
  <c r="P94" i="8"/>
  <c r="R94" i="8"/>
  <c r="M94" i="8"/>
  <c r="H94" i="8"/>
  <c r="D94" i="8"/>
  <c r="AK93" i="8"/>
  <c r="AJ93" i="8"/>
  <c r="AL93" i="8"/>
  <c r="AG93" i="8"/>
  <c r="AA93" i="8"/>
  <c r="Z93" i="8"/>
  <c r="AB93" i="8"/>
  <c r="W93" i="8"/>
  <c r="Q93" i="8"/>
  <c r="P93" i="8"/>
  <c r="R93" i="8"/>
  <c r="M93" i="8"/>
  <c r="H93" i="8"/>
  <c r="D93" i="8"/>
  <c r="AK92" i="8"/>
  <c r="AJ92" i="8"/>
  <c r="AL92" i="8"/>
  <c r="AG92" i="8"/>
  <c r="AA92" i="8"/>
  <c r="Z92" i="8"/>
  <c r="AB92" i="8"/>
  <c r="W92" i="8"/>
  <c r="Q92" i="8"/>
  <c r="P92" i="8"/>
  <c r="R92" i="8"/>
  <c r="M92" i="8"/>
  <c r="H92" i="8"/>
  <c r="AF91" i="8"/>
  <c r="V91" i="8"/>
  <c r="AK91" i="8"/>
  <c r="AE91" i="8"/>
  <c r="U91" i="8"/>
  <c r="AJ91" i="8"/>
  <c r="AL91" i="8"/>
  <c r="AG91" i="8"/>
  <c r="L91" i="8"/>
  <c r="AA91" i="8"/>
  <c r="K91" i="8"/>
  <c r="Z91" i="8"/>
  <c r="AB91" i="8"/>
  <c r="W91" i="8"/>
  <c r="G91" i="8"/>
  <c r="Q91" i="8"/>
  <c r="F91" i="8"/>
  <c r="P91" i="8"/>
  <c r="R91" i="8"/>
  <c r="M91" i="8"/>
  <c r="H91" i="8"/>
  <c r="D91" i="8"/>
  <c r="AF90" i="8"/>
  <c r="V90" i="8"/>
  <c r="AK90" i="8"/>
  <c r="AE90" i="8"/>
  <c r="U90" i="8"/>
  <c r="AJ90" i="8"/>
  <c r="AL90" i="8"/>
  <c r="AG90" i="8"/>
  <c r="L90" i="8"/>
  <c r="AA90" i="8"/>
  <c r="K90" i="8"/>
  <c r="Z90" i="8"/>
  <c r="AB90" i="8"/>
  <c r="W90" i="8"/>
  <c r="G90" i="8"/>
  <c r="Q90" i="8"/>
  <c r="F90" i="8"/>
  <c r="P90" i="8"/>
  <c r="R90" i="8"/>
  <c r="M90" i="8"/>
  <c r="H90" i="8"/>
  <c r="D90" i="8"/>
  <c r="AF89" i="8"/>
  <c r="V89" i="8"/>
  <c r="AK89" i="8"/>
  <c r="AE89" i="8"/>
  <c r="U89" i="8"/>
  <c r="AJ89" i="8"/>
  <c r="AL89" i="8"/>
  <c r="AG89" i="8"/>
  <c r="L89" i="8"/>
  <c r="AA89" i="8"/>
  <c r="K89" i="8"/>
  <c r="Z89" i="8"/>
  <c r="AB89" i="8"/>
  <c r="W89" i="8"/>
  <c r="G89" i="8"/>
  <c r="Q89" i="8"/>
  <c r="F89" i="8"/>
  <c r="P89" i="8"/>
  <c r="R89" i="8"/>
  <c r="M89" i="8"/>
  <c r="H89" i="8"/>
  <c r="AL88" i="8"/>
  <c r="AG88" i="8"/>
  <c r="AB88" i="8"/>
  <c r="W88" i="8"/>
  <c r="R88" i="8"/>
  <c r="M88" i="8"/>
  <c r="H88" i="8"/>
  <c r="D88" i="8"/>
  <c r="AF80" i="8"/>
  <c r="V80" i="8"/>
  <c r="AK80" i="8"/>
  <c r="AK87" i="8"/>
  <c r="AE80" i="8"/>
  <c r="U80" i="8"/>
  <c r="AJ80" i="8"/>
  <c r="AJ87" i="8"/>
  <c r="AL87" i="8"/>
  <c r="AF87" i="8"/>
  <c r="AE87" i="8"/>
  <c r="AG87" i="8"/>
  <c r="L80" i="8"/>
  <c r="AA80" i="8"/>
  <c r="AA87" i="8"/>
  <c r="K80" i="8"/>
  <c r="Z80" i="8"/>
  <c r="Z87" i="8"/>
  <c r="AB87" i="8"/>
  <c r="V87" i="8"/>
  <c r="U87" i="8"/>
  <c r="W87" i="8"/>
  <c r="G80" i="8"/>
  <c r="Q80" i="8"/>
  <c r="Q87" i="8"/>
  <c r="F80" i="8"/>
  <c r="P80" i="8"/>
  <c r="P87" i="8"/>
  <c r="R87" i="8"/>
  <c r="L87" i="8"/>
  <c r="K87" i="8"/>
  <c r="M87" i="8"/>
  <c r="G87" i="8"/>
  <c r="F87" i="8"/>
  <c r="H87" i="8"/>
  <c r="D87" i="8"/>
  <c r="AK86" i="8"/>
  <c r="AJ86" i="8"/>
  <c r="AL86" i="8"/>
  <c r="AG86" i="8"/>
  <c r="AA86" i="8"/>
  <c r="Z86" i="8"/>
  <c r="AB86" i="8"/>
  <c r="W86" i="8"/>
  <c r="Q86" i="8"/>
  <c r="P86" i="8"/>
  <c r="R86" i="8"/>
  <c r="M86" i="8"/>
  <c r="H86" i="8"/>
  <c r="D86" i="8"/>
  <c r="AK85" i="8"/>
  <c r="AJ85" i="8"/>
  <c r="AL85" i="8"/>
  <c r="AG85" i="8"/>
  <c r="AA85" i="8"/>
  <c r="Z85" i="8"/>
  <c r="AB85" i="8"/>
  <c r="W85" i="8"/>
  <c r="Q85" i="8"/>
  <c r="P85" i="8"/>
  <c r="R85" i="8"/>
  <c r="M85" i="8"/>
  <c r="H85" i="8"/>
  <c r="D85" i="8"/>
  <c r="AK84" i="8"/>
  <c r="AJ84" i="8"/>
  <c r="AL84" i="8"/>
  <c r="AG84" i="8"/>
  <c r="AA84" i="8"/>
  <c r="Z84" i="8"/>
  <c r="AB84" i="8"/>
  <c r="W84" i="8"/>
  <c r="Q84" i="8"/>
  <c r="P84" i="8"/>
  <c r="R84" i="8"/>
  <c r="M84" i="8"/>
  <c r="H84" i="8"/>
  <c r="AK83" i="8"/>
  <c r="AJ83" i="8"/>
  <c r="AL83" i="8"/>
  <c r="AG83" i="8"/>
  <c r="AA83" i="8"/>
  <c r="Z83" i="8"/>
  <c r="AB83" i="8"/>
  <c r="W83" i="8"/>
  <c r="Q83" i="8"/>
  <c r="P83" i="8"/>
  <c r="R83" i="8"/>
  <c r="M83" i="8"/>
  <c r="H83" i="8"/>
  <c r="D83" i="8"/>
  <c r="AK82" i="8"/>
  <c r="AJ82" i="8"/>
  <c r="AL82" i="8"/>
  <c r="AG82" i="8"/>
  <c r="AA82" i="8"/>
  <c r="Z82" i="8"/>
  <c r="AB82" i="8"/>
  <c r="W82" i="8"/>
  <c r="Q82" i="8"/>
  <c r="P82" i="8"/>
  <c r="R82" i="8"/>
  <c r="M82" i="8"/>
  <c r="H82" i="8"/>
  <c r="D82" i="8"/>
  <c r="AK81" i="8"/>
  <c r="AJ81" i="8"/>
  <c r="AL81" i="8"/>
  <c r="AG81" i="8"/>
  <c r="AA81" i="8"/>
  <c r="Z81" i="8"/>
  <c r="AB81" i="8"/>
  <c r="W81" i="8"/>
  <c r="Q81" i="8"/>
  <c r="P81" i="8"/>
  <c r="R81" i="8"/>
  <c r="M81" i="8"/>
  <c r="H81" i="8"/>
  <c r="AL80" i="8"/>
  <c r="AG80" i="8"/>
  <c r="AB80" i="8"/>
  <c r="W80" i="8"/>
  <c r="R80" i="8"/>
  <c r="M80" i="8"/>
  <c r="H80" i="8"/>
  <c r="D80" i="8"/>
  <c r="AK79" i="8"/>
  <c r="AJ79" i="8"/>
  <c r="AL79" i="8"/>
  <c r="AG79" i="8"/>
  <c r="AA79" i="8"/>
  <c r="Z79" i="8"/>
  <c r="AB79" i="8"/>
  <c r="W79" i="8"/>
  <c r="Q79" i="8"/>
  <c r="P79" i="8"/>
  <c r="R79" i="8"/>
  <c r="M79" i="8"/>
  <c r="H79" i="8"/>
  <c r="D79" i="8"/>
  <c r="AK78" i="8"/>
  <c r="AJ78" i="8"/>
  <c r="AL78" i="8"/>
  <c r="AG78" i="8"/>
  <c r="AA78" i="8"/>
  <c r="Z78" i="8"/>
  <c r="AB78" i="8"/>
  <c r="W78" i="8"/>
  <c r="Q78" i="8"/>
  <c r="P78" i="8"/>
  <c r="R78" i="8"/>
  <c r="M78" i="8"/>
  <c r="H78" i="8"/>
  <c r="D78" i="8"/>
  <c r="AK77" i="8"/>
  <c r="AJ77" i="8"/>
  <c r="AL77" i="8"/>
  <c r="AG77" i="8"/>
  <c r="AA77" i="8"/>
  <c r="Z77" i="8"/>
  <c r="AB77" i="8"/>
  <c r="W77" i="8"/>
  <c r="Q77" i="8"/>
  <c r="P77" i="8"/>
  <c r="R77" i="8"/>
  <c r="M77" i="8"/>
  <c r="H77" i="8"/>
  <c r="AK76" i="8"/>
  <c r="AJ76" i="8"/>
  <c r="AL76" i="8"/>
  <c r="AG76" i="8"/>
  <c r="AA76" i="8"/>
  <c r="Z76" i="8"/>
  <c r="AB76" i="8"/>
  <c r="W76" i="8"/>
  <c r="Q76" i="8"/>
  <c r="P76" i="8"/>
  <c r="R76" i="8"/>
  <c r="M76" i="8"/>
  <c r="H76" i="8"/>
  <c r="D76" i="8"/>
  <c r="AK75" i="8"/>
  <c r="AJ75" i="8"/>
  <c r="AL75" i="8"/>
  <c r="AG75" i="8"/>
  <c r="AA75" i="8"/>
  <c r="Z75" i="8"/>
  <c r="AB75" i="8"/>
  <c r="W75" i="8"/>
  <c r="Q75" i="8"/>
  <c r="P75" i="8"/>
  <c r="R75" i="8"/>
  <c r="M75" i="8"/>
  <c r="H75" i="8"/>
  <c r="D75" i="8"/>
  <c r="AK74" i="8"/>
  <c r="AJ74" i="8"/>
  <c r="AL74" i="8"/>
  <c r="AG74" i="8"/>
  <c r="AA74" i="8"/>
  <c r="Z74" i="8"/>
  <c r="AB74" i="8"/>
  <c r="W74" i="8"/>
  <c r="Q74" i="8"/>
  <c r="P74" i="8"/>
  <c r="R74" i="8"/>
  <c r="M74" i="8"/>
  <c r="H74" i="8"/>
  <c r="AF73" i="8"/>
  <c r="V73" i="8"/>
  <c r="AK73" i="8"/>
  <c r="AE73" i="8"/>
  <c r="U73" i="8"/>
  <c r="AJ73" i="8"/>
  <c r="AL73" i="8"/>
  <c r="AG73" i="8"/>
  <c r="L73" i="8"/>
  <c r="AA73" i="8"/>
  <c r="K73" i="8"/>
  <c r="Z73" i="8"/>
  <c r="AB73" i="8"/>
  <c r="W73" i="8"/>
  <c r="G73" i="8"/>
  <c r="Q73" i="8"/>
  <c r="F73" i="8"/>
  <c r="P73" i="8"/>
  <c r="R73" i="8"/>
  <c r="M73" i="8"/>
  <c r="H73" i="8"/>
  <c r="D73" i="8"/>
  <c r="AK72" i="8"/>
  <c r="AJ72" i="8"/>
  <c r="AL72" i="8"/>
  <c r="AG72" i="8"/>
  <c r="AA72" i="8"/>
  <c r="Z72" i="8"/>
  <c r="AB72" i="8"/>
  <c r="W72" i="8"/>
  <c r="Q72" i="8"/>
  <c r="P72" i="8"/>
  <c r="R72" i="8"/>
  <c r="M72" i="8"/>
  <c r="H72" i="8"/>
  <c r="D72" i="8"/>
  <c r="AK71" i="8"/>
  <c r="AJ71" i="8"/>
  <c r="AL71" i="8"/>
  <c r="AG71" i="8"/>
  <c r="AA71" i="8"/>
  <c r="Z71" i="8"/>
  <c r="AB71" i="8"/>
  <c r="W71" i="8"/>
  <c r="Q71" i="8"/>
  <c r="P71" i="8"/>
  <c r="R71" i="8"/>
  <c r="M71" i="8"/>
  <c r="H71" i="8"/>
  <c r="D71" i="8"/>
  <c r="AK70" i="8"/>
  <c r="AJ70" i="8"/>
  <c r="AL70" i="8"/>
  <c r="AG70" i="8"/>
  <c r="AA70" i="8"/>
  <c r="Z70" i="8"/>
  <c r="AB70" i="8"/>
  <c r="W70" i="8"/>
  <c r="Q70" i="8"/>
  <c r="P70" i="8"/>
  <c r="R70" i="8"/>
  <c r="M70" i="8"/>
  <c r="H70" i="8"/>
  <c r="AK69" i="8"/>
  <c r="AJ69" i="8"/>
  <c r="AL69" i="8"/>
  <c r="AG69" i="8"/>
  <c r="AA69" i="8"/>
  <c r="Z69" i="8"/>
  <c r="AB69" i="8"/>
  <c r="W69" i="8"/>
  <c r="Q69" i="8"/>
  <c r="P69" i="8"/>
  <c r="R69" i="8"/>
  <c r="M69" i="8"/>
  <c r="H69" i="8"/>
  <c r="D69" i="8"/>
  <c r="AK68" i="8"/>
  <c r="AJ68" i="8"/>
  <c r="AL68" i="8"/>
  <c r="AG68" i="8"/>
  <c r="AA68" i="8"/>
  <c r="Z68" i="8"/>
  <c r="AB68" i="8"/>
  <c r="W68" i="8"/>
  <c r="Q68" i="8"/>
  <c r="P68" i="8"/>
  <c r="R68" i="8"/>
  <c r="M68" i="8"/>
  <c r="H68" i="8"/>
  <c r="D68" i="8"/>
  <c r="AK67" i="8"/>
  <c r="AJ67" i="8"/>
  <c r="AL67" i="8"/>
  <c r="AG67" i="8"/>
  <c r="AA67" i="8"/>
  <c r="Z67" i="8"/>
  <c r="AB67" i="8"/>
  <c r="W67" i="8"/>
  <c r="Q67" i="8"/>
  <c r="P67" i="8"/>
  <c r="R67" i="8"/>
  <c r="M67" i="8"/>
  <c r="H67" i="8"/>
  <c r="AL66" i="8"/>
  <c r="AG66" i="8"/>
  <c r="AB66" i="8"/>
  <c r="W66" i="8"/>
  <c r="R66" i="8"/>
  <c r="M66" i="8"/>
  <c r="H66" i="8"/>
  <c r="D66" i="8"/>
  <c r="D65" i="8"/>
  <c r="AL64" i="8"/>
  <c r="AG64" i="8"/>
  <c r="AB64" i="8"/>
  <c r="W64" i="8"/>
  <c r="R64" i="8"/>
  <c r="M64" i="8"/>
  <c r="H64" i="8"/>
  <c r="D64" i="8"/>
  <c r="AJ62" i="8"/>
  <c r="AE62" i="8"/>
  <c r="Z62" i="8"/>
  <c r="U62" i="8"/>
  <c r="P62" i="8"/>
  <c r="K62" i="8"/>
  <c r="F62" i="8"/>
  <c r="AZ40" i="8"/>
  <c r="AZ48" i="8"/>
  <c r="AZ51" i="8"/>
  <c r="AZ52" i="8"/>
  <c r="AZ53" i="8"/>
  <c r="AZ54" i="8"/>
  <c r="AZ55" i="8"/>
  <c r="AZ56" i="8"/>
  <c r="AZ58" i="8"/>
  <c r="AY40" i="8"/>
  <c r="AY48" i="8"/>
  <c r="AY51" i="8"/>
  <c r="AY52" i="8"/>
  <c r="AY53" i="8"/>
  <c r="AY54" i="8"/>
  <c r="AY55" i="8"/>
  <c r="AY56" i="8"/>
  <c r="AY58" i="8"/>
  <c r="V40" i="8"/>
  <c r="V48" i="8"/>
  <c r="V51" i="8"/>
  <c r="V52" i="8"/>
  <c r="AO52" i="8"/>
  <c r="V53" i="8"/>
  <c r="AO53" i="8"/>
  <c r="V54" i="8"/>
  <c r="AO54" i="8"/>
  <c r="V55" i="8"/>
  <c r="AO55" i="8"/>
  <c r="V56" i="8"/>
  <c r="AO56" i="8"/>
  <c r="AO58" i="8"/>
  <c r="U40" i="8"/>
  <c r="U48" i="8"/>
  <c r="U51" i="8"/>
  <c r="U52" i="8"/>
  <c r="AF40" i="8"/>
  <c r="AF48" i="8"/>
  <c r="AF51" i="8"/>
  <c r="AF52" i="8"/>
  <c r="AN52" i="8"/>
  <c r="U53" i="8"/>
  <c r="AF53" i="8"/>
  <c r="AN53" i="8"/>
  <c r="U54" i="8"/>
  <c r="AF54" i="8"/>
  <c r="AN54" i="8"/>
  <c r="U55" i="8"/>
  <c r="AF55" i="8"/>
  <c r="AN55" i="8"/>
  <c r="U56" i="8"/>
  <c r="AF56" i="8"/>
  <c r="AN56" i="8"/>
  <c r="AN58" i="8"/>
  <c r="AK52" i="8"/>
  <c r="AK53" i="8"/>
  <c r="AK54" i="8"/>
  <c r="AK55" i="8"/>
  <c r="AK56" i="8"/>
  <c r="AK58" i="8"/>
  <c r="AE40" i="8"/>
  <c r="AE48" i="8"/>
  <c r="AE51" i="8"/>
  <c r="AE52" i="8"/>
  <c r="AJ52" i="8"/>
  <c r="AE53" i="8"/>
  <c r="AJ53" i="8"/>
  <c r="AE54" i="8"/>
  <c r="AJ54" i="8"/>
  <c r="AE55" i="8"/>
  <c r="AJ55" i="8"/>
  <c r="AE56" i="8"/>
  <c r="AJ56" i="8"/>
  <c r="AJ58" i="8"/>
  <c r="AF58" i="8"/>
  <c r="AE58" i="8"/>
  <c r="L40" i="8"/>
  <c r="L48" i="8"/>
  <c r="L51" i="8"/>
  <c r="L52" i="8"/>
  <c r="AA52" i="8"/>
  <c r="L53" i="8"/>
  <c r="AA53" i="8"/>
  <c r="L54" i="8"/>
  <c r="AA54" i="8"/>
  <c r="L55" i="8"/>
  <c r="AA55" i="8"/>
  <c r="L56" i="8"/>
  <c r="AA56" i="8"/>
  <c r="AA58" i="8"/>
  <c r="K40" i="8"/>
  <c r="K48" i="8"/>
  <c r="K51" i="8"/>
  <c r="K52" i="8"/>
  <c r="Z52" i="8"/>
  <c r="K53" i="8"/>
  <c r="Z53" i="8"/>
  <c r="K54" i="8"/>
  <c r="Z54" i="8"/>
  <c r="K55" i="8"/>
  <c r="Z55" i="8"/>
  <c r="K56" i="8"/>
  <c r="Z56" i="8"/>
  <c r="Z58" i="8"/>
  <c r="V58" i="8"/>
  <c r="U58" i="8"/>
  <c r="G40" i="8"/>
  <c r="G48" i="8"/>
  <c r="G51" i="8"/>
  <c r="G52" i="8"/>
  <c r="Q52" i="8"/>
  <c r="G53" i="8"/>
  <c r="Q53" i="8"/>
  <c r="G54" i="8"/>
  <c r="Q54" i="8"/>
  <c r="G55" i="8"/>
  <c r="Q55" i="8"/>
  <c r="G56" i="8"/>
  <c r="Q56" i="8"/>
  <c r="Q58" i="8"/>
  <c r="F40" i="8"/>
  <c r="F48" i="8"/>
  <c r="F51" i="8"/>
  <c r="F52" i="8"/>
  <c r="P52" i="8"/>
  <c r="F53" i="8"/>
  <c r="P53" i="8"/>
  <c r="F54" i="8"/>
  <c r="P54" i="8"/>
  <c r="F55" i="8"/>
  <c r="P55" i="8"/>
  <c r="F56" i="8"/>
  <c r="P56" i="8"/>
  <c r="P58" i="8"/>
  <c r="L58" i="8"/>
  <c r="K58" i="8"/>
  <c r="G58" i="8"/>
  <c r="F58" i="8"/>
  <c r="AP56" i="8"/>
  <c r="AL56" i="8"/>
  <c r="AG56" i="8"/>
  <c r="AB56" i="8"/>
  <c r="W56" i="8"/>
  <c r="R56" i="8"/>
  <c r="M56" i="8"/>
  <c r="H56" i="8"/>
  <c r="D56" i="8"/>
  <c r="AP55" i="8"/>
  <c r="AL55" i="8"/>
  <c r="AG55" i="8"/>
  <c r="AB55" i="8"/>
  <c r="W55" i="8"/>
  <c r="R55" i="8"/>
  <c r="M55" i="8"/>
  <c r="H55" i="8"/>
  <c r="D55" i="8"/>
  <c r="AP54" i="8"/>
  <c r="AL54" i="8"/>
  <c r="AG54" i="8"/>
  <c r="AB54" i="8"/>
  <c r="W54" i="8"/>
  <c r="R54" i="8"/>
  <c r="M54" i="8"/>
  <c r="H54" i="8"/>
  <c r="D54" i="8"/>
  <c r="AP53" i="8"/>
  <c r="AL53" i="8"/>
  <c r="AG53" i="8"/>
  <c r="AB53" i="8"/>
  <c r="W53" i="8"/>
  <c r="R53" i="8"/>
  <c r="M53" i="8"/>
  <c r="H53" i="8"/>
  <c r="D53" i="8"/>
  <c r="AP52" i="8"/>
  <c r="AL52" i="8"/>
  <c r="AG52" i="8"/>
  <c r="AB52" i="8"/>
  <c r="W52" i="8"/>
  <c r="R52" i="8"/>
  <c r="M52" i="8"/>
  <c r="H52" i="8"/>
  <c r="D52" i="8"/>
  <c r="AO51" i="8"/>
  <c r="AN51" i="8"/>
  <c r="AP51" i="8"/>
  <c r="AK51" i="8"/>
  <c r="AJ51" i="8"/>
  <c r="AL51" i="8"/>
  <c r="AG51" i="8"/>
  <c r="AA51" i="8"/>
  <c r="Z51" i="8"/>
  <c r="AB51" i="8"/>
  <c r="W51" i="8"/>
  <c r="Q51" i="8"/>
  <c r="P51" i="8"/>
  <c r="R51" i="8"/>
  <c r="M51" i="8"/>
  <c r="H51" i="8"/>
  <c r="D51" i="8"/>
  <c r="AZ49" i="8"/>
  <c r="AZ50" i="8"/>
  <c r="AY49" i="8"/>
  <c r="AY50" i="8"/>
  <c r="V49" i="8"/>
  <c r="V50" i="8"/>
  <c r="AO50" i="8"/>
  <c r="U49" i="8"/>
  <c r="U50" i="8"/>
  <c r="AF49" i="8"/>
  <c r="AF50" i="8"/>
  <c r="AN50" i="8"/>
  <c r="AP50" i="8"/>
  <c r="AK50" i="8"/>
  <c r="AE49" i="8"/>
  <c r="AE50" i="8"/>
  <c r="AJ50" i="8"/>
  <c r="AL50" i="8"/>
  <c r="AG50" i="8"/>
  <c r="L49" i="8"/>
  <c r="L50" i="8"/>
  <c r="AA50" i="8"/>
  <c r="K49" i="8"/>
  <c r="K50" i="8"/>
  <c r="Z50" i="8"/>
  <c r="AB50" i="8"/>
  <c r="W50" i="8"/>
  <c r="G49" i="8"/>
  <c r="G50" i="8"/>
  <c r="Q50" i="8"/>
  <c r="F49" i="8"/>
  <c r="F50" i="8"/>
  <c r="P50" i="8"/>
  <c r="R50" i="8"/>
  <c r="M50" i="8"/>
  <c r="H50" i="8"/>
  <c r="D50" i="8"/>
  <c r="AO49" i="8"/>
  <c r="AN49" i="8"/>
  <c r="AP49" i="8"/>
  <c r="AK49" i="8"/>
  <c r="AJ49" i="8"/>
  <c r="AL49" i="8"/>
  <c r="AG49" i="8"/>
  <c r="AA49" i="8"/>
  <c r="Z49" i="8"/>
  <c r="AB49" i="8"/>
  <c r="W49" i="8"/>
  <c r="Q49" i="8"/>
  <c r="P49" i="8"/>
  <c r="R49" i="8"/>
  <c r="M49" i="8"/>
  <c r="H49" i="8"/>
  <c r="D49" i="8"/>
  <c r="AO48" i="8"/>
  <c r="AN48" i="8"/>
  <c r="AP48" i="8"/>
  <c r="AK48" i="8"/>
  <c r="AJ48" i="8"/>
  <c r="AL48" i="8"/>
  <c r="AG48" i="8"/>
  <c r="AA48" i="8"/>
  <c r="Z48" i="8"/>
  <c r="AB48" i="8"/>
  <c r="W48" i="8"/>
  <c r="Q48" i="8"/>
  <c r="P48" i="8"/>
  <c r="R48" i="8"/>
  <c r="M48" i="8"/>
  <c r="H48" i="8"/>
  <c r="D48" i="8"/>
  <c r="AZ10" i="8"/>
  <c r="AZ47" i="8"/>
  <c r="AY10" i="8"/>
  <c r="AY47" i="8"/>
  <c r="AO40" i="8"/>
  <c r="V10" i="8"/>
  <c r="AO10" i="8"/>
  <c r="AO47" i="8"/>
  <c r="AN40" i="8"/>
  <c r="U10" i="8"/>
  <c r="AF10" i="8"/>
  <c r="AN10" i="8"/>
  <c r="AN47" i="8"/>
  <c r="AP47" i="8"/>
  <c r="AK40" i="8"/>
  <c r="AK10" i="8"/>
  <c r="AK47" i="8"/>
  <c r="AJ40" i="8"/>
  <c r="AE10" i="8"/>
  <c r="AJ10" i="8"/>
  <c r="AJ47" i="8"/>
  <c r="AL47" i="8"/>
  <c r="AF47" i="8"/>
  <c r="AE47" i="8"/>
  <c r="AG47" i="8"/>
  <c r="AA40" i="8"/>
  <c r="L10" i="8"/>
  <c r="AA10" i="8"/>
  <c r="AA47" i="8"/>
  <c r="Z40" i="8"/>
  <c r="K10" i="8"/>
  <c r="Z10" i="8"/>
  <c r="Z47" i="8"/>
  <c r="AB47" i="8"/>
  <c r="V47" i="8"/>
  <c r="U47" i="8"/>
  <c r="W47" i="8"/>
  <c r="Q40" i="8"/>
  <c r="G10" i="8"/>
  <c r="Q10" i="8"/>
  <c r="Q47" i="8"/>
  <c r="P40" i="8"/>
  <c r="F10" i="8"/>
  <c r="P10" i="8"/>
  <c r="P47" i="8"/>
  <c r="R47" i="8"/>
  <c r="L47" i="8"/>
  <c r="K47" i="8"/>
  <c r="M47" i="8"/>
  <c r="G47" i="8"/>
  <c r="F47" i="8"/>
  <c r="H47" i="8"/>
  <c r="D47" i="8"/>
  <c r="AZ44" i="8"/>
  <c r="AZ45" i="8"/>
  <c r="AZ46" i="8"/>
  <c r="AY44" i="8"/>
  <c r="AY45" i="8"/>
  <c r="AY46" i="8"/>
  <c r="V44" i="8"/>
  <c r="V45" i="8"/>
  <c r="V46" i="8"/>
  <c r="AO46" i="8"/>
  <c r="U44" i="8"/>
  <c r="U45" i="8"/>
  <c r="U46" i="8"/>
  <c r="AF44" i="8"/>
  <c r="AF45" i="8"/>
  <c r="AF46" i="8"/>
  <c r="AN46" i="8"/>
  <c r="AP46" i="8"/>
  <c r="AK46" i="8"/>
  <c r="AE44" i="8"/>
  <c r="AE45" i="8"/>
  <c r="AE46" i="8"/>
  <c r="AJ46" i="8"/>
  <c r="AL46" i="8"/>
  <c r="AG46" i="8"/>
  <c r="L44" i="8"/>
  <c r="L45" i="8"/>
  <c r="L46" i="8"/>
  <c r="AA46" i="8"/>
  <c r="K44" i="8"/>
  <c r="K45" i="8"/>
  <c r="K46" i="8"/>
  <c r="Z46" i="8"/>
  <c r="AB46" i="8"/>
  <c r="W46" i="8"/>
  <c r="G44" i="8"/>
  <c r="G45" i="8"/>
  <c r="G46" i="8"/>
  <c r="Q46" i="8"/>
  <c r="F44" i="8"/>
  <c r="F45" i="8"/>
  <c r="F46" i="8"/>
  <c r="P46" i="8"/>
  <c r="R46" i="8"/>
  <c r="M46" i="8"/>
  <c r="H46" i="8"/>
  <c r="D46" i="8"/>
  <c r="AO45" i="8"/>
  <c r="AN45" i="8"/>
  <c r="AP45" i="8"/>
  <c r="AK45" i="8"/>
  <c r="AJ45" i="8"/>
  <c r="AL45" i="8"/>
  <c r="AG45" i="8"/>
  <c r="AA45" i="8"/>
  <c r="Z45" i="8"/>
  <c r="AB45" i="8"/>
  <c r="W45" i="8"/>
  <c r="Q45" i="8"/>
  <c r="P45" i="8"/>
  <c r="R45" i="8"/>
  <c r="M45" i="8"/>
  <c r="H45" i="8"/>
  <c r="D45" i="8"/>
  <c r="AO44" i="8"/>
  <c r="AN44" i="8"/>
  <c r="AP44" i="8"/>
  <c r="AK44" i="8"/>
  <c r="AJ44" i="8"/>
  <c r="AL44" i="8"/>
  <c r="AG44" i="8"/>
  <c r="AA44" i="8"/>
  <c r="Z44" i="8"/>
  <c r="AB44" i="8"/>
  <c r="W44" i="8"/>
  <c r="Q44" i="8"/>
  <c r="P44" i="8"/>
  <c r="R44" i="8"/>
  <c r="M44" i="8"/>
  <c r="H44" i="8"/>
  <c r="AZ43" i="8"/>
  <c r="AY43" i="8"/>
  <c r="V43" i="8"/>
  <c r="AO43" i="8"/>
  <c r="U43" i="8"/>
  <c r="AF43" i="8"/>
  <c r="AN43" i="8"/>
  <c r="AP43" i="8"/>
  <c r="AK43" i="8"/>
  <c r="AE43" i="8"/>
  <c r="AJ43" i="8"/>
  <c r="AL43" i="8"/>
  <c r="AG43" i="8"/>
  <c r="L43" i="8"/>
  <c r="AA43" i="8"/>
  <c r="K43" i="8"/>
  <c r="Z43" i="8"/>
  <c r="AB43" i="8"/>
  <c r="W43" i="8"/>
  <c r="G43" i="8"/>
  <c r="Q43" i="8"/>
  <c r="F43" i="8"/>
  <c r="P43" i="8"/>
  <c r="R43" i="8"/>
  <c r="M43" i="8"/>
  <c r="H43" i="8"/>
  <c r="D43" i="8"/>
  <c r="AZ42" i="8"/>
  <c r="AY42" i="8"/>
  <c r="V42" i="8"/>
  <c r="AO42" i="8"/>
  <c r="U42" i="8"/>
  <c r="AF42" i="8"/>
  <c r="AN42" i="8"/>
  <c r="AP42" i="8"/>
  <c r="AK42" i="8"/>
  <c r="AE42" i="8"/>
  <c r="AJ42" i="8"/>
  <c r="AL42" i="8"/>
  <c r="AG42" i="8"/>
  <c r="L42" i="8"/>
  <c r="AA42" i="8"/>
  <c r="K42" i="8"/>
  <c r="Z42" i="8"/>
  <c r="AB42" i="8"/>
  <c r="W42" i="8"/>
  <c r="G42" i="8"/>
  <c r="Q42" i="8"/>
  <c r="F42" i="8"/>
  <c r="P42" i="8"/>
  <c r="R42" i="8"/>
  <c r="M42" i="8"/>
  <c r="H42" i="8"/>
  <c r="D42" i="8"/>
  <c r="AZ41" i="8"/>
  <c r="AY41" i="8"/>
  <c r="V41" i="8"/>
  <c r="AO41" i="8"/>
  <c r="U41" i="8"/>
  <c r="AF41" i="8"/>
  <c r="AN41" i="8"/>
  <c r="AP41" i="8"/>
  <c r="AK41" i="8"/>
  <c r="AE41" i="8"/>
  <c r="AJ41" i="8"/>
  <c r="AL41" i="8"/>
  <c r="AG41" i="8"/>
  <c r="L41" i="8"/>
  <c r="AA41" i="8"/>
  <c r="K41" i="8"/>
  <c r="Z41" i="8"/>
  <c r="AB41" i="8"/>
  <c r="W41" i="8"/>
  <c r="G41" i="8"/>
  <c r="Q41" i="8"/>
  <c r="F41" i="8"/>
  <c r="P41" i="8"/>
  <c r="R41" i="8"/>
  <c r="M41" i="8"/>
  <c r="H41" i="8"/>
  <c r="AP40" i="8"/>
  <c r="AL40" i="8"/>
  <c r="AG40" i="8"/>
  <c r="AB40" i="8"/>
  <c r="W40" i="8"/>
  <c r="R40" i="8"/>
  <c r="M40" i="8"/>
  <c r="H40" i="8"/>
  <c r="D40" i="8"/>
  <c r="AZ32" i="8"/>
  <c r="AZ39" i="8"/>
  <c r="AY32" i="8"/>
  <c r="AY39" i="8"/>
  <c r="V32" i="8"/>
  <c r="AO32" i="8"/>
  <c r="AO39" i="8"/>
  <c r="U32" i="8"/>
  <c r="AF32" i="8"/>
  <c r="AN32" i="8"/>
  <c r="AN39" i="8"/>
  <c r="AP39" i="8"/>
  <c r="AK32" i="8"/>
  <c r="AK39" i="8"/>
  <c r="AE32" i="8"/>
  <c r="AJ32" i="8"/>
  <c r="AJ39" i="8"/>
  <c r="AL39" i="8"/>
  <c r="AF39" i="8"/>
  <c r="AE39" i="8"/>
  <c r="AG39" i="8"/>
  <c r="L32" i="8"/>
  <c r="AA32" i="8"/>
  <c r="AA39" i="8"/>
  <c r="K32" i="8"/>
  <c r="Z32" i="8"/>
  <c r="Z39" i="8"/>
  <c r="AB39" i="8"/>
  <c r="V39" i="8"/>
  <c r="U39" i="8"/>
  <c r="W39" i="8"/>
  <c r="G32" i="8"/>
  <c r="Q32" i="8"/>
  <c r="Q39" i="8"/>
  <c r="F32" i="8"/>
  <c r="P32" i="8"/>
  <c r="P39" i="8"/>
  <c r="R39" i="8"/>
  <c r="L39" i="8"/>
  <c r="K39" i="8"/>
  <c r="M39" i="8"/>
  <c r="G39" i="8"/>
  <c r="F39" i="8"/>
  <c r="H39" i="8"/>
  <c r="D39" i="8"/>
  <c r="AZ36" i="8"/>
  <c r="AZ37" i="8"/>
  <c r="AZ38" i="8"/>
  <c r="AY36" i="8"/>
  <c r="AY37" i="8"/>
  <c r="AY38" i="8"/>
  <c r="V36" i="8"/>
  <c r="V37" i="8"/>
  <c r="V38" i="8"/>
  <c r="AO38" i="8"/>
  <c r="U36" i="8"/>
  <c r="U37" i="8"/>
  <c r="U38" i="8"/>
  <c r="AF36" i="8"/>
  <c r="AF37" i="8"/>
  <c r="AF38" i="8"/>
  <c r="AN38" i="8"/>
  <c r="AP38" i="8"/>
  <c r="AK38" i="8"/>
  <c r="AE36" i="8"/>
  <c r="AE37" i="8"/>
  <c r="AE38" i="8"/>
  <c r="AJ38" i="8"/>
  <c r="AL38" i="8"/>
  <c r="AG38" i="8"/>
  <c r="L36" i="8"/>
  <c r="L37" i="8"/>
  <c r="L38" i="8"/>
  <c r="AA38" i="8"/>
  <c r="K36" i="8"/>
  <c r="K37" i="8"/>
  <c r="K38" i="8"/>
  <c r="Z38" i="8"/>
  <c r="AB38" i="8"/>
  <c r="W38" i="8"/>
  <c r="G36" i="8"/>
  <c r="G37" i="8"/>
  <c r="G38" i="8"/>
  <c r="Q38" i="8"/>
  <c r="F36" i="8"/>
  <c r="F37" i="8"/>
  <c r="F38" i="8"/>
  <c r="P38" i="8"/>
  <c r="R38" i="8"/>
  <c r="M38" i="8"/>
  <c r="H38" i="8"/>
  <c r="D38" i="8"/>
  <c r="AO37" i="8"/>
  <c r="AN37" i="8"/>
  <c r="AP37" i="8"/>
  <c r="AK37" i="8"/>
  <c r="AJ37" i="8"/>
  <c r="AL37" i="8"/>
  <c r="AG37" i="8"/>
  <c r="AA37" i="8"/>
  <c r="Z37" i="8"/>
  <c r="AB37" i="8"/>
  <c r="W37" i="8"/>
  <c r="Q37" i="8"/>
  <c r="P37" i="8"/>
  <c r="R37" i="8"/>
  <c r="M37" i="8"/>
  <c r="H37" i="8"/>
  <c r="D37" i="8"/>
  <c r="AO36" i="8"/>
  <c r="AN36" i="8"/>
  <c r="AP36" i="8"/>
  <c r="AK36" i="8"/>
  <c r="AJ36" i="8"/>
  <c r="AL36" i="8"/>
  <c r="AG36" i="8"/>
  <c r="AA36" i="8"/>
  <c r="Z36" i="8"/>
  <c r="AB36" i="8"/>
  <c r="W36" i="8"/>
  <c r="Q36" i="8"/>
  <c r="P36" i="8"/>
  <c r="R36" i="8"/>
  <c r="M36" i="8"/>
  <c r="H36" i="8"/>
  <c r="AZ35" i="8"/>
  <c r="AY35" i="8"/>
  <c r="V35" i="8"/>
  <c r="AO35" i="8"/>
  <c r="U35" i="8"/>
  <c r="AF35" i="8"/>
  <c r="AN35" i="8"/>
  <c r="AP35" i="8"/>
  <c r="AK35" i="8"/>
  <c r="AE35" i="8"/>
  <c r="AJ35" i="8"/>
  <c r="AL35" i="8"/>
  <c r="AG35" i="8"/>
  <c r="L35" i="8"/>
  <c r="AA35" i="8"/>
  <c r="K35" i="8"/>
  <c r="Z35" i="8"/>
  <c r="AB35" i="8"/>
  <c r="W35" i="8"/>
  <c r="G35" i="8"/>
  <c r="Q35" i="8"/>
  <c r="F35" i="8"/>
  <c r="P35" i="8"/>
  <c r="R35" i="8"/>
  <c r="M35" i="8"/>
  <c r="H35" i="8"/>
  <c r="D35" i="8"/>
  <c r="AZ34" i="8"/>
  <c r="AY34" i="8"/>
  <c r="V34" i="8"/>
  <c r="AO34" i="8"/>
  <c r="U34" i="8"/>
  <c r="AF34" i="8"/>
  <c r="AN34" i="8"/>
  <c r="AP34" i="8"/>
  <c r="AK34" i="8"/>
  <c r="AE34" i="8"/>
  <c r="AJ34" i="8"/>
  <c r="AL34" i="8"/>
  <c r="AG34" i="8"/>
  <c r="L34" i="8"/>
  <c r="AA34" i="8"/>
  <c r="K34" i="8"/>
  <c r="Z34" i="8"/>
  <c r="AB34" i="8"/>
  <c r="W34" i="8"/>
  <c r="G34" i="8"/>
  <c r="Q34" i="8"/>
  <c r="F34" i="8"/>
  <c r="P34" i="8"/>
  <c r="R34" i="8"/>
  <c r="M34" i="8"/>
  <c r="H34" i="8"/>
  <c r="D34" i="8"/>
  <c r="AZ33" i="8"/>
  <c r="AY33" i="8"/>
  <c r="V33" i="8"/>
  <c r="AO33" i="8"/>
  <c r="U33" i="8"/>
  <c r="AF33" i="8"/>
  <c r="AN33" i="8"/>
  <c r="AP33" i="8"/>
  <c r="AK33" i="8"/>
  <c r="AE33" i="8"/>
  <c r="AJ33" i="8"/>
  <c r="AL33" i="8"/>
  <c r="AG33" i="8"/>
  <c r="L33" i="8"/>
  <c r="AA33" i="8"/>
  <c r="K33" i="8"/>
  <c r="Z33" i="8"/>
  <c r="AB33" i="8"/>
  <c r="W33" i="8"/>
  <c r="G33" i="8"/>
  <c r="Q33" i="8"/>
  <c r="F33" i="8"/>
  <c r="P33" i="8"/>
  <c r="R33" i="8"/>
  <c r="M33" i="8"/>
  <c r="H33" i="8"/>
  <c r="AP32" i="8"/>
  <c r="AL32" i="8"/>
  <c r="AG32" i="8"/>
  <c r="AB32" i="8"/>
  <c r="W32" i="8"/>
  <c r="R32" i="8"/>
  <c r="M32" i="8"/>
  <c r="H32" i="8"/>
  <c r="D32" i="8"/>
  <c r="AZ24" i="8"/>
  <c r="AZ31" i="8"/>
  <c r="AY24" i="8"/>
  <c r="AY31" i="8"/>
  <c r="V24" i="8"/>
  <c r="AO24" i="8"/>
  <c r="AO31" i="8"/>
  <c r="U24" i="8"/>
  <c r="AF24" i="8"/>
  <c r="AN24" i="8"/>
  <c r="AN31" i="8"/>
  <c r="AP31" i="8"/>
  <c r="AK24" i="8"/>
  <c r="AK31" i="8"/>
  <c r="AE24" i="8"/>
  <c r="AJ24" i="8"/>
  <c r="AJ31" i="8"/>
  <c r="AL31" i="8"/>
  <c r="AF31" i="8"/>
  <c r="AE31" i="8"/>
  <c r="AG31" i="8"/>
  <c r="L24" i="8"/>
  <c r="AA24" i="8"/>
  <c r="AA31" i="8"/>
  <c r="K24" i="8"/>
  <c r="Z24" i="8"/>
  <c r="Z31" i="8"/>
  <c r="AB31" i="8"/>
  <c r="V31" i="8"/>
  <c r="U31" i="8"/>
  <c r="W31" i="8"/>
  <c r="G24" i="8"/>
  <c r="Q24" i="8"/>
  <c r="Q31" i="8"/>
  <c r="F24" i="8"/>
  <c r="P24" i="8"/>
  <c r="P31" i="8"/>
  <c r="R31" i="8"/>
  <c r="L31" i="8"/>
  <c r="K31" i="8"/>
  <c r="M31" i="8"/>
  <c r="G31" i="8"/>
  <c r="F31" i="8"/>
  <c r="H31" i="8"/>
  <c r="D31" i="8"/>
  <c r="AZ28" i="8"/>
  <c r="AZ29" i="8"/>
  <c r="AZ30" i="8"/>
  <c r="AY28" i="8"/>
  <c r="AY29" i="8"/>
  <c r="AY30" i="8"/>
  <c r="AO30" i="8"/>
  <c r="AN30" i="8"/>
  <c r="AP30" i="8"/>
  <c r="AK30" i="8"/>
  <c r="AJ30" i="8"/>
  <c r="AL30" i="8"/>
  <c r="AG30" i="8"/>
  <c r="AA30" i="8"/>
  <c r="Z30" i="8"/>
  <c r="AB30" i="8"/>
  <c r="W30" i="8"/>
  <c r="Q30" i="8"/>
  <c r="P30" i="8"/>
  <c r="R30" i="8"/>
  <c r="M30" i="8"/>
  <c r="H30" i="8"/>
  <c r="D30" i="8"/>
  <c r="AO29" i="8"/>
  <c r="AN29" i="8"/>
  <c r="AP29" i="8"/>
  <c r="AK29" i="8"/>
  <c r="AJ29" i="8"/>
  <c r="AL29" i="8"/>
  <c r="AG29" i="8"/>
  <c r="AA29" i="8"/>
  <c r="Z29" i="8"/>
  <c r="AB29" i="8"/>
  <c r="W29" i="8"/>
  <c r="Q29" i="8"/>
  <c r="P29" i="8"/>
  <c r="R29" i="8"/>
  <c r="M29" i="8"/>
  <c r="H29" i="8"/>
  <c r="D29" i="8"/>
  <c r="AO28" i="8"/>
  <c r="AN28" i="8"/>
  <c r="AP28" i="8"/>
  <c r="AK28" i="8"/>
  <c r="AJ28" i="8"/>
  <c r="AL28" i="8"/>
  <c r="AG28" i="8"/>
  <c r="AA28" i="8"/>
  <c r="Z28" i="8"/>
  <c r="AB28" i="8"/>
  <c r="W28" i="8"/>
  <c r="Q28" i="8"/>
  <c r="P28" i="8"/>
  <c r="R28" i="8"/>
  <c r="M28" i="8"/>
  <c r="H28" i="8"/>
  <c r="AZ27" i="8"/>
  <c r="AY27" i="8"/>
  <c r="AO27" i="8"/>
  <c r="AN27" i="8"/>
  <c r="AP27" i="8"/>
  <c r="AK27" i="8"/>
  <c r="AJ27" i="8"/>
  <c r="AL27" i="8"/>
  <c r="AG27" i="8"/>
  <c r="AA27" i="8"/>
  <c r="Z27" i="8"/>
  <c r="AB27" i="8"/>
  <c r="W27" i="8"/>
  <c r="Q27" i="8"/>
  <c r="P27" i="8"/>
  <c r="R27" i="8"/>
  <c r="M27" i="8"/>
  <c r="H27" i="8"/>
  <c r="D27" i="8"/>
  <c r="AZ26" i="8"/>
  <c r="AY26" i="8"/>
  <c r="AO26" i="8"/>
  <c r="AN26" i="8"/>
  <c r="AP26" i="8"/>
  <c r="AK26" i="8"/>
  <c r="AJ26" i="8"/>
  <c r="AL26" i="8"/>
  <c r="AG26" i="8"/>
  <c r="AA26" i="8"/>
  <c r="Z26" i="8"/>
  <c r="AB26" i="8"/>
  <c r="W26" i="8"/>
  <c r="Q26" i="8"/>
  <c r="P26" i="8"/>
  <c r="R26" i="8"/>
  <c r="M26" i="8"/>
  <c r="H26" i="8"/>
  <c r="D26" i="8"/>
  <c r="AZ25" i="8"/>
  <c r="AY25" i="8"/>
  <c r="AO25" i="8"/>
  <c r="AN25" i="8"/>
  <c r="AP25" i="8"/>
  <c r="AK25" i="8"/>
  <c r="AJ25" i="8"/>
  <c r="AL25" i="8"/>
  <c r="AG25" i="8"/>
  <c r="AA25" i="8"/>
  <c r="Z25" i="8"/>
  <c r="AB25" i="8"/>
  <c r="W25" i="8"/>
  <c r="Q25" i="8"/>
  <c r="P25" i="8"/>
  <c r="R25" i="8"/>
  <c r="M25" i="8"/>
  <c r="H25" i="8"/>
  <c r="AP24" i="8"/>
  <c r="AL24" i="8"/>
  <c r="AG24" i="8"/>
  <c r="AB24" i="8"/>
  <c r="W24" i="8"/>
  <c r="R24" i="8"/>
  <c r="M24" i="8"/>
  <c r="H24" i="8"/>
  <c r="D24" i="8"/>
  <c r="AZ14" i="8"/>
  <c r="AZ15" i="8"/>
  <c r="AZ16" i="8"/>
  <c r="AZ23" i="8"/>
  <c r="AY14" i="8"/>
  <c r="AY15" i="8"/>
  <c r="AY16" i="8"/>
  <c r="AY23" i="8"/>
  <c r="AO16" i="8"/>
  <c r="AO23" i="8"/>
  <c r="AN16" i="8"/>
  <c r="AN23" i="8"/>
  <c r="AP23" i="8"/>
  <c r="AK23" i="8"/>
  <c r="AJ23" i="8"/>
  <c r="AL23" i="8"/>
  <c r="AG23" i="8"/>
  <c r="AA23" i="8"/>
  <c r="Z23" i="8"/>
  <c r="AB23" i="8"/>
  <c r="W23" i="8"/>
  <c r="Q23" i="8"/>
  <c r="P23" i="8"/>
  <c r="R23" i="8"/>
  <c r="M23" i="8"/>
  <c r="H23" i="8"/>
  <c r="D23" i="8"/>
  <c r="AZ22" i="8"/>
  <c r="AY22" i="8"/>
  <c r="AO15" i="8"/>
  <c r="AO22" i="8"/>
  <c r="AN15" i="8"/>
  <c r="AN22" i="8"/>
  <c r="AP22" i="8"/>
  <c r="AK22" i="8"/>
  <c r="AJ22" i="8"/>
  <c r="AL22" i="8"/>
  <c r="AG22" i="8"/>
  <c r="AA22" i="8"/>
  <c r="Z22" i="8"/>
  <c r="AB22" i="8"/>
  <c r="W22" i="8"/>
  <c r="Q22" i="8"/>
  <c r="P22" i="8"/>
  <c r="R22" i="8"/>
  <c r="M22" i="8"/>
  <c r="H22" i="8"/>
  <c r="D22" i="8"/>
  <c r="AZ21" i="8"/>
  <c r="AY21" i="8"/>
  <c r="AO14" i="8"/>
  <c r="AO21" i="8"/>
  <c r="AN14" i="8"/>
  <c r="AN21" i="8"/>
  <c r="AP21" i="8"/>
  <c r="AK21" i="8"/>
  <c r="AJ21" i="8"/>
  <c r="AL21" i="8"/>
  <c r="AG21" i="8"/>
  <c r="AA21" i="8"/>
  <c r="Z21" i="8"/>
  <c r="AB21" i="8"/>
  <c r="W21" i="8"/>
  <c r="Q21" i="8"/>
  <c r="P21" i="8"/>
  <c r="R21" i="8"/>
  <c r="M21" i="8"/>
  <c r="H21" i="8"/>
  <c r="AZ13" i="8"/>
  <c r="AZ20" i="8"/>
  <c r="AY13" i="8"/>
  <c r="AY20" i="8"/>
  <c r="AO13" i="8"/>
  <c r="AO20" i="8"/>
  <c r="AN13" i="8"/>
  <c r="AN20" i="8"/>
  <c r="AP20" i="8"/>
  <c r="AK20" i="8"/>
  <c r="AJ20" i="8"/>
  <c r="AL20" i="8"/>
  <c r="AG20" i="8"/>
  <c r="AA20" i="8"/>
  <c r="Z20" i="8"/>
  <c r="AB20" i="8"/>
  <c r="W20" i="8"/>
  <c r="Q20" i="8"/>
  <c r="P20" i="8"/>
  <c r="R20" i="8"/>
  <c r="M20" i="8"/>
  <c r="H20" i="8"/>
  <c r="D20" i="8"/>
  <c r="AZ12" i="8"/>
  <c r="AZ19" i="8"/>
  <c r="AY12" i="8"/>
  <c r="AY19" i="8"/>
  <c r="AO12" i="8"/>
  <c r="AO19" i="8"/>
  <c r="AN12" i="8"/>
  <c r="AN19" i="8"/>
  <c r="AP19" i="8"/>
  <c r="AK19" i="8"/>
  <c r="AJ19" i="8"/>
  <c r="AL19" i="8"/>
  <c r="AG19" i="8"/>
  <c r="AA19" i="8"/>
  <c r="Z19" i="8"/>
  <c r="AB19" i="8"/>
  <c r="W19" i="8"/>
  <c r="Q19" i="8"/>
  <c r="P19" i="8"/>
  <c r="R19" i="8"/>
  <c r="M19" i="8"/>
  <c r="H19" i="8"/>
  <c r="D19" i="8"/>
  <c r="AZ11" i="8"/>
  <c r="AZ18" i="8"/>
  <c r="AY11" i="8"/>
  <c r="AY18" i="8"/>
  <c r="AO11" i="8"/>
  <c r="AO18" i="8"/>
  <c r="AN11" i="8"/>
  <c r="AN18" i="8"/>
  <c r="AP18" i="8"/>
  <c r="AK18" i="8"/>
  <c r="AJ18" i="8"/>
  <c r="AL18" i="8"/>
  <c r="AG18" i="8"/>
  <c r="AA18" i="8"/>
  <c r="Z18" i="8"/>
  <c r="AB18" i="8"/>
  <c r="W18" i="8"/>
  <c r="Q18" i="8"/>
  <c r="P18" i="8"/>
  <c r="R18" i="8"/>
  <c r="M18" i="8"/>
  <c r="H18" i="8"/>
  <c r="AZ17" i="8"/>
  <c r="AY17" i="8"/>
  <c r="AO17" i="8"/>
  <c r="AN17" i="8"/>
  <c r="AP17" i="8"/>
  <c r="AF17" i="8"/>
  <c r="V17" i="8"/>
  <c r="AK17" i="8"/>
  <c r="AE17" i="8"/>
  <c r="U17" i="8"/>
  <c r="AJ17" i="8"/>
  <c r="AL17" i="8"/>
  <c r="AG17" i="8"/>
  <c r="L17" i="8"/>
  <c r="AA17" i="8"/>
  <c r="K17" i="8"/>
  <c r="Z17" i="8"/>
  <c r="AB17" i="8"/>
  <c r="W17" i="8"/>
  <c r="G17" i="8"/>
  <c r="Q17" i="8"/>
  <c r="F17" i="8"/>
  <c r="P17" i="8"/>
  <c r="R17" i="8"/>
  <c r="M17" i="8"/>
  <c r="H17" i="8"/>
  <c r="D17" i="8"/>
  <c r="AP16" i="8"/>
  <c r="AK16" i="8"/>
  <c r="AJ16" i="8"/>
  <c r="AL16" i="8"/>
  <c r="AG16" i="8"/>
  <c r="AA16" i="8"/>
  <c r="Z16" i="8"/>
  <c r="AB16" i="8"/>
  <c r="W16" i="8"/>
  <c r="Q16" i="8"/>
  <c r="P16" i="8"/>
  <c r="R16" i="8"/>
  <c r="M16" i="8"/>
  <c r="H16" i="8"/>
  <c r="D16" i="8"/>
  <c r="AP15" i="8"/>
  <c r="AK15" i="8"/>
  <c r="AJ15" i="8"/>
  <c r="AL15" i="8"/>
  <c r="AG15" i="8"/>
  <c r="AA15" i="8"/>
  <c r="Z15" i="8"/>
  <c r="AB15" i="8"/>
  <c r="W15" i="8"/>
  <c r="Q15" i="8"/>
  <c r="P15" i="8"/>
  <c r="R15" i="8"/>
  <c r="M15" i="8"/>
  <c r="H15" i="8"/>
  <c r="D15" i="8"/>
  <c r="AP14" i="8"/>
  <c r="AK14" i="8"/>
  <c r="AJ14" i="8"/>
  <c r="AL14" i="8"/>
  <c r="AG14" i="8"/>
  <c r="AA14" i="8"/>
  <c r="Z14" i="8"/>
  <c r="AB14" i="8"/>
  <c r="W14" i="8"/>
  <c r="Q14" i="8"/>
  <c r="P14" i="8"/>
  <c r="R14" i="8"/>
  <c r="M14" i="8"/>
  <c r="H14" i="8"/>
  <c r="AP13" i="8"/>
  <c r="AK13" i="8"/>
  <c r="AJ13" i="8"/>
  <c r="AL13" i="8"/>
  <c r="AG13" i="8"/>
  <c r="AA13" i="8"/>
  <c r="Z13" i="8"/>
  <c r="AB13" i="8"/>
  <c r="W13" i="8"/>
  <c r="Q13" i="8"/>
  <c r="P13" i="8"/>
  <c r="R13" i="8"/>
  <c r="M13" i="8"/>
  <c r="H13" i="8"/>
  <c r="D13" i="8"/>
  <c r="AP12" i="8"/>
  <c r="AK12" i="8"/>
  <c r="AJ12" i="8"/>
  <c r="AL12" i="8"/>
  <c r="AG12" i="8"/>
  <c r="AA12" i="8"/>
  <c r="Z12" i="8"/>
  <c r="AB12" i="8"/>
  <c r="W12" i="8"/>
  <c r="Q12" i="8"/>
  <c r="P12" i="8"/>
  <c r="R12" i="8"/>
  <c r="M12" i="8"/>
  <c r="H12" i="8"/>
  <c r="D12" i="8"/>
  <c r="AP11" i="8"/>
  <c r="AK11" i="8"/>
  <c r="AJ11" i="8"/>
  <c r="AL11" i="8"/>
  <c r="AG11" i="8"/>
  <c r="AA11" i="8"/>
  <c r="Z11" i="8"/>
  <c r="AB11" i="8"/>
  <c r="W11" i="8"/>
  <c r="Q11" i="8"/>
  <c r="P11" i="8"/>
  <c r="R11" i="8"/>
  <c r="M11" i="8"/>
  <c r="H11" i="8"/>
  <c r="AP10" i="8"/>
  <c r="AL10" i="8"/>
  <c r="AG10" i="8"/>
  <c r="AB10" i="8"/>
  <c r="W10" i="8"/>
  <c r="R10" i="8"/>
  <c r="M10" i="8"/>
  <c r="H10" i="8"/>
  <c r="D10" i="8"/>
  <c r="D9" i="8"/>
  <c r="AP8" i="8"/>
  <c r="AL8" i="8"/>
  <c r="AG8" i="8"/>
  <c r="AB8" i="8"/>
  <c r="W8" i="8"/>
  <c r="R8" i="8"/>
  <c r="M8" i="8"/>
  <c r="H8" i="8"/>
  <c r="D8" i="8"/>
  <c r="D53" i="7"/>
  <c r="AK6" i="7"/>
  <c r="AF6" i="7"/>
  <c r="X6" i="7"/>
  <c r="S6" i="7"/>
  <c r="K6" i="7"/>
  <c r="F6" i="7"/>
  <c r="D52" i="7"/>
  <c r="AK63" i="7"/>
  <c r="X63" i="7"/>
  <c r="X78" i="7"/>
  <c r="X112" i="7"/>
  <c r="K63" i="7"/>
  <c r="K132" i="7"/>
  <c r="AM65" i="7"/>
  <c r="AM8" i="7"/>
  <c r="Z114" i="7"/>
  <c r="Z80" i="7"/>
  <c r="Z65" i="7"/>
  <c r="Z8" i="7"/>
  <c r="M134" i="7"/>
  <c r="M65" i="7"/>
  <c r="M8" i="7"/>
  <c r="AD74" i="7"/>
  <c r="AD73" i="7"/>
  <c r="AD72" i="7"/>
  <c r="AD71" i="7"/>
  <c r="AD70" i="7"/>
  <c r="AD69" i="7"/>
  <c r="AD68" i="7"/>
  <c r="AD67" i="7"/>
  <c r="AD66" i="7"/>
  <c r="AH65" i="7"/>
  <c r="AD65" i="7"/>
  <c r="AF63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0" i="7"/>
  <c r="AD9" i="7"/>
  <c r="AH8" i="7"/>
  <c r="AD8" i="7"/>
  <c r="Q143" i="7"/>
  <c r="Q142" i="7"/>
  <c r="Q141" i="7"/>
  <c r="Q140" i="7"/>
  <c r="Q139" i="7"/>
  <c r="Q138" i="7"/>
  <c r="Q137" i="7"/>
  <c r="Q136" i="7"/>
  <c r="Q135" i="7"/>
  <c r="Q133" i="7"/>
  <c r="Q132" i="7"/>
  <c r="Q131" i="7"/>
  <c r="Q130" i="7"/>
  <c r="Q129" i="7"/>
  <c r="Q128" i="7"/>
  <c r="Q127" i="7"/>
  <c r="Q126" i="7"/>
  <c r="Q125" i="7"/>
  <c r="Q123" i="7"/>
  <c r="Q122" i="7"/>
  <c r="Q121" i="7"/>
  <c r="Q120" i="7"/>
  <c r="Q119" i="7"/>
  <c r="Q118" i="7"/>
  <c r="Q117" i="7"/>
  <c r="Q116" i="7"/>
  <c r="Q115" i="7"/>
  <c r="U114" i="7"/>
  <c r="Q114" i="7"/>
  <c r="Q112" i="7"/>
  <c r="Q109" i="7"/>
  <c r="Q108" i="7"/>
  <c r="Q107" i="7"/>
  <c r="Q106" i="7"/>
  <c r="Q105" i="7"/>
  <c r="Q104" i="7"/>
  <c r="Q103" i="7"/>
  <c r="Q102" i="7"/>
  <c r="Q101" i="7"/>
  <c r="Q99" i="7"/>
  <c r="Q98" i="7"/>
  <c r="Q97" i="7"/>
  <c r="Q96" i="7"/>
  <c r="Q95" i="7"/>
  <c r="Q94" i="7"/>
  <c r="Q93" i="7"/>
  <c r="Q92" i="7"/>
  <c r="Q91" i="7"/>
  <c r="Q89" i="7"/>
  <c r="Q88" i="7"/>
  <c r="Q87" i="7"/>
  <c r="Q86" i="7"/>
  <c r="Q85" i="7"/>
  <c r="Q84" i="7"/>
  <c r="Q83" i="7"/>
  <c r="Q82" i="7"/>
  <c r="Q81" i="7"/>
  <c r="U80" i="7"/>
  <c r="Q80" i="7"/>
  <c r="Q78" i="7"/>
  <c r="Q74" i="7"/>
  <c r="Q73" i="7"/>
  <c r="Q72" i="7"/>
  <c r="Q71" i="7"/>
  <c r="Q70" i="7"/>
  <c r="Q69" i="7"/>
  <c r="Q68" i="7"/>
  <c r="Q67" i="7"/>
  <c r="Q66" i="7"/>
  <c r="U65" i="7"/>
  <c r="Q65" i="7"/>
  <c r="Q3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U8" i="7"/>
  <c r="Q8" i="7"/>
  <c r="D3" i="7"/>
  <c r="D157" i="7"/>
  <c r="D154" i="7"/>
  <c r="D153" i="7"/>
  <c r="D152" i="7"/>
  <c r="D151" i="7"/>
  <c r="D149" i="7"/>
  <c r="D146" i="7"/>
  <c r="D145" i="7"/>
  <c r="D144" i="7"/>
  <c r="D143" i="7"/>
  <c r="D141" i="7"/>
  <c r="D138" i="7"/>
  <c r="D137" i="7"/>
  <c r="D136" i="7"/>
  <c r="D135" i="7"/>
  <c r="H134" i="7"/>
  <c r="D134" i="7"/>
  <c r="D132" i="7"/>
  <c r="D123" i="7"/>
  <c r="D120" i="7"/>
  <c r="D119" i="7"/>
  <c r="D118" i="7"/>
  <c r="D117" i="7"/>
  <c r="D115" i="7"/>
  <c r="D112" i="7"/>
  <c r="D111" i="7"/>
  <c r="D110" i="7"/>
  <c r="D109" i="7"/>
  <c r="D107" i="7"/>
  <c r="D104" i="7"/>
  <c r="D103" i="7"/>
  <c r="D102" i="7"/>
  <c r="D101" i="7"/>
  <c r="D100" i="7"/>
  <c r="D98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H65" i="7"/>
  <c r="D65" i="7"/>
  <c r="D54" i="7"/>
  <c r="D51" i="7"/>
  <c r="D50" i="7"/>
  <c r="D49" i="7"/>
  <c r="D48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H8" i="7"/>
  <c r="D8" i="7"/>
  <c r="S63" i="7"/>
  <c r="F132" i="7"/>
  <c r="F63" i="7"/>
  <c r="S112" i="7"/>
  <c r="S78" i="7"/>
</calcChain>
</file>

<file path=xl/sharedStrings.xml><?xml version="1.0" encoding="utf-8"?>
<sst xmlns="http://schemas.openxmlformats.org/spreadsheetml/2006/main" count="134" uniqueCount="20">
  <si>
    <t>idioma</t>
  </si>
  <si>
    <t>esp</t>
  </si>
  <si>
    <t>Español</t>
  </si>
  <si>
    <t>eng</t>
  </si>
  <si>
    <t>English</t>
  </si>
  <si>
    <t>check</t>
  </si>
  <si>
    <t>Prisa Radio</t>
  </si>
  <si>
    <t>Prisa Noticias</t>
  </si>
  <si>
    <t>Local</t>
  </si>
  <si>
    <t>Colombia</t>
  </si>
  <si>
    <t>Chile</t>
  </si>
  <si>
    <t>LTM</t>
  </si>
  <si>
    <t>ENE-DIC</t>
  </si>
  <si>
    <t>2019</t>
  </si>
  <si>
    <t>PRISA MEDIA</t>
  </si>
  <si>
    <t>ENE-SEP</t>
  </si>
  <si>
    <t>---</t>
  </si>
  <si>
    <t>JANUARY - DECEMBER</t>
  </si>
  <si>
    <t>OCTOBER - DECEMBER</t>
  </si>
  <si>
    <t>Chg.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</si>
</sst>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sz val="8"/>
      <color theme="1"/>
      <name val="Neo Sans Pro"/>
      <family val="2"/>
    </font>
    <font>
      <b/>
      <sz val="10"/>
      <color theme="0"/>
      <name val="Neo Sans Pro"/>
      <family val="2"/>
    </font>
    <font>
      <b/>
      <sz val="11"/>
      <color theme="1"/>
      <name val="Neo Sans Pro"/>
      <family val="2"/>
    </font>
    <font>
      <b/>
      <sz val="11"/>
      <color rgb="FF03678B"/>
      <name val="Neo Sans Pro"/>
      <family val="2"/>
    </font>
    <font>
      <i/>
      <sz val="11"/>
      <color theme="1"/>
      <name val="Neo Sans Pro"/>
      <family val="2"/>
    </font>
    <font>
      <b/>
      <sz val="10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sz val="9"/>
      <color rgb="FFFF0000"/>
      <name val="Neo Sans Pro"/>
      <family val="2"/>
    </font>
    <font>
      <b/>
      <sz val="12"/>
      <color rgb="FF0070C0"/>
      <name val="Neo Sans Pro"/>
      <family val="2"/>
    </font>
    <font>
      <b/>
      <sz val="10"/>
      <name val="Neo Sans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0076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3678B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  <border>
      <left/>
      <right/>
      <top/>
      <bottom style="dashed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right" vertical="center" indent="1"/>
    </xf>
    <xf numFmtId="0" fontId="6" fillId="2" borderId="0" xfId="0" applyFont="1" applyFill="1"/>
    <xf numFmtId="0" fontId="7" fillId="2" borderId="2" xfId="0" applyFont="1" applyFill="1" applyBorder="1"/>
    <xf numFmtId="0" fontId="2" fillId="2" borderId="2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8" fillId="2" borderId="0" xfId="0" applyFont="1" applyFill="1"/>
    <xf numFmtId="164" fontId="6" fillId="4" borderId="0" xfId="0" applyNumberFormat="1" applyFont="1" applyFill="1" applyAlignment="1">
      <alignment horizontal="right" vertical="center" indent="1"/>
    </xf>
    <xf numFmtId="164" fontId="2" fillId="4" borderId="0" xfId="0" applyNumberFormat="1" applyFont="1" applyFill="1" applyAlignment="1">
      <alignment horizontal="right" vertical="center" indent="1"/>
    </xf>
    <xf numFmtId="164" fontId="3" fillId="4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3"/>
    </xf>
    <xf numFmtId="0" fontId="2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165" fontId="8" fillId="4" borderId="0" xfId="1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 indent="1"/>
    </xf>
    <xf numFmtId="164" fontId="2" fillId="2" borderId="0" xfId="0" applyNumberFormat="1" applyFont="1" applyFill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165" fontId="8" fillId="2" borderId="0" xfId="1" applyNumberFormat="1" applyFont="1" applyFill="1" applyAlignment="1">
      <alignment vertical="center"/>
    </xf>
    <xf numFmtId="165" fontId="6" fillId="5" borderId="0" xfId="1" applyNumberFormat="1" applyFont="1" applyFill="1" applyAlignment="1">
      <alignment horizontal="right" vertical="center" indent="1"/>
    </xf>
    <xf numFmtId="165" fontId="2" fillId="5" borderId="0" xfId="1" applyNumberFormat="1" applyFont="1" applyFill="1" applyAlignment="1">
      <alignment horizontal="right" vertical="center" indent="1"/>
    </xf>
    <xf numFmtId="165" fontId="3" fillId="5" borderId="0" xfId="1" applyNumberFormat="1" applyFont="1" applyFill="1" applyAlignment="1">
      <alignment horizontal="right" vertical="center" indent="1"/>
    </xf>
    <xf numFmtId="165" fontId="8" fillId="5" borderId="0" xfId="1" applyNumberFormat="1" applyFont="1" applyFill="1" applyAlignment="1">
      <alignment horizontal="right" vertical="center" indent="1"/>
    </xf>
    <xf numFmtId="164" fontId="2" fillId="4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 indent="1"/>
    </xf>
    <xf numFmtId="165" fontId="2" fillId="5" borderId="0" xfId="1" applyNumberFormat="1" applyFont="1" applyFill="1" applyBorder="1" applyAlignment="1">
      <alignment horizontal="right" vertical="center" indent="1"/>
    </xf>
    <xf numFmtId="0" fontId="10" fillId="2" borderId="0" xfId="0" applyFont="1" applyFill="1"/>
    <xf numFmtId="4" fontId="11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3"/>
    </xf>
    <xf numFmtId="0" fontId="6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12" fillId="2" borderId="0" xfId="0" applyFont="1" applyFill="1"/>
    <xf numFmtId="0" fontId="6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2"/>
    </xf>
    <xf numFmtId="164" fontId="6" fillId="4" borderId="0" xfId="0" applyNumberFormat="1" applyFont="1" applyFill="1" applyBorder="1" applyAlignment="1">
      <alignment horizontal="right" vertical="center" indent="1"/>
    </xf>
    <xf numFmtId="165" fontId="6" fillId="5" borderId="0" xfId="1" applyNumberFormat="1" applyFont="1" applyFill="1" applyBorder="1" applyAlignment="1">
      <alignment horizontal="right" vertical="center" indent="1"/>
    </xf>
    <xf numFmtId="0" fontId="2" fillId="2" borderId="0" xfId="0" quotePrefix="1" applyFont="1" applyFill="1"/>
    <xf numFmtId="0" fontId="3" fillId="2" borderId="0" xfId="0" applyFont="1" applyFill="1" applyBorder="1"/>
    <xf numFmtId="0" fontId="13" fillId="2" borderId="9" xfId="0" applyFont="1" applyFill="1" applyBorder="1"/>
    <xf numFmtId="0" fontId="3" fillId="2" borderId="9" xfId="0" applyFont="1" applyFill="1" applyBorder="1"/>
    <xf numFmtId="165" fontId="3" fillId="2" borderId="9" xfId="1" applyNumberFormat="1" applyFont="1" applyFill="1" applyBorder="1"/>
    <xf numFmtId="0" fontId="10" fillId="2" borderId="0" xfId="0" applyFont="1" applyFill="1" applyBorder="1"/>
    <xf numFmtId="4" fontId="11" fillId="2" borderId="0" xfId="0" applyNumberFormat="1" applyFont="1" applyFill="1" applyBorder="1" applyAlignment="1">
      <alignment horizontal="center" vertical="center"/>
    </xf>
    <xf numFmtId="0" fontId="2" fillId="7" borderId="0" xfId="0" applyFont="1" applyFill="1"/>
    <xf numFmtId="0" fontId="2" fillId="2" borderId="0" xfId="0" applyFont="1" applyFill="1" applyBorder="1" applyAlignment="1">
      <alignment horizontal="left" vertical="center" indent="1"/>
    </xf>
    <xf numFmtId="165" fontId="3" fillId="2" borderId="0" xfId="1" applyNumberFormat="1" applyFont="1" applyFill="1" applyAlignment="1">
      <alignment horizontal="right" vertical="center" indent="1"/>
    </xf>
    <xf numFmtId="9" fontId="2" fillId="2" borderId="0" xfId="1" applyNumberFormat="1" applyFont="1" applyFill="1" applyAlignment="1">
      <alignment horizontal="right" vertical="center" indent="1"/>
    </xf>
    <xf numFmtId="9" fontId="2" fillId="4" borderId="0" xfId="1" applyNumberFormat="1" applyFont="1" applyFill="1" applyAlignment="1">
      <alignment horizontal="right" vertical="center" indent="1"/>
    </xf>
    <xf numFmtId="0" fontId="14" fillId="2" borderId="0" xfId="0" applyFont="1" applyFill="1" applyAlignment="1">
      <alignment horizontal="right" vertical="center" indent="1"/>
    </xf>
    <xf numFmtId="0" fontId="14" fillId="4" borderId="0" xfId="0" applyFont="1" applyFill="1" applyAlignment="1">
      <alignment horizontal="right" vertical="center" indent="1"/>
    </xf>
    <xf numFmtId="164" fontId="2" fillId="8" borderId="0" xfId="0" applyNumberFormat="1" applyFont="1" applyFill="1" applyAlignment="1">
      <alignment horizontal="right" vertical="center" indent="1"/>
    </xf>
    <xf numFmtId="0" fontId="2" fillId="6" borderId="0" xfId="0" applyFont="1" applyFill="1"/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3678B"/>
      <color rgb="FFE0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3.%20Marzo/Informes/Comit&#233;%20Ejecutivo/GRUPO%20CIERRE%20Ma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SALACON/2021/Septiembre/Graficos_KPIS%20Consejo%20SE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9.%20Septiembre/Informes/&#193;rea%20Digital/Indicadores%20Digitales/Radio/Indicadores%20Digitales%20-%20Septiembre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SALACON/2021/Diciembre/Graficos_KPIS%20Consejo%20DIC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6.%20Junio/Informaci&#243;n%20adicional/Prensa/Muro%20de%20pago%20juni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0/12.%20Diciembre/Informes/&#193;rea%20Digital/Indicadores%20Digitales/Radio/Indicadores%20Digitales%202020%20(sin%20Argentin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6.%20Junio/Informes/&#193;rea%20Digital/Indicadores%20Digitales/Radio/Indicadores%20Digitales%20-%20Junio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9.%20Septiembre/Informaci&#243;n%20adicional/Prensa/09_Muro%20de%20pago%20valor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PRESUPUESTOS/Pak_presupuesto%202022/V3%20-%2013%20de%20Enero/Graficos%20PPTO%202022_v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NOTA%20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6.%20Junio/Informes/Comit&#233;%20Ejecutivo/GRUPO%20CIERRE%20JU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9.%20Septiembre/Informes/Comit&#233;%20Ejecutivo/GRUPO%20CIERRE%20SE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12.%20Diciembre/Informes/Comit&#233;%20Ejecutivo/GRUPO%20CIERRE%20D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SALACON/2020/Diciembre/GRUPO%20CIERRE%20Dic_FORMATO%2025%20de%20FEBRER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SALACON/2020/Diciembre/Graficos_KPIS%20Consejo%20DI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6.%20Junio/Informes/&#193;rea%20Digital/NNUU%20Grupo,%20Prensa,%20Radi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9.%20Septiembre/Informes/&#193;rea%20Digital/NNUU%20Grupo,%20Prensa,%20Radi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SALACON/2021/Junio/Graficos_KPIS%20Consejo%20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"/>
      <sheetName val="CR GRUPO"/>
      <sheetName val="CR MEDIA"/>
      <sheetName val="EBITDA"/>
      <sheetName val="INGRESOS"/>
      <sheetName val="GASTOS"/>
      <sheetName val="GASTOS SIN INDEM"/>
      <sheetName val="EBITDA SIN INDEM"/>
      <sheetName val="INDEMNIZACIONES"/>
      <sheetName val="EBIT"/>
      <sheetName val="PUBLICIDAD"/>
      <sheetName val="PERSONAL"/>
      <sheetName val="PERSONAL SIN INDEM"/>
      <sheetName val="INDEMNIZACIONES pers"/>
      <sheetName val="COMPRAS"/>
      <sheetName val="SERVICIOS EXTERIORES"/>
      <sheetName val="PROVISIONES"/>
      <sheetName val="AMORTIZACIONES"/>
      <sheetName val="BENEFICIOS INMOV"/>
      <sheetName val="CAPEX"/>
      <sheetName val="IS"/>
      <sheetName val="RAI"/>
      <sheetName val="Capex HFM"/>
      <sheetName val="Mes 21"/>
      <sheetName val="Mes 21 geo"/>
      <sheetName val="Acum 21"/>
      <sheetName val="Acum 21 geo"/>
      <sheetName val="Mes 20"/>
      <sheetName val="Mes 20 geo"/>
      <sheetName val="Acum 20"/>
      <sheetName val="Acum 20 geo"/>
      <sheetName val="Mes 21P"/>
      <sheetName val="Mes 21P geo"/>
      <sheetName val="Acum 21P"/>
      <sheetName val="Acum 21P geo"/>
      <sheetName val="Mes 19"/>
      <sheetName val="Acum 19"/>
      <sheetName val="2021P"/>
      <sheetName val="2021P geo"/>
      <sheetName val="2020"/>
      <sheetName val="2020 geo"/>
      <sheetName val="2019"/>
    </sheetNames>
    <sheetDataSet>
      <sheetData sheetId="0" refreshError="1"/>
      <sheetData sheetId="1">
        <row r="11">
          <cell r="AA11">
            <v>79749.45579199135</v>
          </cell>
        </row>
      </sheetData>
      <sheetData sheetId="2">
        <row r="162">
          <cell r="Z162">
            <v>56.1162430953474</v>
          </cell>
        </row>
      </sheetData>
      <sheetData sheetId="3">
        <row r="40">
          <cell r="AI40">
            <v>-696.76800335854443</v>
          </cell>
        </row>
        <row r="177">
          <cell r="Z177">
            <v>-7.4751540810229002</v>
          </cell>
          <cell r="AH177">
            <v>-7.7969257298248307</v>
          </cell>
          <cell r="AI177">
            <v>-5.2946700227722374</v>
          </cell>
        </row>
        <row r="178">
          <cell r="Z178">
            <v>-4.4917523685174734</v>
          </cell>
          <cell r="AH178">
            <v>-4.8655863833245627</v>
          </cell>
          <cell r="AI178">
            <v>0.67236373096305901</v>
          </cell>
        </row>
        <row r="179">
          <cell r="Z179">
            <v>-3.5167355999999654</v>
          </cell>
          <cell r="AH179">
            <v>-3.5167355999999654</v>
          </cell>
          <cell r="AI179">
            <v>1.3762368200000226</v>
          </cell>
        </row>
        <row r="182">
          <cell r="Z182">
            <v>-1.0247128043154732</v>
          </cell>
          <cell r="AH182">
            <v>-1.3985468191226142</v>
          </cell>
          <cell r="AI182">
            <v>-1.0492065590369735</v>
          </cell>
        </row>
        <row r="191">
          <cell r="Z191">
            <v>-2.9834017125054126</v>
          </cell>
          <cell r="AH191">
            <v>-2.9313393465002533</v>
          </cell>
          <cell r="AI191">
            <v>-5.967033753735322</v>
          </cell>
        </row>
        <row r="192">
          <cell r="Z192">
            <v>-2.7801717247119591</v>
          </cell>
          <cell r="AH192">
            <v>-2.6918590557723685</v>
          </cell>
          <cell r="AI192">
            <v>-5.5435125086276944</v>
          </cell>
        </row>
      </sheetData>
      <sheetData sheetId="4">
        <row r="32">
          <cell r="AI32">
            <v>47354.662346819081</v>
          </cell>
        </row>
        <row r="177">
          <cell r="Z177">
            <v>76.994704155209462</v>
          </cell>
          <cell r="AH177">
            <v>77.539003674392134</v>
          </cell>
          <cell r="AI177">
            <v>84.859654484298744</v>
          </cell>
        </row>
        <row r="178">
          <cell r="Z178">
            <v>41.277071328214191</v>
          </cell>
          <cell r="AH178">
            <v>41.757643405448981</v>
          </cell>
          <cell r="AI178">
            <v>47.354662346819083</v>
          </cell>
        </row>
        <row r="179">
          <cell r="Z179">
            <v>30.71397717</v>
          </cell>
          <cell r="AH179">
            <v>30.71397717</v>
          </cell>
          <cell r="AI179">
            <v>34.51399351000002</v>
          </cell>
        </row>
        <row r="182">
          <cell r="Z182">
            <v>11.198626828393206</v>
          </cell>
          <cell r="AH182">
            <v>11.695831273018909</v>
          </cell>
          <cell r="AI182">
            <v>13.846692374959458</v>
          </cell>
        </row>
        <row r="191">
          <cell r="Z191">
            <v>39.95309610522029</v>
          </cell>
          <cell r="AH191">
            <v>40.01682354716818</v>
          </cell>
          <cell r="AI191">
            <v>41.695034774625768</v>
          </cell>
        </row>
        <row r="192">
          <cell r="Z192">
            <v>35.817662163862693</v>
          </cell>
          <cell r="AH192">
            <v>35.949911318904597</v>
          </cell>
          <cell r="AI192">
            <v>37.170955345763545</v>
          </cell>
        </row>
      </sheetData>
      <sheetData sheetId="5" refreshError="1"/>
      <sheetData sheetId="6" refreshError="1"/>
      <sheetData sheetId="7">
        <row r="30">
          <cell r="Z30">
            <v>-5721.5623999999989</v>
          </cell>
        </row>
        <row r="177">
          <cell r="Z177">
            <v>-4.7590224848634897</v>
          </cell>
          <cell r="AH177">
            <v>-5.0732878681571911</v>
          </cell>
          <cell r="AI177">
            <v>-4.2626351804906513</v>
          </cell>
        </row>
        <row r="178">
          <cell r="Z178">
            <v>-3.3255692219018642</v>
          </cell>
          <cell r="AH178">
            <v>-3.6923697906013029</v>
          </cell>
          <cell r="AI178">
            <v>0.89070439190165562</v>
          </cell>
        </row>
        <row r="179">
          <cell r="Z179">
            <v>-2.5359095199999655</v>
          </cell>
          <cell r="AH179">
            <v>-2.5359095199999655</v>
          </cell>
          <cell r="AI179">
            <v>1.5343508300000226</v>
          </cell>
        </row>
        <row r="182">
          <cell r="Z182">
            <v>-0.8393557376998636</v>
          </cell>
          <cell r="AH182">
            <v>-1.2061563063993546</v>
          </cell>
          <cell r="AI182">
            <v>-0.98897990809837677</v>
          </cell>
        </row>
        <row r="191">
          <cell r="Z191">
            <v>-1.1838094929616128</v>
          </cell>
          <cell r="AH191">
            <v>-1.1312743075558749</v>
          </cell>
          <cell r="AI191">
            <v>-5.1533395723923316</v>
          </cell>
        </row>
        <row r="192">
          <cell r="Z192">
            <v>-1.3012549314623225</v>
          </cell>
          <cell r="AH192">
            <v>-1.2127436937941456</v>
          </cell>
          <cell r="AI192">
            <v>-4.729818327284705</v>
          </cell>
        </row>
      </sheetData>
      <sheetData sheetId="8" refreshError="1"/>
      <sheetData sheetId="9">
        <row r="134">
          <cell r="AO134">
            <v>51036</v>
          </cell>
        </row>
        <row r="177">
          <cell r="Z177">
            <v>-13.734996033696341</v>
          </cell>
          <cell r="AH177">
            <v>-14.186928663495779</v>
          </cell>
          <cell r="AI177">
            <v>-12.501998686527141</v>
          </cell>
        </row>
        <row r="178">
          <cell r="Z178">
            <v>-8.3586836392392563</v>
          </cell>
          <cell r="AH178">
            <v>-8.8553222633558129</v>
          </cell>
          <cell r="AI178">
            <v>-4.0749751270621779</v>
          </cell>
        </row>
        <row r="179">
          <cell r="Z179">
            <v>-6.014404749999974</v>
          </cell>
          <cell r="AH179">
            <v>-6.014404749999974</v>
          </cell>
          <cell r="AI179">
            <v>-1.6456389699999667</v>
          </cell>
        </row>
        <row r="182">
          <cell r="Z182">
            <v>-2.394523079239244</v>
          </cell>
          <cell r="AH182">
            <v>-2.8911617033558312</v>
          </cell>
          <cell r="AI182">
            <v>-2.774669627062142</v>
          </cell>
        </row>
        <row r="191">
          <cell r="Z191">
            <v>-5.3763123944570577</v>
          </cell>
          <cell r="AH191">
            <v>-5.3316064001399397</v>
          </cell>
          <cell r="AI191">
            <v>-8.4270235594650256</v>
          </cell>
        </row>
        <row r="192">
          <cell r="Z192">
            <v>-4.7609816400173797</v>
          </cell>
          <cell r="AH192">
            <v>-4.6797363634902931</v>
          </cell>
          <cell r="AI192">
            <v>-7.5163011050523094</v>
          </cell>
        </row>
      </sheetData>
      <sheetData sheetId="10">
        <row r="177">
          <cell r="Z177">
            <v>56.1162430953474</v>
          </cell>
          <cell r="AH177">
            <v>56.646891575782398</v>
          </cell>
          <cell r="AI177">
            <v>62.575943603986119</v>
          </cell>
        </row>
        <row r="178">
          <cell r="Z178">
            <v>38.551780018024964</v>
          </cell>
          <cell r="AH178">
            <v>39.032168516936693</v>
          </cell>
          <cell r="AI178">
            <v>43.948128679937646</v>
          </cell>
        </row>
        <row r="179">
          <cell r="Z179">
            <v>28.199481469999995</v>
          </cell>
          <cell r="AH179">
            <v>28.199481469999995</v>
          </cell>
          <cell r="AI179">
            <v>31.862111480000017</v>
          </cell>
        </row>
        <row r="182">
          <cell r="Z182">
            <v>10.384059588024963</v>
          </cell>
          <cell r="AH182">
            <v>10.864448086936706</v>
          </cell>
          <cell r="AI182">
            <v>12.134656915844984</v>
          </cell>
        </row>
        <row r="183">
          <cell r="Z183">
            <v>6.3608555379408989</v>
          </cell>
          <cell r="AH183">
            <v>6.8764870529286046</v>
          </cell>
          <cell r="AI183">
            <v>7.381825174460654</v>
          </cell>
        </row>
        <row r="184">
          <cell r="Z184">
            <v>3.6506232285113791</v>
          </cell>
          <cell r="AH184">
            <v>3.5806903320660886</v>
          </cell>
          <cell r="AI184">
            <v>3.6741928948147815</v>
          </cell>
        </row>
        <row r="192">
          <cell r="Z192">
            <v>18.0088882511516</v>
          </cell>
          <cell r="AH192">
            <v>18.13610637739934</v>
          </cell>
          <cell r="AI192">
            <v>19.268559162735134</v>
          </cell>
        </row>
        <row r="307">
          <cell r="Z307">
            <v>13.37220791</v>
          </cell>
          <cell r="AH307">
            <v>13.37220791</v>
          </cell>
          <cell r="AI307">
            <v>14.48192523</v>
          </cell>
        </row>
        <row r="308">
          <cell r="Z308">
            <v>14.781287890000002</v>
          </cell>
          <cell r="AH308">
            <v>14.781287890000002</v>
          </cell>
          <cell r="AI308">
            <v>16.939606230000003</v>
          </cell>
        </row>
        <row r="360">
          <cell r="Z360">
            <v>14.550932406899038</v>
          </cell>
          <cell r="AI360">
            <v>14.585430703249557</v>
          </cell>
        </row>
        <row r="366">
          <cell r="Z366">
            <v>4.970676869876681</v>
          </cell>
          <cell r="AI366">
            <v>6.6358833870034974</v>
          </cell>
        </row>
        <row r="371">
          <cell r="Z371">
            <v>0.36302192999999999</v>
          </cell>
          <cell r="AI371">
            <v>0.21681992880937978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B9">
            <v>8818.994214233182</v>
          </cell>
          <cell r="X9">
            <v>-14251.8907244939</v>
          </cell>
        </row>
        <row r="454">
          <cell r="X454">
            <v>-1365.3987404839611</v>
          </cell>
        </row>
        <row r="468">
          <cell r="X468">
            <v>-1278.5197487661342</v>
          </cell>
        </row>
        <row r="486">
          <cell r="X486">
            <v>-380.89046490165867</v>
          </cell>
        </row>
        <row r="512">
          <cell r="X512">
            <v>0</v>
          </cell>
        </row>
        <row r="513">
          <cell r="X513">
            <v>639.61965949523574</v>
          </cell>
        </row>
        <row r="526">
          <cell r="X526">
            <v>589.77485509288499</v>
          </cell>
        </row>
      </sheetData>
      <sheetData sheetId="26" refreshError="1"/>
      <sheetData sheetId="27" refreshError="1"/>
      <sheetData sheetId="28" refreshError="1"/>
      <sheetData sheetId="29">
        <row r="9">
          <cell r="W9">
            <v>29137.15293156814</v>
          </cell>
          <cell r="X9">
            <v>-10900.349019590198</v>
          </cell>
        </row>
        <row r="454">
          <cell r="X454">
            <v>-511.84292521230901</v>
          </cell>
        </row>
        <row r="468">
          <cell r="X468">
            <v>-1371.7672968178588</v>
          </cell>
        </row>
        <row r="486">
          <cell r="X486">
            <v>1507.0316624023887</v>
          </cell>
        </row>
        <row r="512">
          <cell r="X512">
            <v>0</v>
          </cell>
        </row>
        <row r="513">
          <cell r="X513">
            <v>723.13990178991526</v>
          </cell>
        </row>
        <row r="526">
          <cell r="X526">
            <v>-116.67897204311086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9">
          <cell r="W9">
            <v>60253.825871548252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GRAFICOS"/>
      <sheetName val="NOTICIAS vs COMP PUB Y DIF"/>
      <sheetName val="AUDIENCIAS RADIO OFF"/>
      <sheetName val="MERCADO PUBLICIDAD vs PRISA"/>
      <sheetName val="ret pub"/>
    </sheetNames>
    <sheetDataSet>
      <sheetData sheetId="0">
        <row r="289">
          <cell r="AF289">
            <v>57.344795805277798</v>
          </cell>
          <cell r="AG289">
            <v>53.393488021111068</v>
          </cell>
          <cell r="AH289">
            <v>57.306730513333299</v>
          </cell>
        </row>
        <row r="350">
          <cell r="K350">
            <v>66.600109785741253</v>
          </cell>
          <cell r="L350">
            <v>55.53436553919753</v>
          </cell>
          <cell r="AF350">
            <v>20.243819999999999</v>
          </cell>
          <cell r="AG350">
            <v>20.564890000000002</v>
          </cell>
          <cell r="AH350">
            <v>25.380175999999999</v>
          </cell>
        </row>
        <row r="351">
          <cell r="AF351">
            <v>31.250671999999998</v>
          </cell>
          <cell r="AG351">
            <v>30.794452999999997</v>
          </cell>
          <cell r="AH351">
            <v>35.417333999999997</v>
          </cell>
        </row>
        <row r="375">
          <cell r="K375">
            <v>31.822009000000001</v>
          </cell>
          <cell r="L375">
            <v>22.993433555555555</v>
          </cell>
        </row>
      </sheetData>
      <sheetData sheetId="1">
        <row r="173">
          <cell r="BF173">
            <v>16.440000000000001</v>
          </cell>
        </row>
        <row r="405">
          <cell r="K405">
            <v>68.457999999999998</v>
          </cell>
          <cell r="W405">
            <v>121.126</v>
          </cell>
        </row>
      </sheetData>
      <sheetData sheetId="2"/>
      <sheetData sheetId="3">
        <row r="9">
          <cell r="AF9">
            <v>12.298</v>
          </cell>
        </row>
      </sheetData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ARADIO"/>
      <sheetName val="ESPAÑA"/>
      <sheetName val="SER"/>
      <sheetName val="LOS40 ES"/>
      <sheetName val="Dial"/>
      <sheetName val="Radiolé"/>
      <sheetName val="LATAM"/>
      <sheetName val="PODIUM"/>
    </sheetNames>
    <sheetDataSet>
      <sheetData sheetId="0">
        <row r="8">
          <cell r="C8">
            <v>63027846.996666625</v>
          </cell>
          <cell r="I8">
            <v>65736955.324171275</v>
          </cell>
          <cell r="J8">
            <v>65004939.8633333</v>
          </cell>
          <cell r="K8">
            <v>69428719.103333265</v>
          </cell>
        </row>
        <row r="54">
          <cell r="K54">
            <v>2385958</v>
          </cell>
        </row>
      </sheetData>
      <sheetData sheetId="1">
        <row r="8">
          <cell r="C8">
            <v>31598169.646944396</v>
          </cell>
        </row>
      </sheetData>
      <sheetData sheetId="2"/>
      <sheetData sheetId="3"/>
      <sheetData sheetId="4"/>
      <sheetData sheetId="5"/>
      <sheetData sheetId="6">
        <row r="8">
          <cell r="C8">
            <v>31429677.349722229</v>
          </cell>
        </row>
      </sheetData>
      <sheetData sheetId="7">
        <row r="13">
          <cell r="C13">
            <v>2229950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GRAFICOS"/>
      <sheetName val="NOTICIAS vs COMP PUB Y DIF"/>
      <sheetName val="AUDIENCIAS RADIO OFF"/>
      <sheetName val="MERCADO PUBLICIDAD vs PRISA"/>
      <sheetName val="ret pub"/>
    </sheetNames>
    <sheetDataSet>
      <sheetData sheetId="0">
        <row r="350">
          <cell r="K350">
            <v>67.176838088680938</v>
          </cell>
          <cell r="L350">
            <v>55.972183200023245</v>
          </cell>
        </row>
        <row r="375">
          <cell r="K375">
            <v>33.688439833333334</v>
          </cell>
          <cell r="L375">
            <v>23.748981166666667</v>
          </cell>
        </row>
      </sheetData>
      <sheetData sheetId="1">
        <row r="173">
          <cell r="BF173">
            <v>14.1</v>
          </cell>
        </row>
        <row r="405">
          <cell r="N405">
            <v>84.584000000000003</v>
          </cell>
          <cell r="Z405">
            <v>136.51900000000001</v>
          </cell>
        </row>
      </sheetData>
      <sheetData sheetId="2"/>
      <sheetData sheetId="3">
        <row r="9">
          <cell r="AG9">
            <v>12.627000000000001</v>
          </cell>
        </row>
      </sheetData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 Muro pago"/>
      <sheetName val="NN Logada"/>
      <sheetName val="Suscriptores totales"/>
      <sheetName val="Ev. suscrip. exclusivos digital"/>
      <sheetName val="KPIS Zonas"/>
      <sheetName val="Ingreso suscripciones"/>
      <sheetName val="España"/>
      <sheetName val="Mexico"/>
      <sheetName val="Brasil"/>
      <sheetName val="Europa Sin España"/>
      <sheetName val="LatAM sin México ni Brasil"/>
      <sheetName val="EE.UU"/>
      <sheetName val="Resto"/>
      <sheetName val="Kpis V2"/>
      <sheetName val="Kpis V2 sin Ky+"/>
      <sheetName val="P&amp;G"/>
      <sheetName val="P&amp;G Pais Consejo"/>
      <sheetName val="PL Año 2021 DEF"/>
      <sheetName val="PL Año R2021"/>
      <sheetName val="PL Proforma 20"/>
    </sheetNames>
    <sheetDataSet>
      <sheetData sheetId="0"/>
      <sheetData sheetId="1">
        <row r="9">
          <cell r="V9">
            <v>2936899</v>
          </cell>
          <cell r="AH9">
            <v>3604476</v>
          </cell>
        </row>
      </sheetData>
      <sheetData sheetId="2"/>
      <sheetData sheetId="3">
        <row r="9">
          <cell r="E9">
            <v>4009</v>
          </cell>
        </row>
      </sheetData>
      <sheetData sheetId="4">
        <row r="9">
          <cell r="E9">
            <v>3406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0">
          <cell r="L80">
            <v>7.5486633492678274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ARADIO"/>
      <sheetName val="ESPAÑA"/>
      <sheetName val="SER"/>
      <sheetName val="LOS40 ES"/>
      <sheetName val="Dial"/>
      <sheetName val="Radiolé"/>
      <sheetName val="LATAM"/>
      <sheetName val="PODIUM"/>
    </sheetNames>
    <sheetDataSet>
      <sheetData sheetId="0">
        <row r="8">
          <cell r="C8">
            <v>55304208.488611124</v>
          </cell>
        </row>
        <row r="54">
          <cell r="H54">
            <v>1918935</v>
          </cell>
          <cell r="K54">
            <v>1992252</v>
          </cell>
        </row>
      </sheetData>
      <sheetData sheetId="1">
        <row r="8">
          <cell r="C8">
            <v>26783584.981388912</v>
          </cell>
        </row>
      </sheetData>
      <sheetData sheetId="2"/>
      <sheetData sheetId="3"/>
      <sheetData sheetId="4"/>
      <sheetData sheetId="5"/>
      <sheetData sheetId="6">
        <row r="8">
          <cell r="C8">
            <v>28520623.507222213</v>
          </cell>
        </row>
      </sheetData>
      <sheetData sheetId="7">
        <row r="13">
          <cell r="C13">
            <v>1722742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ARADIO"/>
      <sheetName val="ESPAÑA"/>
      <sheetName val="SER"/>
      <sheetName val="LOS40 ES"/>
      <sheetName val="Dial"/>
      <sheetName val="Radiolé"/>
      <sheetName val="LATAM"/>
      <sheetName val="PODIUM"/>
    </sheetNames>
    <sheetDataSet>
      <sheetData sheetId="0">
        <row r="8">
          <cell r="C8">
            <v>63027846.996666625</v>
          </cell>
        </row>
        <row r="54">
          <cell r="H54">
            <v>2302232</v>
          </cell>
        </row>
      </sheetData>
      <sheetData sheetId="1">
        <row r="8">
          <cell r="C8">
            <v>31598169.646944396</v>
          </cell>
        </row>
      </sheetData>
      <sheetData sheetId="2"/>
      <sheetData sheetId="3"/>
      <sheetData sheetId="4"/>
      <sheetData sheetId="5"/>
      <sheetData sheetId="6">
        <row r="8">
          <cell r="C8">
            <v>31429677.349722229</v>
          </cell>
        </row>
      </sheetData>
      <sheetData sheetId="7">
        <row r="13">
          <cell r="C13">
            <v>2229950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 Muro pago"/>
      <sheetName val="NN Logada"/>
      <sheetName val="Hoja3"/>
      <sheetName val="Suscriptores totales"/>
      <sheetName val="Ev. suscrip. exclusivos digital"/>
      <sheetName val="KPIS Zonas"/>
      <sheetName val="Ingreso suscripciones"/>
      <sheetName val="España"/>
      <sheetName val="Mexico"/>
      <sheetName val="Brasil"/>
      <sheetName val="Europa Sin España"/>
      <sheetName val="LatAM sin México ni Brasil"/>
      <sheetName val="EE.UU"/>
      <sheetName val="Resto"/>
      <sheetName val="Kpis V2"/>
      <sheetName val="Kpis V2 sin Ky+"/>
      <sheetName val="P&amp;G"/>
      <sheetName val="P&amp;G Pais Consejo"/>
    </sheetNames>
    <sheetDataSet>
      <sheetData sheetId="0" refreshError="1"/>
      <sheetData sheetId="1" refreshError="1">
        <row r="9">
          <cell r="Y9">
            <v>3118451</v>
          </cell>
          <cell r="AK9">
            <v>3752148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GRAFICOS"/>
      <sheetName val="MACRO Y FX"/>
      <sheetName val="MERCADO PUBLICIDAD vs PRISA"/>
      <sheetName val="SIMU PUBLI"/>
    </sheetNames>
    <sheetDataSet>
      <sheetData sheetId="0"/>
      <sheetData sheetId="1">
        <row r="71">
          <cell r="E71">
            <v>247.57672614867573</v>
          </cell>
        </row>
        <row r="73">
          <cell r="E73">
            <v>5.4718499999999999</v>
          </cell>
          <cell r="F73">
            <v>6.3581769999999995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GRUPO DIGITAL"/>
      <sheetName val="EDUCACIÓN"/>
      <sheetName val="MEDIA"/>
      <sheetName val="MEDIA versión Rad vs Not"/>
      <sheetName val="RADIO"/>
      <sheetName val="NOTICIAS"/>
      <sheetName val="To Publish"/>
    </sheetNames>
    <sheetDataSet>
      <sheetData sheetId="0">
        <row r="49">
          <cell r="AF49">
            <v>-377.34399999999999</v>
          </cell>
          <cell r="AK49">
            <v>-377.34399999999999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M"/>
      <sheetName val="FX"/>
      <sheetName val="CR GRUPO"/>
      <sheetName val="CR MEDIA"/>
      <sheetName val="EBITDA"/>
      <sheetName val="INGRESOS"/>
      <sheetName val="GASTOS"/>
      <sheetName val="GASTOS SIN INDEM"/>
      <sheetName val="EBITDA SIN INDEM"/>
      <sheetName val="INDEMNIZACIONES"/>
      <sheetName val="EBIT"/>
      <sheetName val="PUBLICIDAD"/>
      <sheetName val="PERSONAL"/>
      <sheetName val="PERSONAL SIN INDEM"/>
      <sheetName val="INDEMNIZACIONES pers"/>
      <sheetName val="COMPRAS"/>
      <sheetName val="SERVICIOS EXTERIORES"/>
      <sheetName val="PROVISIONES"/>
      <sheetName val="AMORTIZACIONES"/>
      <sheetName val="BENEFICIOS INMOV"/>
      <sheetName val="CAPEX"/>
      <sheetName val="IS"/>
      <sheetName val="RAI"/>
      <sheetName val="Capex HFM"/>
      <sheetName val="Mes 21"/>
      <sheetName val="Mes 21 geo"/>
      <sheetName val="Acum 21"/>
      <sheetName val="Acum 21 geo"/>
      <sheetName val="Mes 20"/>
      <sheetName val="Mes 20 geo"/>
      <sheetName val="Acum 20"/>
      <sheetName val="Acum 20 geo"/>
      <sheetName val="Mes 21P"/>
      <sheetName val="Mes 21P geo"/>
      <sheetName val="Acum 21P"/>
      <sheetName val="Acum 21P geo"/>
      <sheetName val="Mes 19"/>
      <sheetName val="Acum 19"/>
      <sheetName val="2021P"/>
      <sheetName val="2021P geo"/>
      <sheetName val="2020"/>
      <sheetName val="2020 geo"/>
      <sheetName val="2019"/>
    </sheetNames>
    <sheetDataSet>
      <sheetData sheetId="0" refreshError="1"/>
      <sheetData sheetId="1" refreshError="1"/>
      <sheetData sheetId="2">
        <row r="10">
          <cell r="Z10">
            <v>306214.99008405802</v>
          </cell>
        </row>
      </sheetData>
      <sheetData sheetId="3">
        <row r="162">
          <cell r="Z162">
            <v>132.95843766354579</v>
          </cell>
        </row>
      </sheetData>
      <sheetData sheetId="4">
        <row r="10">
          <cell r="Z10">
            <v>12920.538632294845</v>
          </cell>
        </row>
        <row r="177">
          <cell r="Z177">
            <v>-1.2238059564902413</v>
          </cell>
          <cell r="AH177">
            <v>-1.5145004597350091</v>
          </cell>
          <cell r="AI177">
            <v>-18.821808011107301</v>
          </cell>
          <cell r="AU177">
            <v>75.542032727830687</v>
          </cell>
        </row>
        <row r="178">
          <cell r="Z178">
            <v>-1.9177552145363055</v>
          </cell>
          <cell r="AH178">
            <v>-2.3393956402126661</v>
          </cell>
          <cell r="AI178">
            <v>-5.1827484440266032</v>
          </cell>
          <cell r="AU178">
            <v>63.409364279398922</v>
          </cell>
        </row>
        <row r="179">
          <cell r="Z179">
            <v>-2.5304449700000076</v>
          </cell>
          <cell r="AH179">
            <v>-2.5304449700000076</v>
          </cell>
          <cell r="AI179">
            <v>-1.4656421500000092</v>
          </cell>
          <cell r="AU179">
            <v>40.490389319999878</v>
          </cell>
        </row>
        <row r="182">
          <cell r="Z182">
            <v>0.76524987966589297</v>
          </cell>
          <cell r="AH182">
            <v>0.34360945398953319</v>
          </cell>
          <cell r="AI182">
            <v>-4.057980754026528</v>
          </cell>
          <cell r="AU182">
            <v>23.157855339398651</v>
          </cell>
        </row>
        <row r="191">
          <cell r="Z191">
            <v>0.8672362980461763</v>
          </cell>
          <cell r="AH191">
            <v>0.99818222047776894</v>
          </cell>
          <cell r="AI191">
            <v>-13.639059567080702</v>
          </cell>
          <cell r="AU191">
            <v>12.132668448431991</v>
          </cell>
        </row>
        <row r="192">
          <cell r="Z192">
            <v>0.79160369924204055</v>
          </cell>
          <cell r="AH192">
            <v>0.96400721929120292</v>
          </cell>
          <cell r="AI192">
            <v>-13.288856957300466</v>
          </cell>
          <cell r="AU192">
            <v>12.718422289970082</v>
          </cell>
        </row>
      </sheetData>
      <sheetData sheetId="5">
        <row r="10">
          <cell r="Z10">
            <v>131738.07410550592</v>
          </cell>
        </row>
        <row r="177">
          <cell r="Z177">
            <v>175.15462103967022</v>
          </cell>
          <cell r="AH177">
            <v>176.0063443029722</v>
          </cell>
          <cell r="AI177">
            <v>149.18822384493686</v>
          </cell>
          <cell r="AU177">
            <v>468.2353387875151</v>
          </cell>
        </row>
        <row r="178">
          <cell r="Z178">
            <v>96.605438902318483</v>
          </cell>
          <cell r="AH178">
            <v>97.357197941913384</v>
          </cell>
          <cell r="AI178">
            <v>81.409019257958064</v>
          </cell>
          <cell r="AU178">
            <v>273.80961698546093</v>
          </cell>
        </row>
        <row r="179">
          <cell r="Z179">
            <v>72.585775040000001</v>
          </cell>
          <cell r="AH179">
            <v>72.585775040000001</v>
          </cell>
          <cell r="AI179">
            <v>60.852808519999989</v>
          </cell>
          <cell r="AU179">
            <v>188.36092333000002</v>
          </cell>
        </row>
        <row r="182">
          <cell r="Z182">
            <v>25.459522123502925</v>
          </cell>
          <cell r="AH182">
            <v>26.245751193007411</v>
          </cell>
          <cell r="AI182">
            <v>22.478095251301824</v>
          </cell>
          <cell r="AU182">
            <v>89.393841940531928</v>
          </cell>
        </row>
        <row r="191">
          <cell r="Z191">
            <v>87.081717117560501</v>
          </cell>
          <cell r="AH191">
            <v>87.181681341267549</v>
          </cell>
          <cell r="AI191">
            <v>75.579894746428039</v>
          </cell>
          <cell r="AU191">
            <v>210.82712950997379</v>
          </cell>
        </row>
        <row r="192">
          <cell r="Z192">
            <v>78.578211273103079</v>
          </cell>
          <cell r="AH192">
            <v>78.846984729305447</v>
          </cell>
          <cell r="AI192">
            <v>66.499560406513496</v>
          </cell>
          <cell r="AU192">
            <v>192.76135778672099</v>
          </cell>
        </row>
      </sheetData>
      <sheetData sheetId="6" refreshError="1"/>
      <sheetData sheetId="7">
        <row r="10">
          <cell r="Z10">
            <v>116732.22870813299</v>
          </cell>
        </row>
      </sheetData>
      <sheetData sheetId="8">
        <row r="10">
          <cell r="Z10">
            <v>15005.84539737293</v>
          </cell>
        </row>
        <row r="177">
          <cell r="Z177">
            <v>8.4601676185461461</v>
          </cell>
          <cell r="AH177">
            <v>8.1772208572063079</v>
          </cell>
          <cell r="AI177">
            <v>-17.137273298492364</v>
          </cell>
          <cell r="AU177">
            <v>81.398896854000739</v>
          </cell>
        </row>
        <row r="178">
          <cell r="Z178">
            <v>5.1545418504404443</v>
          </cell>
          <cell r="AH178">
            <v>4.7414666907706557</v>
          </cell>
          <cell r="AI178">
            <v>-4.8860160727546562</v>
          </cell>
          <cell r="AU178">
            <v>66.114530011812889</v>
          </cell>
        </row>
        <row r="179">
          <cell r="Z179">
            <v>4.2773922999999918</v>
          </cell>
          <cell r="AH179">
            <v>4.2773922999999918</v>
          </cell>
          <cell r="AI179">
            <v>-1.2498838300000092</v>
          </cell>
          <cell r="AU179">
            <v>42.355820069999879</v>
          </cell>
        </row>
        <row r="182">
          <cell r="Z182">
            <v>1.0297096746426413</v>
          </cell>
          <cell r="AH182">
            <v>0.61663451497285393</v>
          </cell>
          <cell r="AI182">
            <v>-3.977006702754581</v>
          </cell>
          <cell r="AU182">
            <v>23.997590321812631</v>
          </cell>
        </row>
        <row r="191">
          <cell r="Z191">
            <v>3.7363065981058163</v>
          </cell>
          <cell r="AH191">
            <v>3.8664349964357663</v>
          </cell>
          <cell r="AI191">
            <v>-12.251257225737712</v>
          </cell>
          <cell r="AU191">
            <v>15.284366842188053</v>
          </cell>
        </row>
        <row r="192">
          <cell r="Z192">
            <v>3.3154421079862959</v>
          </cell>
          <cell r="AH192">
            <v>3.4879744352349276</v>
          </cell>
          <cell r="AI192">
            <v>-11.939054615957478</v>
          </cell>
          <cell r="AU192">
            <v>15.383309025743889</v>
          </cell>
        </row>
      </sheetData>
      <sheetData sheetId="9" refreshError="1"/>
      <sheetData sheetId="10">
        <row r="134">
          <cell r="AO134">
            <v>51036</v>
          </cell>
        </row>
        <row r="177">
          <cell r="Z177">
            <v>-13.695355660416233</v>
          </cell>
          <cell r="AH177">
            <v>-14.172800279621763</v>
          </cell>
          <cell r="AI177">
            <v>-53.993538359779912</v>
          </cell>
          <cell r="AU177">
            <v>43.666713976902066</v>
          </cell>
        </row>
        <row r="178">
          <cell r="Z178">
            <v>-9.519889202251985</v>
          </cell>
          <cell r="AH178">
            <v>-10.124402803545532</v>
          </cell>
          <cell r="AI178">
            <v>-33.808912967646762</v>
          </cell>
          <cell r="AU178">
            <v>43.217564870825278</v>
          </cell>
        </row>
        <row r="179">
          <cell r="Z179">
            <v>-7.3825766799999943</v>
          </cell>
          <cell r="AH179">
            <v>-7.3825766799999943</v>
          </cell>
          <cell r="AI179">
            <v>-7.3570408900000235</v>
          </cell>
          <cell r="AU179">
            <v>29.274194779999974</v>
          </cell>
        </row>
        <row r="182">
          <cell r="Z182">
            <v>-1.9391676422518951</v>
          </cell>
          <cell r="AH182">
            <v>-2.5436812435454788</v>
          </cell>
          <cell r="AI182">
            <v>-23.234746537646647</v>
          </cell>
          <cell r="AU182">
            <v>14.182250470825108</v>
          </cell>
        </row>
        <row r="191">
          <cell r="Z191">
            <v>-3.9890216981640805</v>
          </cell>
          <cell r="AH191">
            <v>-3.8619527160760616</v>
          </cell>
          <cell r="AI191">
            <v>-20.184625392133121</v>
          </cell>
          <cell r="AU191">
            <v>0.4491491060761359</v>
          </cell>
        </row>
        <row r="192">
          <cell r="Z192">
            <v>-3.2409022415874502</v>
          </cell>
          <cell r="AH192">
            <v>-3.0720580799572739</v>
          </cell>
          <cell r="AI192">
            <v>-18.881597389141671</v>
          </cell>
          <cell r="AU192">
            <v>2.9687517806443644</v>
          </cell>
        </row>
      </sheetData>
      <sheetData sheetId="11">
        <row r="177">
          <cell r="Z177">
            <v>132.95843766354579</v>
          </cell>
          <cell r="AH177">
            <v>133.79894430081305</v>
          </cell>
          <cell r="AI177">
            <v>110.41257458592547</v>
          </cell>
          <cell r="AU177">
            <v>352.37042864443839</v>
          </cell>
        </row>
        <row r="178">
          <cell r="Z178">
            <v>91.226389463810108</v>
          </cell>
          <cell r="AH178">
            <v>91.985068726227325</v>
          </cell>
          <cell r="AI178">
            <v>76.415148780426861</v>
          </cell>
          <cell r="AU178">
            <v>249.66184361461498</v>
          </cell>
        </row>
        <row r="179">
          <cell r="Z179">
            <v>67.39536471000001</v>
          </cell>
          <cell r="AH179">
            <v>67.39536471000001</v>
          </cell>
          <cell r="AI179">
            <v>56.096148259999985</v>
          </cell>
          <cell r="AU179">
            <v>170.62972513999998</v>
          </cell>
        </row>
        <row r="182">
          <cell r="Z182">
            <v>23.752942790043356</v>
          </cell>
          <cell r="AH182">
            <v>24.511721378529884</v>
          </cell>
          <cell r="AI182">
            <v>20.367640236334264</v>
          </cell>
          <cell r="AU182">
            <v>79.329522975108674</v>
          </cell>
        </row>
        <row r="183">
          <cell r="Z183">
            <v>14.844219150637421</v>
          </cell>
          <cell r="AH183">
            <v>15.788599494778657</v>
          </cell>
          <cell r="AI183">
            <v>12.687860483353836</v>
          </cell>
          <cell r="AU183">
            <v>53.176556130595834</v>
          </cell>
        </row>
        <row r="184">
          <cell r="Z184">
            <v>8.0077965669144149</v>
          </cell>
          <cell r="AH184">
            <v>7.7364919317616714</v>
          </cell>
          <cell r="AI184">
            <v>5.8335679436253116</v>
          </cell>
          <cell r="AU184">
            <v>20.609313101490663</v>
          </cell>
        </row>
        <row r="192">
          <cell r="Z192">
            <v>42.845196198303007</v>
          </cell>
          <cell r="AH192">
            <v>43.108335482530244</v>
          </cell>
          <cell r="AI192">
            <v>35.149595652215808</v>
          </cell>
          <cell r="AU192">
            <v>106.17734847569088</v>
          </cell>
        </row>
        <row r="307">
          <cell r="Z307">
            <v>31.245039160000001</v>
          </cell>
          <cell r="AH307">
            <v>31.245039160000001</v>
          </cell>
          <cell r="AI307">
            <v>25.477054030000001</v>
          </cell>
        </row>
        <row r="308">
          <cell r="Z308">
            <v>35.505427529999999</v>
          </cell>
          <cell r="AH308">
            <v>35.505427529999999</v>
          </cell>
          <cell r="AI308">
            <v>29.87263823</v>
          </cell>
        </row>
        <row r="360">
          <cell r="Z360">
            <v>33.320342081573529</v>
          </cell>
          <cell r="AI360">
            <v>27.599875361301002</v>
          </cell>
        </row>
        <row r="366">
          <cell r="Z366">
            <v>11.695393630785022</v>
          </cell>
          <cell r="AI366">
            <v>10.985819872279198</v>
          </cell>
        </row>
        <row r="371">
          <cell r="Z371">
            <v>1.5527769300000001</v>
          </cell>
          <cell r="AI371">
            <v>0.52000060880937971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9">
          <cell r="B9">
            <v>-11213.962975738321</v>
          </cell>
          <cell r="X9">
            <v>-6973.3900479964741</v>
          </cell>
        </row>
        <row r="16">
          <cell r="BY16">
            <v>36539.716855428371</v>
          </cell>
          <cell r="CD16">
            <v>4999.390895559698</v>
          </cell>
        </row>
        <row r="454">
          <cell r="X454">
            <v>-3539.1076903585968</v>
          </cell>
        </row>
        <row r="468">
          <cell r="X468">
            <v>-2522.2732782231633</v>
          </cell>
        </row>
        <row r="486">
          <cell r="X486">
            <v>-317.20428738873341</v>
          </cell>
        </row>
        <row r="512">
          <cell r="X512">
            <v>0</v>
          </cell>
        </row>
        <row r="513">
          <cell r="X513">
            <v>10534.337303355896</v>
          </cell>
        </row>
        <row r="526">
          <cell r="X526">
            <v>43.940286811298428</v>
          </cell>
        </row>
      </sheetData>
      <sheetData sheetId="27" refreshError="1"/>
      <sheetData sheetId="28" refreshError="1"/>
      <sheetData sheetId="29" refreshError="1"/>
      <sheetData sheetId="30">
        <row r="9">
          <cell r="W9">
            <v>6158.1129440944878</v>
          </cell>
          <cell r="X9">
            <v>-69336.210214454899</v>
          </cell>
        </row>
        <row r="16">
          <cell r="BY16">
            <v>26765.826343229823</v>
          </cell>
          <cell r="CD16">
            <v>3969.2741549905095</v>
          </cell>
        </row>
        <row r="454">
          <cell r="X454">
            <v>-1059.9334933322407</v>
          </cell>
        </row>
        <row r="468">
          <cell r="X468">
            <v>-2708.3869174614583</v>
          </cell>
        </row>
        <row r="486">
          <cell r="X486">
            <v>-2901.1257937081577</v>
          </cell>
        </row>
        <row r="512">
          <cell r="X512">
            <v>0</v>
          </cell>
        </row>
        <row r="513">
          <cell r="X513">
            <v>2126.6152419166651</v>
          </cell>
        </row>
        <row r="526">
          <cell r="X526">
            <v>-13508.227809551343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9">
          <cell r="W9">
            <v>60253.825871548252</v>
          </cell>
          <cell r="X9">
            <v>9960.1041005880288</v>
          </cell>
        </row>
        <row r="454">
          <cell r="X454">
            <v>-10884.046626741077</v>
          </cell>
        </row>
        <row r="468">
          <cell r="X468">
            <v>-5125.3451578409031</v>
          </cell>
        </row>
        <row r="486">
          <cell r="X486">
            <v>2397.8295879575066</v>
          </cell>
        </row>
        <row r="512">
          <cell r="X512">
            <v>0</v>
          </cell>
        </row>
        <row r="513">
          <cell r="X513">
            <v>-2552.185812315357</v>
          </cell>
        </row>
        <row r="526">
          <cell r="X526">
            <v>-22668.207025214742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M"/>
      <sheetName val="FX"/>
      <sheetName val="CR GRUPO"/>
      <sheetName val="CR MEDIA"/>
      <sheetName val="EBITDA"/>
      <sheetName val="INGRESOS"/>
      <sheetName val="GASTOS"/>
      <sheetName val="GASTOS SIN INDEM"/>
      <sheetName val="EBITDA SIN INDEM"/>
      <sheetName val="INDEMNIZACIONES"/>
      <sheetName val="EBIT"/>
      <sheetName val="PUBLICIDAD"/>
      <sheetName val="PERSONAL"/>
      <sheetName val="PERSONAL SIN INDEM"/>
      <sheetName val="INDEMNIZACIONES pers"/>
      <sheetName val="COMPRAS"/>
      <sheetName val="SERVICIOS EXTERIORES"/>
      <sheetName val="PROVISIONES"/>
      <sheetName val="AMORTIZACIONES"/>
      <sheetName val="BENEFICIOS INMOV"/>
      <sheetName val="CAPEX"/>
      <sheetName val="IS"/>
      <sheetName val="RAI"/>
      <sheetName val="Capex HFM"/>
      <sheetName val="Mes 21"/>
      <sheetName val="Mes 21 geo"/>
      <sheetName val="Acum 21"/>
      <sheetName val="Acum 21 geo"/>
      <sheetName val="Mes 20"/>
      <sheetName val="Mes 20 geo"/>
      <sheetName val="Acum 20"/>
      <sheetName val="Acum 20 geo"/>
      <sheetName val="Mes 21P"/>
      <sheetName val="Mes 21P geo"/>
      <sheetName val="Acum 21P"/>
      <sheetName val="Acum 21P geo"/>
      <sheetName val="Mes 19"/>
      <sheetName val="Acum 19"/>
      <sheetName val="2021P"/>
      <sheetName val="2021P geo"/>
      <sheetName val="2020"/>
      <sheetName val="2020 geo"/>
      <sheetName val="2019"/>
    </sheetNames>
    <sheetDataSet>
      <sheetData sheetId="0">
        <row r="8">
          <cell r="E8">
            <v>485.73471894755471</v>
          </cell>
        </row>
      </sheetData>
      <sheetData sheetId="1" refreshError="1"/>
      <sheetData sheetId="2">
        <row r="10">
          <cell r="Z10">
            <v>485734.71894755471</v>
          </cell>
        </row>
      </sheetData>
      <sheetData sheetId="3">
        <row r="10">
          <cell r="Z10">
            <v>263452.08801797213</v>
          </cell>
        </row>
      </sheetData>
      <sheetData sheetId="4">
        <row r="10">
          <cell r="Z10">
            <v>30958.152322029669</v>
          </cell>
        </row>
        <row r="177">
          <cell r="Z177">
            <v>-0.18861552571328527</v>
          </cell>
          <cell r="AH177">
            <v>-0.32628374929594306</v>
          </cell>
          <cell r="AI177">
            <v>-23.184547633584298</v>
          </cell>
          <cell r="AO177">
            <v>42.946720827852609</v>
          </cell>
        </row>
        <row r="178">
          <cell r="Z178">
            <v>1.3487306077576144</v>
          </cell>
          <cell r="AH178">
            <v>1.0480165380559454</v>
          </cell>
          <cell r="AI178">
            <v>-6.2032962586861302</v>
          </cell>
          <cell r="AO178">
            <v>41.822380985898711</v>
          </cell>
        </row>
        <row r="179">
          <cell r="Z179">
            <v>-3.310791500000053</v>
          </cell>
          <cell r="AH179">
            <v>-3.310791500000053</v>
          </cell>
          <cell r="AI179">
            <v>-1.4996078699999476</v>
          </cell>
          <cell r="AO179">
            <v>25.02446470000006</v>
          </cell>
        </row>
        <row r="182">
          <cell r="Z182">
            <v>4.9261497819598761</v>
          </cell>
          <cell r="AH182">
            <v>4.6254357122580201</v>
          </cell>
          <cell r="AI182">
            <v>-5.0433008186862125</v>
          </cell>
          <cell r="AO182">
            <v>16.931259415898708</v>
          </cell>
        </row>
        <row r="191">
          <cell r="Z191">
            <v>-0.89762707347107296</v>
          </cell>
          <cell r="AH191">
            <v>-0.73458122735206166</v>
          </cell>
          <cell r="AI191">
            <v>-16.981251374898161</v>
          </cell>
          <cell r="AO191">
            <v>1.1243398419538453</v>
          </cell>
        </row>
        <row r="192">
          <cell r="Z192">
            <v>-1.6987695871689279</v>
          </cell>
          <cell r="AH192">
            <v>-1.5128078066435213</v>
          </cell>
          <cell r="AI192">
            <v>-16.908457957681314</v>
          </cell>
          <cell r="AO192">
            <v>1.8382838085749391</v>
          </cell>
        </row>
      </sheetData>
      <sheetData sheetId="5">
        <row r="10">
          <cell r="Z10">
            <v>223328.82706355207</v>
          </cell>
        </row>
        <row r="177">
          <cell r="Z177">
            <v>263.45208801797213</v>
          </cell>
          <cell r="AH177">
            <v>264.76697427093518</v>
          </cell>
          <cell r="AI177">
            <v>224.3788562888432</v>
          </cell>
          <cell r="AO177">
            <v>337.68829634780576</v>
          </cell>
        </row>
        <row r="178">
          <cell r="Z178">
            <v>146.74976874278329</v>
          </cell>
          <cell r="AH178">
            <v>147.9536268840142</v>
          </cell>
          <cell r="AI178">
            <v>122.46076654436079</v>
          </cell>
          <cell r="AO178">
            <v>196.37257326384068</v>
          </cell>
        </row>
        <row r="179">
          <cell r="Z179">
            <v>106.79424923000003</v>
          </cell>
          <cell r="AH179">
            <v>106.79424923000003</v>
          </cell>
          <cell r="AI179">
            <v>91.665159710000012</v>
          </cell>
          <cell r="AO179">
            <v>133.15707760000001</v>
          </cell>
        </row>
        <row r="182">
          <cell r="Z182">
            <v>42.156391050889745</v>
          </cell>
          <cell r="AH182">
            <v>43.397074719177837</v>
          </cell>
          <cell r="AI182">
            <v>33.595204297656409</v>
          </cell>
          <cell r="AO182">
            <v>66.196770385400285</v>
          </cell>
        </row>
        <row r="191">
          <cell r="Z191">
            <v>129.45699524761397</v>
          </cell>
          <cell r="AH191">
            <v>129.56802335934611</v>
          </cell>
          <cell r="AI191">
            <v>113.45729351523904</v>
          </cell>
          <cell r="AO191">
            <v>152.93424918526964</v>
          </cell>
        </row>
        <row r="192">
          <cell r="Z192">
            <v>116.24002102271041</v>
          </cell>
          <cell r="AH192">
            <v>116.5348753455237</v>
          </cell>
          <cell r="AI192">
            <v>100.2909038094117</v>
          </cell>
          <cell r="AO192">
            <v>136.38621281489253</v>
          </cell>
        </row>
      </sheetData>
      <sheetData sheetId="6" refreshError="1"/>
      <sheetData sheetId="7" refreshError="1"/>
      <sheetData sheetId="8">
        <row r="10">
          <cell r="Z10">
            <v>34572.938831379062</v>
          </cell>
        </row>
        <row r="177">
          <cell r="Z177">
            <v>14.83875463788277</v>
          </cell>
          <cell r="AH177">
            <v>14.707253721874007</v>
          </cell>
          <cell r="AI177">
            <v>-21.130151913356457</v>
          </cell>
          <cell r="AO177">
            <v>47.886503213520633</v>
          </cell>
        </row>
        <row r="178">
          <cell r="Z178">
            <v>10.759316061294026</v>
          </cell>
          <cell r="AH178">
            <v>10.465586823267893</v>
          </cell>
          <cell r="AI178">
            <v>-5.709391028921547</v>
          </cell>
          <cell r="AO178">
            <v>43.974452313766747</v>
          </cell>
        </row>
        <row r="179">
          <cell r="Z179">
            <v>5.7930345299999475</v>
          </cell>
          <cell r="AH179">
            <v>5.7930345299999475</v>
          </cell>
          <cell r="AI179">
            <v>-1.1209903599999476</v>
          </cell>
          <cell r="AO179">
            <v>26.793239570000061</v>
          </cell>
        </row>
        <row r="182">
          <cell r="Z182">
            <v>5.2329092054962869</v>
          </cell>
          <cell r="AH182">
            <v>4.939179967469971</v>
          </cell>
          <cell r="AI182">
            <v>-4.92801309892163</v>
          </cell>
          <cell r="AO182">
            <v>17.314555873766754</v>
          </cell>
        </row>
        <row r="191">
          <cell r="Z191">
            <v>5.0185359465885657</v>
          </cell>
          <cell r="AH191">
            <v>5.1807642686059356</v>
          </cell>
          <cell r="AI191">
            <v>-15.420760884434904</v>
          </cell>
          <cell r="AO191">
            <v>3.9120508997538268</v>
          </cell>
        </row>
        <row r="192">
          <cell r="Z192">
            <v>3.2318193515753277</v>
          </cell>
          <cell r="AH192">
            <v>3.4179099393002037</v>
          </cell>
          <cell r="AI192">
            <v>-15.408371266338325</v>
          </cell>
          <cell r="AO192">
            <v>4.155733864348746</v>
          </cell>
        </row>
      </sheetData>
      <sheetData sheetId="9">
        <row r="10">
          <cell r="Z10">
            <v>3614.786509349392</v>
          </cell>
        </row>
      </sheetData>
      <sheetData sheetId="10">
        <row r="10">
          <cell r="Z10">
            <v>2974.3993590839418</v>
          </cell>
        </row>
        <row r="177">
          <cell r="Z177">
            <v>-18.466094931104614</v>
          </cell>
          <cell r="AH177">
            <v>-18.824909827047776</v>
          </cell>
          <cell r="AI177">
            <v>-65.251344931951905</v>
          </cell>
          <cell r="AO177">
            <v>22.176486613825997</v>
          </cell>
        </row>
        <row r="178">
          <cell r="Z178">
            <v>-9.5095796669438339</v>
          </cell>
          <cell r="AH178">
            <v>-10.033514464793035</v>
          </cell>
          <cell r="AI178">
            <v>-39.210839711195341</v>
          </cell>
          <cell r="AO178">
            <v>28.365377107615561</v>
          </cell>
        </row>
        <row r="179">
          <cell r="Z179">
            <v>-10.132385910000073</v>
          </cell>
          <cell r="AH179">
            <v>-10.132385910000073</v>
          </cell>
          <cell r="AI179">
            <v>-10.282283130000017</v>
          </cell>
          <cell r="AO179">
            <v>16.568121030000068</v>
          </cell>
        </row>
        <row r="182">
          <cell r="Z182">
            <v>0.898460623056616</v>
          </cell>
          <cell r="AH182">
            <v>0.37452582520719524</v>
          </cell>
          <cell r="AI182">
            <v>-25.710169011195216</v>
          </cell>
          <cell r="AO182">
            <v>11.930599207615298</v>
          </cell>
        </row>
        <row r="191">
          <cell r="Z191">
            <v>-8.2589791841611717</v>
          </cell>
          <cell r="AH191">
            <v>-8.093859282255135</v>
          </cell>
          <cell r="AI191">
            <v>-26.040505220756621</v>
          </cell>
          <cell r="AO191">
            <v>-6.1888904937896889</v>
          </cell>
        </row>
        <row r="192">
          <cell r="Z192">
            <v>-7.8450129402180346</v>
          </cell>
          <cell r="AH192">
            <v>-7.6579550692062179</v>
          </cell>
          <cell r="AI192">
            <v>-24.541660193273319</v>
          </cell>
          <cell r="AO192">
            <v>-4.0513872028003481</v>
          </cell>
        </row>
      </sheetData>
      <sheetData sheetId="11">
        <row r="10">
          <cell r="Z10">
            <v>0</v>
          </cell>
        </row>
        <row r="177">
          <cell r="Z177">
            <v>200.75849908392277</v>
          </cell>
          <cell r="AH177">
            <v>202.04479566849389</v>
          </cell>
          <cell r="AI177">
            <v>166.07758424692909</v>
          </cell>
          <cell r="AO177">
            <v>251.25314554938726</v>
          </cell>
        </row>
        <row r="178">
          <cell r="Z178">
            <v>139.20026854883781</v>
          </cell>
          <cell r="AH178">
            <v>140.40009280356432</v>
          </cell>
          <cell r="AI178">
            <v>115.78563249082038</v>
          </cell>
          <cell r="AO178">
            <v>181.13950660322516</v>
          </cell>
        </row>
        <row r="179">
          <cell r="Z179">
            <v>99.239186619999998</v>
          </cell>
          <cell r="AH179">
            <v>99.239186619999998</v>
          </cell>
          <cell r="AI179">
            <v>84.80040588</v>
          </cell>
          <cell r="AO179">
            <v>123.57022859999999</v>
          </cell>
        </row>
        <row r="182">
          <cell r="Z182">
            <v>39.851581558934356</v>
          </cell>
          <cell r="AH182">
            <v>41.052252350203595</v>
          </cell>
          <cell r="AI182">
            <v>31.034290886727753</v>
          </cell>
          <cell r="AO182">
            <v>57.767303534008704</v>
          </cell>
        </row>
        <row r="183">
          <cell r="Z183">
            <v>25.889529605941064</v>
          </cell>
          <cell r="AH183">
            <v>27.285082621962538</v>
          </cell>
          <cell r="AI183">
            <v>19.865284289901691</v>
          </cell>
          <cell r="AO183">
            <v>37.586869357726528</v>
          </cell>
        </row>
        <row r="184">
          <cell r="Z184">
            <v>12.597318555303051</v>
          </cell>
          <cell r="AH184">
            <v>12.313467130973908</v>
          </cell>
          <cell r="AI184">
            <v>8.3717054637757879</v>
          </cell>
          <cell r="AO184">
            <v>16.275204877140236</v>
          </cell>
        </row>
        <row r="192">
          <cell r="Z192">
            <v>63.082294817184938</v>
          </cell>
          <cell r="AH192">
            <v>63.369904459958569</v>
          </cell>
          <cell r="AI192">
            <v>51.921725326989787</v>
          </cell>
          <cell r="AO192">
            <v>72.183539512369322</v>
          </cell>
        </row>
        <row r="307">
          <cell r="Z307">
            <v>45.81349436</v>
          </cell>
          <cell r="AH307">
            <v>45.81349436</v>
          </cell>
          <cell r="AI307">
            <v>38.320855480000006</v>
          </cell>
        </row>
        <row r="308">
          <cell r="Z308">
            <v>52.205505109999997</v>
          </cell>
          <cell r="AH308">
            <v>52.205505109999997</v>
          </cell>
          <cell r="AI308">
            <v>45.142070679999996</v>
          </cell>
        </row>
        <row r="360">
          <cell r="Z360">
            <v>50.083318772705617</v>
          </cell>
          <cell r="AI360">
            <v>40.734127282787625</v>
          </cell>
        </row>
        <row r="366">
          <cell r="Z366">
            <v>16.662013549856674</v>
          </cell>
          <cell r="AI366">
            <v>15.567035988911817</v>
          </cell>
        </row>
        <row r="371">
          <cell r="Z371">
            <v>2.0137769300000001</v>
          </cell>
          <cell r="AI371">
            <v>0.96267588281937966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9">
          <cell r="B9">
            <v>-9785.9217127388692</v>
          </cell>
          <cell r="X9">
            <v>-13090.986745750319</v>
          </cell>
        </row>
        <row r="16">
          <cell r="BY16">
            <v>55136.495806076091</v>
          </cell>
          <cell r="CD16">
            <v>8563.2732033065258</v>
          </cell>
        </row>
        <row r="454">
          <cell r="X454">
            <v>-5366.2005845456251</v>
          </cell>
        </row>
        <row r="468">
          <cell r="X468">
            <v>-3771.6912219559754</v>
          </cell>
        </row>
        <row r="486">
          <cell r="X486">
            <v>-94.312808903827573</v>
          </cell>
        </row>
        <row r="512">
          <cell r="X512">
            <v>0</v>
          </cell>
        </row>
        <row r="513">
          <cell r="X513">
            <v>12205.297409293316</v>
          </cell>
        </row>
        <row r="526">
          <cell r="X526">
            <v>-1369.6758304892091</v>
          </cell>
        </row>
      </sheetData>
      <sheetData sheetId="27" refreshError="1"/>
      <sheetData sheetId="28" refreshError="1"/>
      <sheetData sheetId="29" refreshError="1"/>
      <sheetData sheetId="30">
        <row r="9">
          <cell r="W9">
            <v>31926.905947834141</v>
          </cell>
          <cell r="X9">
            <v>-82065.755999377026</v>
          </cell>
        </row>
        <row r="16">
          <cell r="BY16">
            <v>41074.157462609663</v>
          </cell>
          <cell r="CD16">
            <v>6053.1198939629739</v>
          </cell>
        </row>
        <row r="454">
          <cell r="X454">
            <v>-2954.697370533323</v>
          </cell>
        </row>
        <row r="468">
          <cell r="X468">
            <v>-4026.8743701654907</v>
          </cell>
        </row>
        <row r="486">
          <cell r="X486">
            <v>-3125.6755393065155</v>
          </cell>
        </row>
        <row r="512">
          <cell r="X512">
            <v>0</v>
          </cell>
        </row>
        <row r="513">
          <cell r="X513">
            <v>2570.4816892814006</v>
          </cell>
        </row>
        <row r="526">
          <cell r="X526">
            <v>-13304.215078968597</v>
          </cell>
        </row>
      </sheetData>
      <sheetData sheetId="31" refreshError="1"/>
      <sheetData sheetId="32" refreshError="1"/>
      <sheetData sheetId="33" refreshError="1"/>
      <sheetData sheetId="34">
        <row r="16">
          <cell r="BY16">
            <v>54902.874212216455</v>
          </cell>
        </row>
      </sheetData>
      <sheetData sheetId="35" refreshError="1"/>
      <sheetData sheetId="36" refreshError="1"/>
      <sheetData sheetId="37">
        <row r="9">
          <cell r="W9">
            <v>46237.699710583533</v>
          </cell>
          <cell r="X9">
            <v>738.84500275663299</v>
          </cell>
        </row>
        <row r="454">
          <cell r="X454">
            <v>-7115.0633780935068</v>
          </cell>
        </row>
        <row r="468">
          <cell r="X468">
            <v>-4454.9673051426744</v>
          </cell>
        </row>
        <row r="486">
          <cell r="X486">
            <v>1094.5577203477735</v>
          </cell>
        </row>
        <row r="512">
          <cell r="X512">
            <v>0</v>
          </cell>
        </row>
        <row r="513">
          <cell r="X513">
            <v>-1383.7304801882647</v>
          </cell>
        </row>
        <row r="526">
          <cell r="X526">
            <v>-14033.405473135461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M"/>
      <sheetName val="FX"/>
      <sheetName val="CR GRUPO"/>
      <sheetName val="CR MEDIA"/>
      <sheetName val="EBITDA"/>
      <sheetName val="INGRESOS"/>
      <sheetName val="GASTOS"/>
      <sheetName val="GASTOS SIN INDEM"/>
      <sheetName val="EBITDA SIN INDEM"/>
      <sheetName val="INDEMNIZACIONES"/>
      <sheetName val="EBIT"/>
      <sheetName val="PUBLICIDAD"/>
      <sheetName val="PERSONAL"/>
      <sheetName val="PERSONAL SIN INDEM"/>
      <sheetName val="INDEMNIZACIONES pers"/>
      <sheetName val="COMPRAS"/>
      <sheetName val="SERVICIOS EXTERIORES"/>
      <sheetName val="PROVISIONES"/>
      <sheetName val="AMORTIZACIONES"/>
      <sheetName val="BENEFICIOS INMOV"/>
      <sheetName val="CAPEX"/>
      <sheetName val="IS"/>
      <sheetName val="RAI"/>
      <sheetName val="Capex HFM"/>
      <sheetName val="Mes 21"/>
      <sheetName val="Mes 21 geo"/>
      <sheetName val="Acum 21"/>
      <sheetName val="Acum 21 geo"/>
      <sheetName val="Mes 20"/>
      <sheetName val="Mes 20 geo"/>
      <sheetName val="Acum 20"/>
      <sheetName val="Acum 20 geo"/>
      <sheetName val="Mes 21P"/>
      <sheetName val="Mes 21P geo"/>
      <sheetName val="Acum 21P"/>
      <sheetName val="Acum 21P geo"/>
      <sheetName val="Mes 19"/>
      <sheetName val="Acum 19"/>
      <sheetName val="2021P"/>
      <sheetName val="2021P geo"/>
      <sheetName val="2020"/>
      <sheetName val="2020 geo"/>
      <sheetName val="2019"/>
    </sheetNames>
    <sheetDataSet>
      <sheetData sheetId="0"/>
      <sheetData sheetId="1"/>
      <sheetData sheetId="2">
        <row r="118">
          <cell r="AI118">
            <v>-64107.645038973344</v>
          </cell>
        </row>
      </sheetData>
      <sheetData sheetId="3">
        <row r="162">
          <cell r="Z162">
            <v>298.41495465788995</v>
          </cell>
        </row>
      </sheetData>
      <sheetData sheetId="4">
        <row r="156">
          <cell r="Z156">
            <v>69.26787277520333</v>
          </cell>
        </row>
        <row r="177">
          <cell r="Z177">
            <v>9.9034569005782469</v>
          </cell>
          <cell r="AH177">
            <v>10.282361358223802</v>
          </cell>
          <cell r="AI177">
            <v>-5.3748760945990499</v>
          </cell>
        </row>
        <row r="178">
          <cell r="Z178">
            <v>17.695431645482632</v>
          </cell>
          <cell r="AH178">
            <v>17.644619683461652</v>
          </cell>
          <cell r="AI178">
            <v>4.873676614331468</v>
          </cell>
        </row>
        <row r="179">
          <cell r="Z179">
            <v>5.6177866900000843</v>
          </cell>
          <cell r="AH179">
            <v>5.6177866900000843</v>
          </cell>
          <cell r="AI179">
            <v>6.2284462000000147</v>
          </cell>
        </row>
        <row r="182">
          <cell r="Z182">
            <v>12.511172079684489</v>
          </cell>
          <cell r="AH182">
            <v>12.460360117663669</v>
          </cell>
          <cell r="AI182">
            <v>-1.6742023556686212</v>
          </cell>
        </row>
        <row r="191">
          <cell r="Z191">
            <v>-6.0338117949049073</v>
          </cell>
          <cell r="AH191">
            <v>-5.6040953752383711</v>
          </cell>
          <cell r="AI191">
            <v>-10.248552708930587</v>
          </cell>
        </row>
        <row r="192">
          <cell r="Z192">
            <v>-6.8550122410512691</v>
          </cell>
          <cell r="AH192">
            <v>-6.3768621237518932</v>
          </cell>
          <cell r="AI192">
            <v>-10.375884780380385</v>
          </cell>
        </row>
      </sheetData>
      <sheetData sheetId="5">
        <row r="156">
          <cell r="Z156">
            <v>358.80950094328767</v>
          </cell>
        </row>
        <row r="177">
          <cell r="Z177">
            <v>383.34343851169962</v>
          </cell>
          <cell r="AH177">
            <v>385.14700551521872</v>
          </cell>
          <cell r="AI177">
            <v>335.87835637513354</v>
          </cell>
        </row>
        <row r="178">
          <cell r="Z178">
            <v>219.19325068404044</v>
          </cell>
          <cell r="AH178">
            <v>220.96942937507478</v>
          </cell>
          <cell r="AI178">
            <v>186.2867008118952</v>
          </cell>
        </row>
        <row r="179">
          <cell r="Z179">
            <v>158.61859941</v>
          </cell>
          <cell r="AH179">
            <v>158.61859941</v>
          </cell>
          <cell r="AI179">
            <v>139.08034499000001</v>
          </cell>
        </row>
        <row r="182">
          <cell r="Z182">
            <v>63.470108124015567</v>
          </cell>
          <cell r="AH182">
            <v>65.277430642254984</v>
          </cell>
          <cell r="AI182">
            <v>50.878367304910604</v>
          </cell>
        </row>
        <row r="191">
          <cell r="Z191">
            <v>181.05524163884138</v>
          </cell>
          <cell r="AH191">
            <v>181.08262995132608</v>
          </cell>
          <cell r="AI191">
            <v>164.70120781854948</v>
          </cell>
        </row>
        <row r="192">
          <cell r="Z192">
            <v>162.92319397085262</v>
          </cell>
          <cell r="AH192">
            <v>163.60021389089704</v>
          </cell>
          <cell r="AI192">
            <v>147.41261837201321</v>
          </cell>
        </row>
      </sheetData>
      <sheetData sheetId="6"/>
      <sheetData sheetId="7"/>
      <sheetData sheetId="8">
        <row r="156">
          <cell r="Z156">
            <v>75.450503614404511</v>
          </cell>
        </row>
        <row r="177">
          <cell r="Z177">
            <v>41.861623649276368</v>
          </cell>
          <cell r="AH177">
            <v>42.258507939631471</v>
          </cell>
          <cell r="AI177">
            <v>-0.77382043717008486</v>
          </cell>
        </row>
        <row r="178">
          <cell r="Z178">
            <v>30.647282227504203</v>
          </cell>
          <cell r="AH178">
            <v>30.608089320648062</v>
          </cell>
          <cell r="AI178">
            <v>7.5692164007814737</v>
          </cell>
        </row>
        <row r="179">
          <cell r="Z179">
            <v>18.162204210000084</v>
          </cell>
          <cell r="AH179">
            <v>18.162204210000084</v>
          </cell>
          <cell r="AI179">
            <v>8.6220625400000159</v>
          </cell>
        </row>
        <row r="182">
          <cell r="Z182">
            <v>12.918605141706058</v>
          </cell>
          <cell r="AH182">
            <v>12.879412234850076</v>
          </cell>
          <cell r="AI182">
            <v>-1.3722789092186152</v>
          </cell>
        </row>
        <row r="191">
          <cell r="Z191">
            <v>12.680749771771643</v>
          </cell>
          <cell r="AH191">
            <v>13.116826968982885</v>
          </cell>
          <cell r="AI191">
            <v>-8.3430368379516278</v>
          </cell>
        </row>
        <row r="192">
          <cell r="Z192">
            <v>9.9388464080226626</v>
          </cell>
          <cell r="AH192">
            <v>10.423822368085705</v>
          </cell>
          <cell r="AI192">
            <v>-8.5307727085216936</v>
          </cell>
        </row>
      </sheetData>
      <sheetData sheetId="9"/>
      <sheetData sheetId="10">
        <row r="156">
          <cell r="Z156">
            <v>26.117164560478724</v>
          </cell>
        </row>
        <row r="177">
          <cell r="Z177">
            <v>-28.928229244257185</v>
          </cell>
          <cell r="AH177">
            <v>-28.796227235135447</v>
          </cell>
          <cell r="AI177">
            <v>-54.101963586562654</v>
          </cell>
        </row>
        <row r="178">
          <cell r="Z178">
            <v>2.7085067250089327</v>
          </cell>
          <cell r="AH178">
            <v>2.4054156852035815</v>
          </cell>
          <cell r="AI178">
            <v>-32.522418674203713</v>
          </cell>
        </row>
        <row r="179">
          <cell r="Z179">
            <v>-4.0614956399998317</v>
          </cell>
          <cell r="AH179">
            <v>-4.0614956399998317</v>
          </cell>
          <cell r="AI179">
            <v>-5.2802538199999836</v>
          </cell>
        </row>
        <row r="182">
          <cell r="Z182">
            <v>7.2172311250086594</v>
          </cell>
          <cell r="AH182">
            <v>6.9141400852036323</v>
          </cell>
          <cell r="AI182">
            <v>-24.003597624203927</v>
          </cell>
        </row>
        <row r="191">
          <cell r="Z191">
            <v>-29.765538819266474</v>
          </cell>
          <cell r="AH191">
            <v>-29.330445770339384</v>
          </cell>
          <cell r="AI191">
            <v>-21.579544912359061</v>
          </cell>
        </row>
        <row r="192">
          <cell r="Z192">
            <v>-28.805547908308984</v>
          </cell>
          <cell r="AH192">
            <v>-28.323315035509236</v>
          </cell>
          <cell r="AI192">
            <v>-19.85165801205617</v>
          </cell>
        </row>
      </sheetData>
      <sheetData sheetId="11">
        <row r="177">
          <cell r="Z177">
            <v>298.41495465788995</v>
          </cell>
          <cell r="AH177">
            <v>300.22892273128099</v>
          </cell>
          <cell r="AI177">
            <v>255.64247520357483</v>
          </cell>
        </row>
        <row r="178">
          <cell r="Z178">
            <v>208.0806247953947</v>
          </cell>
          <cell r="AH178">
            <v>209.83885762741258</v>
          </cell>
          <cell r="AI178">
            <v>176.48080940514484</v>
          </cell>
        </row>
        <row r="179">
          <cell r="Z179">
            <v>147.27222913000003</v>
          </cell>
          <cell r="AH179">
            <v>147.27222913000003</v>
          </cell>
          <cell r="AI179">
            <v>128.87630937999998</v>
          </cell>
        </row>
        <row r="182">
          <cell r="Z182">
            <v>60.542613675491282</v>
          </cell>
          <cell r="AH182">
            <v>62.301693044051731</v>
          </cell>
          <cell r="AI182">
            <v>47.730411981855276</v>
          </cell>
        </row>
        <row r="183">
          <cell r="Z183">
            <v>40.36017369617403</v>
          </cell>
          <cell r="AH183">
            <v>42.082206452051771</v>
          </cell>
          <cell r="AI183">
            <v>31.03830477253311</v>
          </cell>
        </row>
        <row r="184">
          <cell r="Z184">
            <v>18.237453015405844</v>
          </cell>
          <cell r="AH184">
            <v>18.20727764586627</v>
          </cell>
          <cell r="AI184">
            <v>12.459966707034656</v>
          </cell>
        </row>
        <row r="192">
          <cell r="Z192">
            <v>92.572387500099708</v>
          </cell>
          <cell r="AH192">
            <v>93.243279780305585</v>
          </cell>
          <cell r="AI192">
            <v>81.470887744266363</v>
          </cell>
        </row>
        <row r="307">
          <cell r="Z307">
            <v>68.088336490000003</v>
          </cell>
          <cell r="AH307">
            <v>68.088336490000003</v>
          </cell>
          <cell r="AI307">
            <v>59.411014120000004</v>
          </cell>
        </row>
        <row r="308">
          <cell r="Z308">
            <v>76.930992899999993</v>
          </cell>
          <cell r="AH308">
            <v>76.930992899999993</v>
          </cell>
          <cell r="AI308">
            <v>67.086967079999994</v>
          </cell>
        </row>
        <row r="360">
          <cell r="Z360">
            <v>71.4109442515918</v>
          </cell>
          <cell r="AI360">
            <v>61.641975688070623</v>
          </cell>
        </row>
        <row r="366">
          <cell r="Z366">
            <v>25.632987212360149</v>
          </cell>
          <cell r="AI366">
            <v>24.795005245830403</v>
          </cell>
        </row>
        <row r="371">
          <cell r="Z371">
            <v>3.9069009099999992</v>
          </cell>
          <cell r="AI371">
            <v>3.1806398245932024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B9">
            <v>1514.1334139607382</v>
          </cell>
          <cell r="X9">
            <v>-40040.30506021098</v>
          </cell>
        </row>
        <row r="16">
          <cell r="BY16">
            <v>77086.243734201707</v>
          </cell>
          <cell r="CD16">
            <v>13241.673399501935</v>
          </cell>
        </row>
        <row r="454">
          <cell r="X454">
            <v>-7890.8749013273609</v>
          </cell>
        </row>
        <row r="468">
          <cell r="X468">
            <v>-4887.5691636880529</v>
          </cell>
        </row>
        <row r="486">
          <cell r="X486">
            <v>1286.8213086948645</v>
          </cell>
        </row>
        <row r="512">
          <cell r="X512">
            <v>0</v>
          </cell>
        </row>
        <row r="513">
          <cell r="X513">
            <v>-794.57932481447244</v>
          </cell>
        </row>
        <row r="526">
          <cell r="X526">
            <v>-3713.4428985065838</v>
          </cell>
        </row>
      </sheetData>
      <sheetData sheetId="27"/>
      <sheetData sheetId="28"/>
      <sheetData sheetId="29"/>
      <sheetData sheetId="30">
        <row r="9">
          <cell r="B9">
            <v>399718.26872464875</v>
          </cell>
          <cell r="X9">
            <v>-72026.812778186868</v>
          </cell>
        </row>
        <row r="16">
          <cell r="BY16">
            <v>61834.904797811934</v>
          </cell>
          <cell r="CD16">
            <v>9636.9583559118109</v>
          </cell>
        </row>
        <row r="454">
          <cell r="X454">
            <v>-11040.349348577309</v>
          </cell>
        </row>
        <row r="468">
          <cell r="X468">
            <v>-5330.6403536169792</v>
          </cell>
        </row>
        <row r="486">
          <cell r="X486">
            <v>-5278.0158613716103</v>
          </cell>
        </row>
        <row r="512">
          <cell r="X512">
            <v>0</v>
          </cell>
        </row>
        <row r="513">
          <cell r="X513">
            <v>13324.575514379761</v>
          </cell>
        </row>
        <row r="526">
          <cell r="X526">
            <v>-14930.662218156547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"/>
      <sheetName val="CR GRUPO_con SE"/>
      <sheetName val="CR GRUPO"/>
      <sheetName val="EBITDA"/>
      <sheetName val="INGRESOS"/>
      <sheetName val="EBITDA sin INDEM"/>
      <sheetName val="EBITDA sin NIIF16"/>
      <sheetName val="EBITDA NORMALIZADO"/>
      <sheetName val="GASTOS"/>
      <sheetName val="EBIT"/>
      <sheetName val="PERSONAL"/>
      <sheetName val="PERSONAL sin INDEM"/>
      <sheetName val="INDEMNIZACIONES pers"/>
      <sheetName val="INDEMNIZACIONES"/>
      <sheetName val="PUBLICIDAD"/>
      <sheetName val="BENEFICIOS INMOV"/>
      <sheetName val="COMPRAS Y CONSUMOS"/>
      <sheetName val="SERVICIOS EXTERIORES"/>
      <sheetName val="PROVISIONES"/>
      <sheetName val="AMORTIZACIONES"/>
      <sheetName val="IS"/>
      <sheetName val="RAI"/>
      <sheetName val="CAPEX"/>
      <sheetName val="capex hfm"/>
      <sheetName val="mes 20"/>
      <sheetName val="mes 20 GEO"/>
      <sheetName val="mes 20P"/>
      <sheetName val="mes 20P GEO"/>
      <sheetName val="mes 19"/>
      <sheetName val="mes 19 GEO"/>
      <sheetName val="acum 20"/>
      <sheetName val="acum 20 GEO"/>
      <sheetName val="acum 20P"/>
      <sheetName val="acum 20P GEO"/>
      <sheetName val="acum 19"/>
      <sheetName val="acum 19 GEO"/>
      <sheetName val="2019"/>
      <sheetName val="2019 GEO"/>
      <sheetName val="2020P"/>
      <sheetName val="2020P G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3">
          <cell r="AF303">
            <v>79.197948129999986</v>
          </cell>
        </row>
        <row r="304">
          <cell r="AF304">
            <v>90.066688589999984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ratios"/>
      <sheetName val="TABLAS"/>
      <sheetName val="RESUMEN DIGITAL"/>
      <sheetName val="GRAFICOS"/>
      <sheetName val="noticias PUBLICIDAD Y AUDIENCIA"/>
      <sheetName val="RADIO EVOL KPIS"/>
      <sheetName val="EGM ESPAÑA"/>
      <sheetName val="i2P"/>
      <sheetName val="infoadex"/>
      <sheetName val="ret pub"/>
      <sheetName val="Audiencia MC"/>
      <sheetName val="MEDIA CAPITAL publi"/>
    </sheetNames>
    <sheetDataSet>
      <sheetData sheetId="0"/>
      <sheetData sheetId="1">
        <row r="156">
          <cell r="C156">
            <v>24.795005245830403</v>
          </cell>
          <cell r="L156">
            <v>42.116897084018632</v>
          </cell>
        </row>
        <row r="158">
          <cell r="L158">
            <v>68.635441354943268</v>
          </cell>
        </row>
        <row r="160">
          <cell r="L160">
            <v>5.7720083287016051</v>
          </cell>
        </row>
      </sheetData>
      <sheetData sheetId="2">
        <row r="18">
          <cell r="E18">
            <v>102.25699999999999</v>
          </cell>
        </row>
      </sheetData>
      <sheetData sheetId="3"/>
      <sheetData sheetId="4"/>
      <sheetData sheetId="5"/>
      <sheetData sheetId="6">
        <row r="8">
          <cell r="AD8">
            <v>12.138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 - G"/>
    </sheetNames>
    <sheetDataSet>
      <sheetData sheetId="0">
        <row r="28">
          <cell r="Q28">
            <v>239.23429983333335</v>
          </cell>
        </row>
        <row r="29">
          <cell r="Q29">
            <v>239.52112683333334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 - G"/>
    </sheetNames>
    <sheetDataSet>
      <sheetData sheetId="0">
        <row r="28">
          <cell r="D28">
            <v>245.780689</v>
          </cell>
          <cell r="E28">
            <v>229.41649100000001</v>
          </cell>
          <cell r="F28">
            <v>230.553628</v>
          </cell>
          <cell r="G28">
            <v>230.05309</v>
          </cell>
          <cell r="H28">
            <v>250.6848</v>
          </cell>
          <cell r="I28">
            <v>248.917101</v>
          </cell>
          <cell r="J28">
            <v>275.96502700000002</v>
          </cell>
          <cell r="K28">
            <v>255.62472600000001</v>
          </cell>
          <cell r="L28">
            <v>0</v>
          </cell>
        </row>
        <row r="29">
          <cell r="D29">
            <v>185.46053000000001</v>
          </cell>
          <cell r="E29">
            <v>171.93169599999999</v>
          </cell>
          <cell r="F29">
            <v>305.87971900000002</v>
          </cell>
          <cell r="G29">
            <v>275.31183800000002</v>
          </cell>
          <cell r="H29">
            <v>262.92666500000001</v>
          </cell>
          <cell r="I29">
            <v>235.61631299999999</v>
          </cell>
          <cell r="J29">
            <v>200.4</v>
          </cell>
          <cell r="K29">
            <v>232.6</v>
          </cell>
          <cell r="L29">
            <v>222.91949299999999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GRAFICOS"/>
      <sheetName val="NOTICIAS vs COMP PUB Y DIF"/>
      <sheetName val="AUDIENCIAS RADIO OFF"/>
      <sheetName val="MERCADO PUBLICIDAD vs PRISA"/>
      <sheetName val="ret pub"/>
    </sheetNames>
    <sheetDataSet>
      <sheetData sheetId="0">
        <row r="44">
          <cell r="K44">
            <v>12.774841112507989</v>
          </cell>
        </row>
        <row r="348">
          <cell r="K348">
            <v>66.538395533703721</v>
          </cell>
          <cell r="L348">
            <v>55.294045918842599</v>
          </cell>
        </row>
        <row r="373">
          <cell r="K373">
            <v>31.48927033333333</v>
          </cell>
          <cell r="L373">
            <v>23.458669333333333</v>
          </cell>
        </row>
      </sheetData>
      <sheetData sheetId="1">
        <row r="164">
          <cell r="U164">
            <v>-0.13549907005861628</v>
          </cell>
        </row>
        <row r="405">
          <cell r="H405">
            <v>56.25</v>
          </cell>
          <cell r="T405">
            <v>109.099</v>
          </cell>
        </row>
      </sheetData>
      <sheetData sheetId="2"/>
      <sheetData sheetId="3">
        <row r="9">
          <cell r="AF9">
            <v>12.298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Z162"/>
  <sheetViews>
    <sheetView zoomScale="80" zoomScaleNormal="80" workbookViewId="0">
      <pane xSplit="5" ySplit="9" topLeftCell="F58" activePane="bottomRight" state="frozen"/>
      <selection activeCell="U1" sqref="U1:V1048576 U136"/>
      <selection pane="topRight" activeCell="U1" sqref="U1:V1048576 U136"/>
      <selection pane="bottomLeft" activeCell="U1" sqref="U1:V1048576 U136"/>
      <selection pane="bottomRight" activeCell="F74" sqref="F74"/>
    </sheetView>
  </sheetViews>
  <sheetFormatPr baseColWidth="10" defaultColWidth="11.42578125" defaultRowHeight="14.25" outlineLevelRow="1" outlineLevelCol="1"/>
  <cols>
    <col min="1" max="1" width="7.5703125" style="1" customWidth="1"/>
    <col min="2" max="2" width="8" style="1" customWidth="1"/>
    <col min="3" max="3" width="11.42578125" style="1"/>
    <col min="4" max="4" width="47.42578125" style="1" customWidth="1"/>
    <col min="5" max="5" width="1" style="1" customWidth="1"/>
    <col min="6" max="7" width="11.42578125" style="1" customWidth="1" outlineLevel="1"/>
    <col min="8" max="8" width="11.28515625" style="1" customWidth="1" outlineLevel="1"/>
    <col min="9" max="9" width="7.140625" style="1" customWidth="1" outlineLevel="1"/>
    <col min="10" max="10" width="1" style="1" customWidth="1" outlineLevel="1"/>
    <col min="11" max="13" width="11.42578125" style="1" customWidth="1" outlineLevel="1"/>
    <col min="14" max="14" width="7.140625" style="1" customWidth="1" outlineLevel="1"/>
    <col min="15" max="15" width="1" style="1" customWidth="1" outlineLevel="1"/>
    <col min="16" max="18" width="11.42578125" style="1" customWidth="1" outlineLevel="1"/>
    <col min="19" max="19" width="7.140625" style="1" customWidth="1" outlineLevel="1"/>
    <col min="20" max="20" width="1" style="1" customWidth="1"/>
    <col min="21" max="23" width="11.42578125" style="1" customWidth="1" outlineLevel="1"/>
    <col min="24" max="24" width="7.140625" style="1" customWidth="1" outlineLevel="1"/>
    <col min="25" max="25" width="1" style="1" customWidth="1" outlineLevel="1"/>
    <col min="26" max="28" width="11.42578125" style="1" customWidth="1" outlineLevel="1"/>
    <col min="29" max="29" width="7.140625" style="1" customWidth="1" outlineLevel="1"/>
    <col min="30" max="30" width="1" style="1" customWidth="1" outlineLevel="1"/>
    <col min="31" max="33" width="11.42578125" style="1" customWidth="1"/>
    <col min="34" max="34" width="7.140625" style="1" customWidth="1"/>
    <col min="35" max="35" width="1" style="1" customWidth="1"/>
    <col min="36" max="38" width="11.42578125" style="1" customWidth="1"/>
    <col min="39" max="39" width="11.42578125" style="1"/>
    <col min="40" max="42" width="11.42578125" style="1" customWidth="1" outlineLevel="1"/>
    <col min="43" max="50" width="11.42578125" style="1"/>
    <col min="51" max="52" width="11.42578125" style="1" customWidth="1" outlineLevel="1"/>
    <col min="53" max="16384" width="11.42578125" style="1"/>
  </cols>
  <sheetData>
    <row r="1" spans="1:52">
      <c r="A1" s="5" t="s">
        <v>2</v>
      </c>
      <c r="B1" s="12" t="s">
        <v>1</v>
      </c>
      <c r="D1" s="5"/>
    </row>
    <row r="2" spans="1:52" ht="15" thickBot="1">
      <c r="A2" s="5" t="s">
        <v>4</v>
      </c>
      <c r="B2" s="13" t="s">
        <v>3</v>
      </c>
      <c r="D2" s="5"/>
    </row>
    <row r="3" spans="1:52" ht="15" thickBot="1">
      <c r="A3" s="14" t="s">
        <v>0</v>
      </c>
      <c r="B3" s="3"/>
    </row>
    <row r="6" spans="1:52">
      <c r="D6" s="2"/>
      <c r="E6" s="2"/>
      <c r="F6" s="6" t="str">
        <f>+IF($B$3="esp","ENERO - MARZO","JANUARY - MARCH")</f>
        <v>JANUARY - MARCH</v>
      </c>
      <c r="G6" s="7"/>
      <c r="H6" s="7"/>
      <c r="K6" s="6" t="str">
        <f>+IF($B$3="esp","ENERO - JUNIO","JANUARY - JUNE")</f>
        <v>JANUARY - JUNE</v>
      </c>
      <c r="L6" s="7"/>
      <c r="M6" s="7"/>
      <c r="P6" s="6" t="str">
        <f>+IF($B$3="esp","ABRIL - JUNIO","APRIL - JUNE")</f>
        <v>APRIL - JUNE</v>
      </c>
      <c r="Q6" s="7"/>
      <c r="R6" s="7"/>
      <c r="U6" s="6" t="str">
        <f>+IF($B$3="esp","ENERO - SEPTIEMBRE","JANUARY - SEPTEMBER")</f>
        <v>JANUARY - SEPTEMBER</v>
      </c>
      <c r="V6" s="7"/>
      <c r="W6" s="7"/>
      <c r="Z6" s="6" t="str">
        <f>+IF($B$3="esp","JULIO - SEPTIEMBRE","JULY - SEPTEMBER")</f>
        <v>JULY - SEPTEMBER</v>
      </c>
      <c r="AA6" s="7"/>
      <c r="AB6" s="7"/>
      <c r="AE6" s="6" t="str">
        <f>+IF($B$3="esp","ENERO - DICIEMBRE","JANUARY - DECEMBER")</f>
        <v>JANUARY - DECEMBER</v>
      </c>
      <c r="AF6" s="7"/>
      <c r="AG6" s="7"/>
      <c r="AJ6" s="6" t="str">
        <f>+IF($B$3="esp","OCTUBRE - DICIEMBRE","OCTOBER - DECEMBER")</f>
        <v>OCTOBER - DECEMBER</v>
      </c>
      <c r="AK6" s="7"/>
      <c r="AL6" s="7"/>
      <c r="AN6" s="6" t="s">
        <v>11</v>
      </c>
      <c r="AO6" s="7"/>
      <c r="AP6" s="7"/>
      <c r="AY6" s="1" t="s">
        <v>15</v>
      </c>
      <c r="AZ6" s="1" t="s">
        <v>12</v>
      </c>
    </row>
    <row r="7" spans="1:52">
      <c r="D7" s="2"/>
      <c r="E7" s="2"/>
      <c r="F7" s="2"/>
      <c r="G7" s="2"/>
      <c r="H7" s="2"/>
      <c r="K7" s="2"/>
      <c r="L7" s="2"/>
      <c r="M7" s="2"/>
      <c r="P7" s="2"/>
      <c r="Q7" s="2"/>
      <c r="R7" s="2"/>
      <c r="U7" s="2"/>
      <c r="V7" s="2"/>
      <c r="W7" s="2"/>
      <c r="Z7" s="2"/>
      <c r="AA7" s="2"/>
      <c r="AB7" s="2"/>
      <c r="AE7" s="2"/>
      <c r="AF7" s="2"/>
      <c r="AG7" s="2"/>
      <c r="AJ7" s="2"/>
      <c r="AK7" s="2"/>
      <c r="AL7" s="2"/>
    </row>
    <row r="8" spans="1:52">
      <c r="D8" s="4" t="str">
        <f>+IF($B$3="esp","Millones de €","€ Millions")</f>
        <v>€ Millions</v>
      </c>
      <c r="E8" s="2"/>
      <c r="F8" s="8">
        <v>2021</v>
      </c>
      <c r="G8" s="8">
        <v>2020</v>
      </c>
      <c r="H8" s="8" t="str">
        <f>+IF($B$3="esp","Var.","Chg.")</f>
        <v>Chg.</v>
      </c>
      <c r="K8" s="8">
        <v>2021</v>
      </c>
      <c r="L8" s="8">
        <v>2020</v>
      </c>
      <c r="M8" s="8" t="str">
        <f>+IF($B$3="esp","Var.","Chg.")</f>
        <v>Chg.</v>
      </c>
      <c r="P8" s="8">
        <v>2021</v>
      </c>
      <c r="Q8" s="8">
        <v>2020</v>
      </c>
      <c r="R8" s="8" t="str">
        <f>+IF($B$3="esp","Var.","Chg.")</f>
        <v>Chg.</v>
      </c>
      <c r="U8" s="8">
        <v>2021</v>
      </c>
      <c r="V8" s="8">
        <v>2020</v>
      </c>
      <c r="W8" s="8" t="str">
        <f>+IF($B$3="esp","Var.","Chg.")</f>
        <v>Chg.</v>
      </c>
      <c r="Z8" s="8">
        <v>2021</v>
      </c>
      <c r="AA8" s="8">
        <v>2020</v>
      </c>
      <c r="AB8" s="8" t="str">
        <f>+IF($B$3="esp","Var.","Chg.")</f>
        <v>Chg.</v>
      </c>
      <c r="AE8" s="8">
        <v>2021</v>
      </c>
      <c r="AF8" s="8">
        <v>2020</v>
      </c>
      <c r="AG8" s="8" t="str">
        <f>+IF($B$3="esp","Var.","Chg.")</f>
        <v>Chg.</v>
      </c>
      <c r="AJ8" s="8">
        <v>2021</v>
      </c>
      <c r="AK8" s="8">
        <v>2020</v>
      </c>
      <c r="AL8" s="8" t="str">
        <f>+IF($B$3="esp","Var.","Chg.")</f>
        <v>Chg.</v>
      </c>
      <c r="AN8" s="8">
        <v>2021</v>
      </c>
      <c r="AO8" s="8">
        <v>2020</v>
      </c>
      <c r="AP8" s="8" t="str">
        <f>+IF($B$3="esp","Var.","Chg.")</f>
        <v>Chg.</v>
      </c>
      <c r="AY8" s="46" t="s">
        <v>13</v>
      </c>
      <c r="AZ8" s="46" t="s">
        <v>13</v>
      </c>
    </row>
    <row r="9" spans="1:52" ht="15">
      <c r="D9" s="10" t="str">
        <f>+IF($B$3="esp","Resultados Reportados","Reported Results")</f>
        <v>Reported Results</v>
      </c>
      <c r="F9" s="11"/>
      <c r="G9" s="11"/>
      <c r="H9" s="11"/>
      <c r="K9" s="11"/>
      <c r="L9" s="11"/>
      <c r="M9" s="11"/>
      <c r="P9" s="11"/>
      <c r="Q9" s="11"/>
      <c r="R9" s="11"/>
      <c r="U9" s="11"/>
      <c r="V9" s="11"/>
      <c r="W9" s="11"/>
      <c r="Z9" s="11"/>
      <c r="AA9" s="11"/>
      <c r="AB9" s="11"/>
      <c r="AE9" s="11"/>
      <c r="AF9" s="11"/>
      <c r="AG9" s="11"/>
      <c r="AJ9" s="11"/>
      <c r="AK9" s="11"/>
      <c r="AL9" s="11"/>
    </row>
    <row r="10" spans="1:52" s="9" customFormat="1" ht="17.25" customHeight="1">
      <c r="D10" s="21" t="str">
        <f>+IF($B$3="esp","Ingresos de Explotación","Operating Revenues")</f>
        <v>Operating Revenues</v>
      </c>
      <c r="F10" s="16">
        <f>+[1]INGRESOS!$Z$177</f>
        <v>76.994704155209462</v>
      </c>
      <c r="G10" s="24">
        <f>+[1]INGRESOS!$AI$177</f>
        <v>84.859654484298744</v>
      </c>
      <c r="H10" s="28">
        <f>IF(G10=0,"---",IF(OR(ABS((F10-G10)/ABS(G10))&gt;9,(F10*G10)&lt;0),"---",IF(G10="0","---",((F10-G10)/ABS(G10)))))</f>
        <v>-9.2681856612372895E-2</v>
      </c>
      <c r="K10" s="16">
        <f>+[2]INGRESOS!$Z$177</f>
        <v>175.15462103967022</v>
      </c>
      <c r="L10" s="24">
        <f>+[2]INGRESOS!$AI$177</f>
        <v>149.18822384493686</v>
      </c>
      <c r="M10" s="28">
        <f>IF(L10=0,"---",IF(OR(ABS((K10-L10)/ABS(L10))&gt;9,(K10*L10)&lt;0),"---",IF(L10="0","---",((K10-L10)/ABS(L10)))))</f>
        <v>0.17405125234095081</v>
      </c>
      <c r="P10" s="16">
        <f>+K10-F10</f>
        <v>98.159916884460756</v>
      </c>
      <c r="Q10" s="24">
        <f>+L10-G10</f>
        <v>64.328569360638113</v>
      </c>
      <c r="R10" s="28">
        <f>IF(Q10=0,"---",IF(OR(ABS((P10-Q10)/ABS(Q10))&gt;9,(P10*Q10)&lt;0),"---",IF(Q10="0","---",((P10-Q10)/ABS(Q10)))))</f>
        <v>0.5259148129683674</v>
      </c>
      <c r="U10" s="16">
        <f>+[3]INGRESOS!$Z$177</f>
        <v>263.45208801797213</v>
      </c>
      <c r="V10" s="24">
        <f>+[3]INGRESOS!$AI$177</f>
        <v>224.3788562888432</v>
      </c>
      <c r="W10" s="28">
        <f>IF(V10=0,"---",IF(OR(ABS((U10-V10)/ABS(V10))&gt;9,(U10*V10)&lt;0),"---",IF(V10="0","---",((U10-V10)/ABS(V10)))))</f>
        <v>0.17413954405235899</v>
      </c>
      <c r="Z10" s="16">
        <f>+U10-K10</f>
        <v>88.297466978301912</v>
      </c>
      <c r="AA10" s="24">
        <f>+V10-L10</f>
        <v>75.190632443906338</v>
      </c>
      <c r="AB10" s="28">
        <f>IF(AA10=0,"---",IF(OR(ABS((Z10-AA10)/ABS(AA10))&gt;9,(Z10*AA10)&lt;0),"---",IF(AA10="0","---",((Z10-AA10)/ABS(AA10)))))</f>
        <v>0.17431472656083224</v>
      </c>
      <c r="AE10" s="16">
        <f>+[4]INGRESOS!$Z$177</f>
        <v>383.34343851169962</v>
      </c>
      <c r="AF10" s="24">
        <f>+[4]INGRESOS!$AI$177</f>
        <v>335.87835637513354</v>
      </c>
      <c r="AG10" s="28">
        <f>IF(AF10=0,"---",IF(OR(ABS((AE10-AF10)/ABS(AF10))&gt;9,(AE10*AF10)&lt;0),"---",IF(AF10="0","---",((AE10-AF10)/ABS(AF10)))))</f>
        <v>0.14131628679150021</v>
      </c>
      <c r="AJ10" s="16">
        <f>+AE10-U10</f>
        <v>119.89135049372749</v>
      </c>
      <c r="AK10" s="24">
        <f>+AF10-V10</f>
        <v>111.49950008629034</v>
      </c>
      <c r="AL10" s="28">
        <f>IF(AK10=0,"---",IF(OR(ABS((AJ10-AK10)/ABS(AK10))&gt;9,(AJ10*AK10)&lt;0),"---",IF(AK10="0","---",((AJ10-AK10)/ABS(AK10)))))</f>
        <v>7.5263569800246885E-2</v>
      </c>
      <c r="AN10" s="16">
        <f t="shared" ref="AN10:AN16" si="0">+U10+AF10-V10</f>
        <v>374.95158810426244</v>
      </c>
      <c r="AO10" s="24">
        <f t="shared" ref="AO10:AO16" si="1">+V10+AZ10-AY10</f>
        <v>354.92589872855257</v>
      </c>
      <c r="AP10" s="28">
        <f>IF(AO10=0,"---",IF(OR(ABS((AN10-AO10)/ABS(AO10))&gt;9,(AN10*AO10)&lt;0),"---",IF(AO10="0","---",((AN10-AO10)/ABS(AO10)))))</f>
        <v>5.6422169944339642E-2</v>
      </c>
      <c r="AY10" s="24">
        <f>+[3]INGRESOS!$AO$177</f>
        <v>337.68829634780576</v>
      </c>
      <c r="AZ10" s="24">
        <f>+[2]INGRESOS!$AU$177</f>
        <v>468.2353387875151</v>
      </c>
    </row>
    <row r="11" spans="1:52" ht="17.25" customHeight="1">
      <c r="D11" s="20" t="s">
        <v>6</v>
      </c>
      <c r="F11" s="17">
        <f>+[1]INGRESOS!$Z$178</f>
        <v>41.277071328214191</v>
      </c>
      <c r="G11" s="25">
        <f>+[1]INGRESOS!$AI$178</f>
        <v>47.354662346819083</v>
      </c>
      <c r="H11" s="29">
        <f t="shared" ref="H11:H56" si="2">IF(G11=0,"---",IF(OR(ABS((F11-G11)/ABS(G11))&gt;9,(F11*G11)&lt;0),"---",IF(G11="0","---",((F11-G11)/ABS(G11)))))</f>
        <v>-0.1283419776936312</v>
      </c>
      <c r="K11" s="17">
        <f>+[2]INGRESOS!$Z$178</f>
        <v>96.605438902318483</v>
      </c>
      <c r="L11" s="25">
        <f>+[2]INGRESOS!$AI$178</f>
        <v>81.409019257958064</v>
      </c>
      <c r="M11" s="29">
        <f t="shared" ref="M11:M56" si="3">IF(L11=0,"---",IF(OR(ABS((K11-L11)/ABS(L11))&gt;9,(K11*L11)&lt;0),"---",IF(L11="0","---",((K11-L11)/ABS(L11)))))</f>
        <v>0.18666751894170383</v>
      </c>
      <c r="P11" s="17">
        <f t="shared" ref="P11:Q30" si="4">+K11-F11</f>
        <v>55.328367574104291</v>
      </c>
      <c r="Q11" s="25">
        <f t="shared" si="4"/>
        <v>34.054356911138981</v>
      </c>
      <c r="R11" s="29">
        <f t="shared" ref="R11:R56" si="5">IF(Q11=0,"---",IF(OR(ABS((P11-Q11)/ABS(Q11))&gt;9,(P11*Q11)&lt;0),"---",IF(Q11="0","---",((P11-Q11)/ABS(Q11)))))</f>
        <v>0.6247074557442811</v>
      </c>
      <c r="U11" s="17">
        <f>+[3]INGRESOS!$Z$178</f>
        <v>146.74976874278329</v>
      </c>
      <c r="V11" s="25">
        <f>+[3]INGRESOS!$AI$178</f>
        <v>122.46076654436079</v>
      </c>
      <c r="W11" s="29">
        <f t="shared" ref="W11" si="6">IF(V11=0,"---",IF(OR(ABS((U11-V11)/ABS(V11))&gt;9,(U11*V11)&lt;0),"---",IF(V11="0","---",((U11-V11)/ABS(V11)))))</f>
        <v>0.19834109228463734</v>
      </c>
      <c r="Z11" s="17">
        <f t="shared" ref="Z11:AA30" si="7">+U11-K11</f>
        <v>50.144329840464806</v>
      </c>
      <c r="AA11" s="25">
        <f t="shared" si="7"/>
        <v>41.05174728640273</v>
      </c>
      <c r="AB11" s="29">
        <f t="shared" ref="AB11:AB56" si="8">IF(AA11=0,"---",IF(OR(ABS((Z11-AA11)/ABS(AA11))&gt;9,(Z11*AA11)&lt;0),"---",IF(AA11="0","---",((Z11-AA11)/ABS(AA11)))))</f>
        <v>0.22149075630390394</v>
      </c>
      <c r="AE11" s="17">
        <f>+[4]INGRESOS!$Z$178</f>
        <v>219.19325068404044</v>
      </c>
      <c r="AF11" s="25">
        <f>+[4]INGRESOS!$AI$178</f>
        <v>186.2867008118952</v>
      </c>
      <c r="AG11" s="29">
        <f t="shared" ref="AG11" si="9">IF(AF11=0,"---",IF(OR(ABS((AE11-AF11)/ABS(AF11))&gt;9,(AE11*AF11)&lt;0),"---",IF(AF11="0","---",((AE11-AF11)/ABS(AF11)))))</f>
        <v>0.17664465433510973</v>
      </c>
      <c r="AJ11" s="17">
        <f t="shared" ref="AJ11:AK30" si="10">+AE11-U11</f>
        <v>72.443481941257147</v>
      </c>
      <c r="AK11" s="25">
        <f t="shared" si="10"/>
        <v>63.825934267534407</v>
      </c>
      <c r="AL11" s="29">
        <f t="shared" ref="AL11:AL56" si="11">IF(AK11=0,"---",IF(OR(ABS((AJ11-AK11)/ABS(AK11))&gt;9,(AJ11*AK11)&lt;0),"---",IF(AK11="0","---",((AJ11-AK11)/ABS(AK11)))))</f>
        <v>0.1350163969022562</v>
      </c>
      <c r="AN11" s="17">
        <f t="shared" si="0"/>
        <v>210.57570301031768</v>
      </c>
      <c r="AO11" s="25">
        <f t="shared" si="1"/>
        <v>199.89781026598106</v>
      </c>
      <c r="AP11" s="29">
        <f t="shared" ref="AP11" si="12">IF(AO11=0,"---",IF(OR(ABS((AN11-AO11)/ABS(AO11))&gt;9,(AN11*AO11)&lt;0),"---",IF(AO11="0","---",((AN11-AO11)/ABS(AO11)))))</f>
        <v>5.3416756942603678E-2</v>
      </c>
      <c r="AY11" s="25">
        <f>+[3]INGRESOS!$AO$178</f>
        <v>196.37257326384068</v>
      </c>
      <c r="AZ11" s="25">
        <f>+[2]INGRESOS!$AU$178</f>
        <v>273.80961698546093</v>
      </c>
    </row>
    <row r="12" spans="1:52" s="2" customFormat="1" ht="17.25" customHeight="1">
      <c r="D12" s="19" t="str">
        <f>+IF($B$3="esp","España","Spain")</f>
        <v>Spain</v>
      </c>
      <c r="F12" s="18">
        <f>+[1]INGRESOS!$Z$179</f>
        <v>30.71397717</v>
      </c>
      <c r="G12" s="26">
        <f>+[1]INGRESOS!$AI$179</f>
        <v>34.51399351000002</v>
      </c>
      <c r="H12" s="30">
        <f>IF(G12=0,"---",IF(OR(ABS((F12-G12)/ABS(G12))&gt;9,(F12*G12)&lt;0),"---",IF(G12="0","---",((F12-G12)/ABS(G12)))))</f>
        <v>-0.11010074330862381</v>
      </c>
      <c r="K12" s="18">
        <f>+[2]INGRESOS!$Z$179</f>
        <v>72.585775040000001</v>
      </c>
      <c r="L12" s="26">
        <f>+[2]INGRESOS!$AI$179</f>
        <v>60.852808519999989</v>
      </c>
      <c r="M12" s="30">
        <f>IF(L12=0,"---",IF(OR(ABS((K12-L12)/ABS(L12))&gt;9,(K12*L12)&lt;0),"---",IF(L12="0","---",((K12-L12)/ABS(L12)))))</f>
        <v>0.19280895665060119</v>
      </c>
      <c r="P12" s="18">
        <f t="shared" si="4"/>
        <v>41.871797870000002</v>
      </c>
      <c r="Q12" s="26">
        <f t="shared" si="4"/>
        <v>26.338815009999969</v>
      </c>
      <c r="R12" s="30">
        <f>IF(Q12=0,"---",IF(OR(ABS((P12-Q12)/ABS(Q12))&gt;9,(P12*Q12)&lt;0),"---",IF(Q12="0","---",((P12-Q12)/ABS(Q12)))))</f>
        <v>0.58973734597029814</v>
      </c>
      <c r="U12" s="18">
        <f>+[3]INGRESOS!$Z$179</f>
        <v>106.79424923000003</v>
      </c>
      <c r="V12" s="26">
        <f>+[3]INGRESOS!$AI$179</f>
        <v>91.665159710000012</v>
      </c>
      <c r="W12" s="30">
        <f>IF(V12=0,"---",IF(OR(ABS((U12-V12)/ABS(V12))&gt;9,(U12*V12)&lt;0),"---",IF(V12="0","---",((U12-V12)/ABS(V12)))))</f>
        <v>0.16504732624547586</v>
      </c>
      <c r="Z12" s="18">
        <f t="shared" si="7"/>
        <v>34.208474190000032</v>
      </c>
      <c r="AA12" s="26">
        <f t="shared" si="7"/>
        <v>30.812351190000022</v>
      </c>
      <c r="AB12" s="30">
        <f>IF(AA12=0,"---",IF(OR(ABS((Z12-AA12)/ABS(AA12))&gt;9,(Z12*AA12)&lt;0),"---",IF(AA12="0","---",((Z12-AA12)/ABS(AA12)))))</f>
        <v>0.11021953433732778</v>
      </c>
      <c r="AE12" s="18">
        <f>+[4]INGRESOS!$Z$179</f>
        <v>158.61859941</v>
      </c>
      <c r="AF12" s="26">
        <f>+[4]INGRESOS!$AI$179</f>
        <v>139.08034499000001</v>
      </c>
      <c r="AG12" s="30">
        <f>IF(AF12=0,"---",IF(OR(ABS((AE12-AF12)/ABS(AF12))&gt;9,(AE12*AF12)&lt;0),"---",IF(AF12="0","---",((AE12-AF12)/ABS(AF12)))))</f>
        <v>0.14048177994816452</v>
      </c>
      <c r="AJ12" s="18">
        <f t="shared" si="10"/>
        <v>51.824350179999968</v>
      </c>
      <c r="AK12" s="26">
        <f t="shared" si="10"/>
        <v>47.415185280000003</v>
      </c>
      <c r="AL12" s="30">
        <f>IF(AK12=0,"---",IF(OR(ABS((AJ12-AK12)/ABS(AK12))&gt;9,(AJ12*AK12)&lt;0),"---",IF(AK12="0","---",((AJ12-AK12)/ABS(AK12)))))</f>
        <v>9.2990565658714733E-2</v>
      </c>
      <c r="AN12" s="18">
        <f t="shared" si="0"/>
        <v>154.20943451000005</v>
      </c>
      <c r="AO12" s="26">
        <f t="shared" si="1"/>
        <v>146.86900544</v>
      </c>
      <c r="AP12" s="30">
        <f>IF(AO12=0,"---",IF(OR(ABS((AN12-AO12)/ABS(AO12))&gt;9,(AN12*AO12)&lt;0),"---",IF(AO12="0","---",((AN12-AO12)/ABS(AO12)))))</f>
        <v>4.9979429274468815E-2</v>
      </c>
      <c r="AY12" s="26">
        <f>+[3]INGRESOS!$AO$179</f>
        <v>133.15707760000001</v>
      </c>
      <c r="AZ12" s="26">
        <f>+[2]INGRESOS!$AU$179</f>
        <v>188.36092333000002</v>
      </c>
    </row>
    <row r="13" spans="1:52" s="2" customFormat="1" ht="17.25" customHeight="1">
      <c r="D13" s="19" t="str">
        <f>+IF($B$3="esp","Latam","Latam")</f>
        <v>Latam</v>
      </c>
      <c r="F13" s="18">
        <f>+[1]INGRESOS!$Z$182</f>
        <v>11.198626828393206</v>
      </c>
      <c r="G13" s="26">
        <f>+[1]INGRESOS!$AI$182</f>
        <v>13.846692374959458</v>
      </c>
      <c r="H13" s="30">
        <f>IF(G13=0,"---",IF(OR(ABS((F13-G13)/ABS(G13))&gt;9,(F13*G13)&lt;0),"---",IF(G13="0","---",((F13-G13)/ABS(G13)))))</f>
        <v>-0.19124174025524315</v>
      </c>
      <c r="K13" s="18">
        <f>+[2]INGRESOS!$Z$182</f>
        <v>25.459522123502925</v>
      </c>
      <c r="L13" s="26">
        <f>+[2]INGRESOS!$AI$182</f>
        <v>22.478095251301824</v>
      </c>
      <c r="M13" s="30">
        <f>IF(L13=0,"---",IF(OR(ABS((K13-L13)/ABS(L13))&gt;9,(K13*L13)&lt;0),"---",IF(L13="0","---",((K13-L13)/ABS(L13)))))</f>
        <v>0.13263698898279344</v>
      </c>
      <c r="P13" s="18">
        <f t="shared" si="4"/>
        <v>14.260895295109719</v>
      </c>
      <c r="Q13" s="26">
        <f t="shared" si="4"/>
        <v>8.6314028763423654</v>
      </c>
      <c r="R13" s="30">
        <f>IF(Q13=0,"---",IF(OR(ABS((P13-Q13)/ABS(Q13))&gt;9,(P13*Q13)&lt;0),"---",IF(Q13="0","---",((P13-Q13)/ABS(Q13)))))</f>
        <v>0.65221059651810642</v>
      </c>
      <c r="U13" s="18">
        <f>+[3]INGRESOS!$Z$182</f>
        <v>42.156391050889745</v>
      </c>
      <c r="V13" s="26">
        <f>+[3]INGRESOS!$AI$182</f>
        <v>33.595204297656409</v>
      </c>
      <c r="W13" s="30">
        <f>IF(V13=0,"---",IF(OR(ABS((U13-V13)/ABS(V13))&gt;9,(U13*V13)&lt;0),"---",IF(V13="0","---",((U13-V13)/ABS(V13)))))</f>
        <v>0.25483359700332475</v>
      </c>
      <c r="Z13" s="18">
        <f t="shared" si="7"/>
        <v>16.69686892738682</v>
      </c>
      <c r="AA13" s="26">
        <f t="shared" si="7"/>
        <v>11.117109046354585</v>
      </c>
      <c r="AB13" s="30">
        <f>IF(AA13=0,"---",IF(OR(ABS((Z13-AA13)/ABS(AA13))&gt;9,(Z13*AA13)&lt;0),"---",IF(AA13="0","---",((Z13-AA13)/ABS(AA13)))))</f>
        <v>0.50190745253703306</v>
      </c>
      <c r="AE13" s="18">
        <f>+[4]INGRESOS!$Z$182</f>
        <v>63.470108124015567</v>
      </c>
      <c r="AF13" s="26">
        <f>+[4]INGRESOS!$AI$182</f>
        <v>50.878367304910604</v>
      </c>
      <c r="AG13" s="30">
        <f>IF(AF13=0,"---",IF(OR(ABS((AE13-AF13)/ABS(AF13))&gt;9,(AE13*AF13)&lt;0),"---",IF(AF13="0","---",((AE13-AF13)/ABS(AF13)))))</f>
        <v>0.24748712441269025</v>
      </c>
      <c r="AJ13" s="18">
        <f t="shared" si="10"/>
        <v>21.313717073125822</v>
      </c>
      <c r="AK13" s="26">
        <f t="shared" si="10"/>
        <v>17.283163007254196</v>
      </c>
      <c r="AL13" s="30">
        <f>IF(AK13=0,"---",IF(OR(ABS((AJ13-AK13)/ABS(AK13))&gt;9,(AJ13*AK13)&lt;0),"---",IF(AK13="0","---",((AJ13-AK13)/ABS(AK13)))))</f>
        <v>0.23320696935971141</v>
      </c>
      <c r="AN13" s="18">
        <f t="shared" si="0"/>
        <v>59.439554058143941</v>
      </c>
      <c r="AO13" s="26">
        <f t="shared" si="1"/>
        <v>56.792275852788052</v>
      </c>
      <c r="AP13" s="30">
        <f>IF(AO13=0,"---",IF(OR(ABS((AN13-AO13)/ABS(AO13))&gt;9,(AN13*AO13)&lt;0),"---",IF(AO13="0","---",((AN13-AO13)/ABS(AO13)))))</f>
        <v>4.6613349537495748E-2</v>
      </c>
      <c r="AY13" s="26">
        <f>+[3]INGRESOS!$AO$182</f>
        <v>66.196770385400285</v>
      </c>
      <c r="AZ13" s="26">
        <f>+[2]INGRESOS!$AU$182</f>
        <v>89.393841940531928</v>
      </c>
    </row>
    <row r="14" spans="1:52" ht="17.25" customHeight="1">
      <c r="D14" s="20" t="s">
        <v>7</v>
      </c>
      <c r="F14" s="17">
        <f>+[1]INGRESOS!$Z$191</f>
        <v>39.95309610522029</v>
      </c>
      <c r="G14" s="25">
        <f>+[1]INGRESOS!$AI$191</f>
        <v>41.695034774625768</v>
      </c>
      <c r="H14" s="29">
        <f t="shared" si="2"/>
        <v>-4.1778084100929078E-2</v>
      </c>
      <c r="K14" s="17">
        <f>+[2]INGRESOS!$Z$191</f>
        <v>87.081717117560501</v>
      </c>
      <c r="L14" s="25">
        <f>+[2]INGRESOS!$AI$191</f>
        <v>75.579894746428039</v>
      </c>
      <c r="M14" s="29">
        <f t="shared" si="3"/>
        <v>0.15218097894580684</v>
      </c>
      <c r="P14" s="17">
        <f t="shared" si="4"/>
        <v>47.128621012340211</v>
      </c>
      <c r="Q14" s="25">
        <f t="shared" si="4"/>
        <v>33.884859971802271</v>
      </c>
      <c r="R14" s="29">
        <f t="shared" si="5"/>
        <v>0.39084597225896489</v>
      </c>
      <c r="U14" s="17">
        <f>+[3]INGRESOS!$Z$191</f>
        <v>129.45699524761397</v>
      </c>
      <c r="V14" s="25">
        <f>+[3]INGRESOS!$AI$191</f>
        <v>113.45729351523904</v>
      </c>
      <c r="W14" s="29">
        <f t="shared" ref="W14" si="13">IF(V14=0,"---",IF(OR(ABS((U14-V14)/ABS(V14))&gt;9,(U14*V14)&lt;0),"---",IF(V14="0","---",((U14-V14)/ABS(V14)))))</f>
        <v>0.14101959633142427</v>
      </c>
      <c r="Z14" s="17">
        <f t="shared" si="7"/>
        <v>42.375278130053474</v>
      </c>
      <c r="AA14" s="25">
        <f t="shared" si="7"/>
        <v>37.877398768811005</v>
      </c>
      <c r="AB14" s="29">
        <f t="shared" si="8"/>
        <v>0.11874836993680016</v>
      </c>
      <c r="AE14" s="17">
        <f>+[4]INGRESOS!$Z$191</f>
        <v>181.05524163884138</v>
      </c>
      <c r="AF14" s="25">
        <f>+[4]INGRESOS!$AI$191</f>
        <v>164.70120781854948</v>
      </c>
      <c r="AG14" s="29">
        <f t="shared" ref="AG14" si="14">IF(AF14=0,"---",IF(OR(ABS((AE14-AF14)/ABS(AF14))&gt;9,(AE14*AF14)&lt;0),"---",IF(AF14="0","---",((AE14-AF14)/ABS(AF14)))))</f>
        <v>9.9295166300838927E-2</v>
      </c>
      <c r="AJ14" s="17">
        <f t="shared" si="10"/>
        <v>51.598246391227406</v>
      </c>
      <c r="AK14" s="25">
        <f t="shared" si="10"/>
        <v>51.243914303310433</v>
      </c>
      <c r="AL14" s="29">
        <f t="shared" si="11"/>
        <v>6.9146179157918526E-3</v>
      </c>
      <c r="AN14" s="17">
        <f t="shared" si="0"/>
        <v>180.70090955092439</v>
      </c>
      <c r="AO14" s="25">
        <f t="shared" si="1"/>
        <v>171.35017383994321</v>
      </c>
      <c r="AP14" s="29">
        <f t="shared" ref="AP14" si="15">IF(AO14=0,"---",IF(OR(ABS((AN14-AO14)/ABS(AO14))&gt;9,(AN14*AO14)&lt;0),"---",IF(AO14="0","---",((AN14-AO14)/ABS(AO14)))))</f>
        <v>5.4570914644741647E-2</v>
      </c>
      <c r="AY14" s="25">
        <f>+[3]INGRESOS!$AO$191</f>
        <v>152.93424918526964</v>
      </c>
      <c r="AZ14" s="25">
        <f>+[2]INGRESOS!$AU$191</f>
        <v>210.82712950997379</v>
      </c>
    </row>
    <row r="15" spans="1:52" s="2" customFormat="1" ht="17.25" customHeight="1">
      <c r="D15" s="19" t="str">
        <f>+IF($B$3="esp","Prensa","Press")</f>
        <v>Press</v>
      </c>
      <c r="F15" s="18">
        <f>+[1]INGRESOS!$Z$192</f>
        <v>35.817662163862693</v>
      </c>
      <c r="G15" s="26">
        <f>+[1]INGRESOS!$AI$192</f>
        <v>37.170955345763545</v>
      </c>
      <c r="H15" s="30">
        <f>IF(G15=0,"---",IF(OR(ABS((F15-G15)/ABS(G15))&gt;9,(F15*G15)&lt;0),"---",IF(G15="0","---",((F15-G15)/ABS(G15)))))</f>
        <v>-3.6407274693710294E-2</v>
      </c>
      <c r="K15" s="18">
        <f>+[2]INGRESOS!$Z$192</f>
        <v>78.578211273103079</v>
      </c>
      <c r="L15" s="26">
        <f>+[2]INGRESOS!$AI$192</f>
        <v>66.499560406513496</v>
      </c>
      <c r="M15" s="30">
        <f>IF(L15=0,"---",IF(OR(ABS((K15-L15)/ABS(L15))&gt;9,(K15*L15)&lt;0),"---",IF(L15="0","---",((K15-L15)/ABS(L15)))))</f>
        <v>0.18163504830336449</v>
      </c>
      <c r="P15" s="18">
        <f t="shared" si="4"/>
        <v>42.760549109240387</v>
      </c>
      <c r="Q15" s="26">
        <f t="shared" si="4"/>
        <v>29.32860506074995</v>
      </c>
      <c r="R15" s="30">
        <f>IF(Q15=0,"---",IF(OR(ABS((P15-Q15)/ABS(Q15))&gt;9,(P15*Q15)&lt;0),"---",IF(Q15="0","---",((P15-Q15)/ABS(Q15)))))</f>
        <v>0.45798100593833607</v>
      </c>
      <c r="U15" s="18">
        <f>+[3]INGRESOS!$Z$192</f>
        <v>116.24002102271041</v>
      </c>
      <c r="V15" s="26">
        <f>+[3]INGRESOS!$AI$192</f>
        <v>100.2909038094117</v>
      </c>
      <c r="W15" s="30">
        <f>IF(V15=0,"---",IF(OR(ABS((U15-V15)/ABS(V15))&gt;9,(U15*V15)&lt;0),"---",IF(V15="0","---",((U15-V15)/ABS(V15)))))</f>
        <v>0.15902855201711699</v>
      </c>
      <c r="Z15" s="18">
        <f t="shared" si="7"/>
        <v>37.661809749607329</v>
      </c>
      <c r="AA15" s="26">
        <f t="shared" si="7"/>
        <v>33.791343402898207</v>
      </c>
      <c r="AB15" s="30">
        <f>IF(AA15=0,"---",IF(OR(ABS((Z15-AA15)/ABS(AA15))&gt;9,(Z15*AA15)&lt;0),"---",IF(AA15="0","---",((Z15-AA15)/ABS(AA15)))))</f>
        <v>0.11454017381200539</v>
      </c>
      <c r="AE15" s="18">
        <f>+[4]INGRESOS!$Z$192</f>
        <v>162.92319397085262</v>
      </c>
      <c r="AF15" s="26">
        <f>+[4]INGRESOS!$AI$192</f>
        <v>147.41261837201321</v>
      </c>
      <c r="AG15" s="30">
        <f>IF(AF15=0,"---",IF(OR(ABS((AE15-AF15)/ABS(AF15))&gt;9,(AE15*AF15)&lt;0),"---",IF(AF15="0","---",((AE15-AF15)/ABS(AF15)))))</f>
        <v>0.10521877821677812</v>
      </c>
      <c r="AJ15" s="18">
        <f t="shared" si="10"/>
        <v>46.683172948142214</v>
      </c>
      <c r="AK15" s="26">
        <f t="shared" si="10"/>
        <v>47.121714562601511</v>
      </c>
      <c r="AL15" s="30">
        <f>IF(AK15=0,"---",IF(OR(ABS((AJ15-AK15)/ABS(AK15))&gt;9,(AJ15*AK15)&lt;0),"---",IF(AK15="0","---",((AJ15-AK15)/ABS(AK15)))))</f>
        <v>-9.3065716842007339E-3</v>
      </c>
      <c r="AN15" s="18">
        <f t="shared" si="0"/>
        <v>163.36173558531192</v>
      </c>
      <c r="AO15" s="26">
        <f t="shared" si="1"/>
        <v>156.66604878124014</v>
      </c>
      <c r="AP15" s="30">
        <f>IF(AO15=0,"---",IF(OR(ABS((AN15-AO15)/ABS(AO15))&gt;9,(AN15*AO15)&lt;0),"---",IF(AO15="0","---",((AN15-AO15)/ABS(AO15)))))</f>
        <v>4.2738594967830411E-2</v>
      </c>
      <c r="AY15" s="26">
        <f>+[3]INGRESOS!$AO$192</f>
        <v>136.38621281489253</v>
      </c>
      <c r="AZ15" s="26">
        <f>+[2]INGRESOS!$AU$192</f>
        <v>192.76135778672099</v>
      </c>
    </row>
    <row r="16" spans="1:52" s="2" customFormat="1" ht="17.25" customHeight="1">
      <c r="D16" s="19" t="str">
        <f>+IF($B$3="esp","PBS y Prisa Tecnología (incluye elim.)","PBS&amp;Prisa IT (includes interco.elim.)")</f>
        <v>PBS&amp;Prisa IT (includes interco.elim.)</v>
      </c>
      <c r="F16" s="18">
        <f>+F14-F15</f>
        <v>4.1354339413575971</v>
      </c>
      <c r="G16" s="26">
        <f>+G14-G15</f>
        <v>4.5240794288622226</v>
      </c>
      <c r="H16" s="30">
        <f>IF(G16=0,"---",IF(OR(ABS((F16-G16)/ABS(G16))&gt;9,(F16*G16)&lt;0),"---",IF(G16="0","---",((F16-G16)/ABS(G16)))))</f>
        <v>-8.5905982336470024E-2</v>
      </c>
      <c r="K16" s="18">
        <f>+K14-K15</f>
        <v>8.5035058444574219</v>
      </c>
      <c r="L16" s="26">
        <f>+L14-L15</f>
        <v>9.0803343399145433</v>
      </c>
      <c r="M16" s="30">
        <f>IF(L16=0,"---",IF(OR(ABS((K16-L16)/ABS(L16))&gt;9,(K16*L16)&lt;0),"---",IF(L16="0","---",((K16-L16)/ABS(L16)))))</f>
        <v>-6.3525028249405854E-2</v>
      </c>
      <c r="P16" s="18">
        <f t="shared" si="4"/>
        <v>4.3680719030998247</v>
      </c>
      <c r="Q16" s="26">
        <f t="shared" si="4"/>
        <v>4.5562549110523207</v>
      </c>
      <c r="R16" s="30">
        <f>IF(Q16=0,"---",IF(OR(ABS((P16-Q16)/ABS(Q16))&gt;9,(P16*Q16)&lt;0),"---",IF(Q16="0","---",((P16-Q16)/ABS(Q16)))))</f>
        <v>-4.1302124579555823E-2</v>
      </c>
      <c r="U16" s="18">
        <f>+U14-U15</f>
        <v>13.216974224903566</v>
      </c>
      <c r="V16" s="26">
        <f>+V14-V15</f>
        <v>13.166389705827342</v>
      </c>
      <c r="W16" s="30">
        <f>IF(V16=0,"---",IF(OR(ABS((U16-V16)/ABS(V16))&gt;9,(U16*V16)&lt;0),"---",IF(V16="0","---",((U16-V16)/ABS(V16)))))</f>
        <v>3.8419430235940907E-3</v>
      </c>
      <c r="Z16" s="18">
        <f t="shared" si="7"/>
        <v>4.7134683804461446</v>
      </c>
      <c r="AA16" s="26">
        <f t="shared" si="7"/>
        <v>4.0860553659127987</v>
      </c>
      <c r="AB16" s="30">
        <f>IF(AA16=0,"---",IF(OR(ABS((Z16-AA16)/ABS(AA16))&gt;9,(Z16*AA16)&lt;0),"---",IF(AA16="0","---",((Z16-AA16)/ABS(AA16)))))</f>
        <v>0.15354980741754726</v>
      </c>
      <c r="AE16" s="18">
        <f>+AE14-AE15</f>
        <v>18.132047667988758</v>
      </c>
      <c r="AF16" s="26">
        <f>+AF14-AF15</f>
        <v>17.288589446536264</v>
      </c>
      <c r="AG16" s="30">
        <f>IF(AF16=0,"---",IF(OR(ABS((AE16-AF16)/ABS(AF16))&gt;9,(AE16*AF16)&lt;0),"---",IF(AF16="0","---",((AE16-AF16)/ABS(AF16)))))</f>
        <v>4.8786988901600582E-2</v>
      </c>
      <c r="AJ16" s="18">
        <f t="shared" si="10"/>
        <v>4.9150734430851912</v>
      </c>
      <c r="AK16" s="26">
        <f t="shared" si="10"/>
        <v>4.1221997407089219</v>
      </c>
      <c r="AL16" s="30">
        <f>IF(AK16=0,"---",IF(OR(ABS((AJ16-AK16)/ABS(AK16))&gt;9,(AJ16*AK16)&lt;0),"---",IF(AK16="0","---",((AJ16-AK16)/ABS(AK16)))))</f>
        <v>0.19234237840205035</v>
      </c>
      <c r="AN16" s="18">
        <f t="shared" si="0"/>
        <v>17.339173965612488</v>
      </c>
      <c r="AO16" s="26">
        <f t="shared" si="1"/>
        <v>14.684125058703032</v>
      </c>
      <c r="AP16" s="30">
        <f>IF(AO16=0,"---",IF(OR(ABS((AN16-AO16)/ABS(AO16))&gt;9,(AN16*AO16)&lt;0),"---",IF(AO16="0","---",((AN16-AO16)/ABS(AO16)))))</f>
        <v>0.18081083457783917</v>
      </c>
      <c r="AY16" s="26">
        <f>+AY14-AY15</f>
        <v>16.548036370377105</v>
      </c>
      <c r="AZ16" s="26">
        <f>+AZ14-AZ15</f>
        <v>18.065771723252794</v>
      </c>
    </row>
    <row r="17" spans="4:52" s="9" customFormat="1" ht="17.25" customHeight="1">
      <c r="D17" s="21" t="str">
        <f>+IF($B$3="esp","Gastos de Explotación Contables","Reported Expenses")</f>
        <v>Reported Expenses</v>
      </c>
      <c r="F17" s="16">
        <f t="shared" ref="F17:G23" si="16">+F10-F24</f>
        <v>84.469858236232369</v>
      </c>
      <c r="G17" s="24">
        <f t="shared" si="16"/>
        <v>90.154324507070982</v>
      </c>
      <c r="H17" s="28">
        <f t="shared" si="2"/>
        <v>-6.3052618961087867E-2</v>
      </c>
      <c r="K17" s="16">
        <f t="shared" ref="K17:L23" si="17">+K10-K24</f>
        <v>176.37842699616047</v>
      </c>
      <c r="L17" s="24">
        <f t="shared" si="17"/>
        <v>168.01003185604415</v>
      </c>
      <c r="M17" s="28">
        <f t="shared" si="3"/>
        <v>4.9808901573726277E-2</v>
      </c>
      <c r="P17" s="16">
        <f t="shared" si="4"/>
        <v>91.908568759928102</v>
      </c>
      <c r="Q17" s="24">
        <f t="shared" si="4"/>
        <v>77.855707348973169</v>
      </c>
      <c r="R17" s="28">
        <f t="shared" si="5"/>
        <v>0.1804987956498256</v>
      </c>
      <c r="U17" s="16">
        <f t="shared" ref="U17:V23" si="18">+U10-U24</f>
        <v>263.64070354368539</v>
      </c>
      <c r="V17" s="24">
        <f t="shared" si="18"/>
        <v>247.56340392242748</v>
      </c>
      <c r="W17" s="28">
        <f t="shared" ref="W17:W18" si="19">IF(V17=0,"---",IF(OR(ABS((U17-V17)/ABS(V17))&gt;9,(U17*V17)&lt;0),"---",IF(V17="0","---",((U17-V17)/ABS(V17)))))</f>
        <v>6.4942149633294075E-2</v>
      </c>
      <c r="Z17" s="16">
        <f t="shared" si="7"/>
        <v>87.26227654752492</v>
      </c>
      <c r="AA17" s="24">
        <f t="shared" si="7"/>
        <v>79.553372066383332</v>
      </c>
      <c r="AB17" s="28">
        <f t="shared" si="8"/>
        <v>9.6902296922233414E-2</v>
      </c>
      <c r="AE17" s="16">
        <f t="shared" ref="AE17:AF23" si="20">+AE10-AE24</f>
        <v>373.43998161112137</v>
      </c>
      <c r="AF17" s="24">
        <f t="shared" si="20"/>
        <v>341.25323246973261</v>
      </c>
      <c r="AG17" s="28">
        <f t="shared" ref="AG17:AG18" si="21">IF(AF17=0,"---",IF(OR(ABS((AE17-AF17)/ABS(AF17))&gt;9,(AE17*AF17)&lt;0),"---",IF(AF17="0","---",((AE17-AF17)/ABS(AF17)))))</f>
        <v>9.4319250570743113E-2</v>
      </c>
      <c r="AJ17" s="16">
        <f t="shared" si="10"/>
        <v>109.79927806743598</v>
      </c>
      <c r="AK17" s="24">
        <f t="shared" si="10"/>
        <v>93.689828547305126</v>
      </c>
      <c r="AL17" s="28">
        <f t="shared" si="11"/>
        <v>0.17194448714352162</v>
      </c>
      <c r="AN17" s="16">
        <f t="shared" ref="AN17:AO23" si="22">+AN10-AN24</f>
        <v>357.33053209099046</v>
      </c>
      <c r="AO17" s="24">
        <f t="shared" si="22"/>
        <v>345.51513446215881</v>
      </c>
      <c r="AP17" s="28">
        <f t="shared" ref="AP17:AP18" si="23">IF(AO17=0,"---",IF(OR(ABS((AN17-AO17)/ABS(AO17))&gt;9,(AN17*AO17)&lt;0),"---",IF(AO17="0","---",((AN17-AO17)/ABS(AO17)))))</f>
        <v>3.4196469127825375E-2</v>
      </c>
      <c r="AY17" s="24">
        <f t="shared" ref="AY17:AZ23" si="24">+AY10-AY24</f>
        <v>294.74157551995313</v>
      </c>
      <c r="AZ17" s="24">
        <f t="shared" si="24"/>
        <v>392.6933060596844</v>
      </c>
    </row>
    <row r="18" spans="4:52" ht="17.25" customHeight="1">
      <c r="D18" s="20" t="s">
        <v>6</v>
      </c>
      <c r="F18" s="17">
        <f t="shared" si="16"/>
        <v>45.768823696731666</v>
      </c>
      <c r="G18" s="25">
        <f t="shared" si="16"/>
        <v>46.682298615856027</v>
      </c>
      <c r="H18" s="29">
        <f t="shared" si="2"/>
        <v>-1.9567907883912387E-2</v>
      </c>
      <c r="K18" s="17">
        <f t="shared" si="17"/>
        <v>98.523194116854782</v>
      </c>
      <c r="L18" s="25">
        <f t="shared" si="17"/>
        <v>86.591767701984665</v>
      </c>
      <c r="M18" s="29">
        <f t="shared" si="3"/>
        <v>0.13778938496709603</v>
      </c>
      <c r="P18" s="17">
        <f t="shared" si="4"/>
        <v>52.754370420123117</v>
      </c>
      <c r="Q18" s="25">
        <f t="shared" si="4"/>
        <v>39.909469086128638</v>
      </c>
      <c r="R18" s="29">
        <f t="shared" si="5"/>
        <v>0.32185096991077211</v>
      </c>
      <c r="U18" s="17">
        <f t="shared" si="18"/>
        <v>145.40103813502569</v>
      </c>
      <c r="V18" s="25">
        <f t="shared" si="18"/>
        <v>128.66406280304693</v>
      </c>
      <c r="W18" s="29">
        <f t="shared" si="19"/>
        <v>0.13008275168178821</v>
      </c>
      <c r="Z18" s="17">
        <f t="shared" si="7"/>
        <v>46.877844018170904</v>
      </c>
      <c r="AA18" s="25">
        <f t="shared" si="7"/>
        <v>42.072295101062267</v>
      </c>
      <c r="AB18" s="29">
        <f t="shared" si="8"/>
        <v>0.11422122100934076</v>
      </c>
      <c r="AE18" s="17">
        <f t="shared" si="20"/>
        <v>201.49781903855779</v>
      </c>
      <c r="AF18" s="25">
        <f t="shared" si="20"/>
        <v>181.41302419756374</v>
      </c>
      <c r="AG18" s="29">
        <f t="shared" si="21"/>
        <v>0.11071308099203042</v>
      </c>
      <c r="AJ18" s="17">
        <f t="shared" si="10"/>
        <v>56.096780903532107</v>
      </c>
      <c r="AK18" s="25">
        <f t="shared" si="10"/>
        <v>52.748961394516812</v>
      </c>
      <c r="AL18" s="29">
        <f t="shared" si="11"/>
        <v>6.346702229787024E-2</v>
      </c>
      <c r="AN18" s="17">
        <f t="shared" si="22"/>
        <v>198.14999952954247</v>
      </c>
      <c r="AO18" s="25">
        <f t="shared" si="22"/>
        <v>184.51412323116699</v>
      </c>
      <c r="AP18" s="29">
        <f t="shared" si="23"/>
        <v>7.3901531544508833E-2</v>
      </c>
      <c r="AY18" s="25">
        <f t="shared" si="24"/>
        <v>154.55019227794196</v>
      </c>
      <c r="AZ18" s="25">
        <f t="shared" si="24"/>
        <v>210.40025270606202</v>
      </c>
    </row>
    <row r="19" spans="4:52" ht="17.25" customHeight="1">
      <c r="D19" s="19" t="str">
        <f>+IF($B$3="esp","España","Spain")</f>
        <v>Spain</v>
      </c>
      <c r="F19" s="18">
        <f t="shared" si="16"/>
        <v>34.230712769999968</v>
      </c>
      <c r="G19" s="26">
        <f t="shared" si="16"/>
        <v>33.137756689999996</v>
      </c>
      <c r="H19" s="30">
        <f>IF(G19=0,"---",IF(OR(ABS((F19-G19)/ABS(G19))&gt;9,(F19*G19)&lt;0),"---",IF(G19="0","---",((F19-G19)/ABS(G19)))))</f>
        <v>3.2982198832119322E-2</v>
      </c>
      <c r="K19" s="18">
        <f t="shared" si="17"/>
        <v>75.116220010000006</v>
      </c>
      <c r="L19" s="26">
        <f t="shared" si="17"/>
        <v>62.318450669999997</v>
      </c>
      <c r="M19" s="30">
        <f>IF(L19=0,"---",IF(OR(ABS((K19-L19)/ABS(L19))&gt;9,(K19*L19)&lt;0),"---",IF(L19="0","---",((K19-L19)/ABS(L19)))))</f>
        <v>0.20536083940483513</v>
      </c>
      <c r="P19" s="18">
        <f t="shared" si="4"/>
        <v>40.885507240000038</v>
      </c>
      <c r="Q19" s="26">
        <f t="shared" si="4"/>
        <v>29.180693980000001</v>
      </c>
      <c r="R19" s="30">
        <f>IF(Q19=0,"---",IF(OR(ABS((P19-Q19)/ABS(Q19))&gt;9,(P19*Q19)&lt;0),"---",IF(Q19="0","---",((P19-Q19)/ABS(Q19)))))</f>
        <v>0.40111497238627486</v>
      </c>
      <c r="U19" s="18">
        <f t="shared" si="18"/>
        <v>110.10504073000008</v>
      </c>
      <c r="V19" s="26">
        <f t="shared" si="18"/>
        <v>93.16476757999996</v>
      </c>
      <c r="W19" s="30">
        <f>IF(V19=0,"---",IF(OR(ABS((U19-V19)/ABS(V19))&gt;9,(U19*V19)&lt;0),"---",IF(V19="0","---",((U19-V19)/ABS(V19)))))</f>
        <v>0.18183132518903808</v>
      </c>
      <c r="Z19" s="18">
        <f t="shared" si="7"/>
        <v>34.988820720000078</v>
      </c>
      <c r="AA19" s="26">
        <f t="shared" si="7"/>
        <v>30.846316909999963</v>
      </c>
      <c r="AB19" s="30">
        <f>IF(AA19=0,"---",IF(OR(ABS((Z19-AA19)/ABS(AA19))&gt;9,(Z19*AA19)&lt;0),"---",IF(AA19="0","---",((Z19-AA19)/ABS(AA19)))))</f>
        <v>0.13429492480696034</v>
      </c>
      <c r="AE19" s="18">
        <f t="shared" si="20"/>
        <v>153.00081271999991</v>
      </c>
      <c r="AF19" s="26">
        <f t="shared" si="20"/>
        <v>132.85189879000001</v>
      </c>
      <c r="AG19" s="30">
        <f>IF(AF19=0,"---",IF(OR(ABS((AE19-AF19)/ABS(AF19))&gt;9,(AE19*AF19)&lt;0),"---",IF(AF19="0","---",((AE19-AF19)/ABS(AF19)))))</f>
        <v>0.1516644783666167</v>
      </c>
      <c r="AJ19" s="18">
        <f t="shared" si="10"/>
        <v>42.89577198999983</v>
      </c>
      <c r="AK19" s="26">
        <f t="shared" si="10"/>
        <v>39.687131210000047</v>
      </c>
      <c r="AL19" s="30">
        <f>IF(AK19=0,"---",IF(OR(ABS((AJ19-AK19)/ABS(AK19))&gt;9,(AJ19*AK19)&lt;0),"---",IF(AK19="0","---",((AJ19-AK19)/ABS(AK19)))))</f>
        <v>8.0848392972059799E-2</v>
      </c>
      <c r="AN19" s="18">
        <f t="shared" si="22"/>
        <v>149.79217194000015</v>
      </c>
      <c r="AO19" s="26">
        <f t="shared" si="22"/>
        <v>132.90268869000013</v>
      </c>
      <c r="AP19" s="30">
        <f>IF(AO19=0,"---",IF(OR(ABS((AN19-AO19)/ABS(AO19))&gt;9,(AN19*AO19)&lt;0),"---",IF(AO19="0","---",((AN19-AO19)/ABS(AO19)))))</f>
        <v>0.1270815768776152</v>
      </c>
      <c r="AY19" s="26">
        <f t="shared" si="24"/>
        <v>108.13261289999994</v>
      </c>
      <c r="AZ19" s="26">
        <f t="shared" si="24"/>
        <v>147.87053401000014</v>
      </c>
    </row>
    <row r="20" spans="4:52" ht="17.25" customHeight="1">
      <c r="D20" s="19" t="str">
        <f>+IF($B$3="esp","Latam","Latam")</f>
        <v>Latam</v>
      </c>
      <c r="F20" s="18">
        <f t="shared" si="16"/>
        <v>12.223339632708679</v>
      </c>
      <c r="G20" s="26">
        <f t="shared" si="16"/>
        <v>14.895898933996431</v>
      </c>
      <c r="H20" s="30">
        <f>IF(G20=0,"---",IF(OR(ABS((F20-G20)/ABS(G20))&gt;9,(F20*G20)&lt;0),"---",IF(G20="0","---",((F20-G20)/ABS(G20)))))</f>
        <v>-0.17941577833804012</v>
      </c>
      <c r="K20" s="18">
        <f t="shared" si="17"/>
        <v>24.69427224383703</v>
      </c>
      <c r="L20" s="26">
        <f t="shared" si="17"/>
        <v>26.536076005328351</v>
      </c>
      <c r="M20" s="30">
        <f>IF(L20=0,"---",IF(OR(ABS((K20-L20)/ABS(L20))&gt;9,(K20*L20)&lt;0),"---",IF(L20="0","---",((K20-L20)/ABS(L20)))))</f>
        <v>-6.9407540177435903E-2</v>
      </c>
      <c r="P20" s="18">
        <f t="shared" si="4"/>
        <v>12.470932611128351</v>
      </c>
      <c r="Q20" s="26">
        <f t="shared" si="4"/>
        <v>11.640177071331919</v>
      </c>
      <c r="R20" s="30">
        <f>IF(Q20=0,"---",IF(OR(ABS((P20-Q20)/ABS(Q20))&gt;9,(P20*Q20)&lt;0),"---",IF(Q20="0","---",((P20-Q20)/ABS(Q20)))))</f>
        <v>7.1369665143880226E-2</v>
      </c>
      <c r="U20" s="18">
        <f t="shared" si="18"/>
        <v>37.230241268929866</v>
      </c>
      <c r="V20" s="26">
        <f t="shared" si="18"/>
        <v>38.638505116342621</v>
      </c>
      <c r="W20" s="30">
        <f>IF(V20=0,"---",IF(OR(ABS((U20-V20)/ABS(V20))&gt;9,(U20*V20)&lt;0),"---",IF(V20="0","---",((U20-V20)/ABS(V20)))))</f>
        <v>-3.6447161792941954E-2</v>
      </c>
      <c r="Z20" s="18">
        <f t="shared" si="7"/>
        <v>12.535969025092836</v>
      </c>
      <c r="AA20" s="26">
        <f t="shared" si="7"/>
        <v>12.102429111014271</v>
      </c>
      <c r="AB20" s="30">
        <f>IF(AA20=0,"---",IF(OR(ABS((Z20-AA20)/ABS(AA20))&gt;9,(Z20*AA20)&lt;0),"---",IF(AA20="0","---",((Z20-AA20)/ABS(AA20)))))</f>
        <v>3.5822553480937651E-2</v>
      </c>
      <c r="AE20" s="18">
        <f t="shared" si="20"/>
        <v>50.958936044331082</v>
      </c>
      <c r="AF20" s="26">
        <f t="shared" si="20"/>
        <v>52.552569660579223</v>
      </c>
      <c r="AG20" s="30">
        <f>IF(AF20=0,"---",IF(OR(ABS((AE20-AF20)/ABS(AF20))&gt;9,(AE20*AF20)&lt;0),"---",IF(AF20="0","---",((AE20-AF20)/ABS(AF20)))))</f>
        <v>-3.0324561225853031E-2</v>
      </c>
      <c r="AJ20" s="18">
        <f t="shared" si="10"/>
        <v>13.728694775401216</v>
      </c>
      <c r="AK20" s="26">
        <f t="shared" si="10"/>
        <v>13.914064544236602</v>
      </c>
      <c r="AL20" s="30">
        <f>IF(AK20=0,"---",IF(OR(ABS((AJ20-AK20)/ABS(AK20))&gt;9,(AJ20*AK20)&lt;0),"---",IF(AK20="0","---",((AJ20-AK20)/ABS(AK20)))))</f>
        <v>-1.3322474410410066E-2</v>
      </c>
      <c r="AN20" s="18">
        <f t="shared" si="22"/>
        <v>51.144305813166469</v>
      </c>
      <c r="AO20" s="26">
        <f t="shared" si="22"/>
        <v>55.608980747974321</v>
      </c>
      <c r="AP20" s="30">
        <f>IF(AO20=0,"---",IF(OR(ABS((AN20-AO20)/ABS(AO20))&gt;9,(AN20*AO20)&lt;0),"---",IF(AO20="0","---",((AN20-AO20)/ABS(AO20)))))</f>
        <v>-8.0286940612024946E-2</v>
      </c>
      <c r="AY20" s="26">
        <f t="shared" si="24"/>
        <v>49.265510969501577</v>
      </c>
      <c r="AZ20" s="26">
        <f t="shared" si="24"/>
        <v>66.235986601133277</v>
      </c>
    </row>
    <row r="21" spans="4:52" ht="17.25" customHeight="1">
      <c r="D21" s="20" t="s">
        <v>7</v>
      </c>
      <c r="F21" s="17">
        <f t="shared" si="16"/>
        <v>42.936497817725702</v>
      </c>
      <c r="G21" s="25">
        <f t="shared" si="16"/>
        <v>47.66206852836109</v>
      </c>
      <c r="H21" s="29">
        <f t="shared" si="2"/>
        <v>-9.9147411275770786E-2</v>
      </c>
      <c r="K21" s="17">
        <f t="shared" si="17"/>
        <v>86.214480819514321</v>
      </c>
      <c r="L21" s="25">
        <f t="shared" si="17"/>
        <v>89.218954313508746</v>
      </c>
      <c r="M21" s="29">
        <f t="shared" si="3"/>
        <v>-3.3675282535109402E-2</v>
      </c>
      <c r="P21" s="17">
        <f t="shared" si="4"/>
        <v>43.27798300178862</v>
      </c>
      <c r="Q21" s="25">
        <f t="shared" si="4"/>
        <v>41.556885785147657</v>
      </c>
      <c r="R21" s="29">
        <f t="shared" si="5"/>
        <v>4.1415452195796627E-2</v>
      </c>
      <c r="U21" s="17">
        <f t="shared" si="18"/>
        <v>130.35462232108506</v>
      </c>
      <c r="V21" s="25">
        <f t="shared" si="18"/>
        <v>130.43854489013719</v>
      </c>
      <c r="W21" s="29">
        <f t="shared" ref="W21" si="25">IF(V21=0,"---",IF(OR(ABS((U21-V21)/ABS(V21))&gt;9,(U21*V21)&lt;0),"---",IF(V21="0","---",((U21-V21)/ABS(V21)))))</f>
        <v>-6.4338780475371726E-4</v>
      </c>
      <c r="Z21" s="17">
        <f t="shared" si="7"/>
        <v>44.140141501570739</v>
      </c>
      <c r="AA21" s="25">
        <f t="shared" si="7"/>
        <v>41.219590576628448</v>
      </c>
      <c r="AB21" s="29">
        <f t="shared" si="8"/>
        <v>7.0853467588740338E-2</v>
      </c>
      <c r="AE21" s="17">
        <f t="shared" si="20"/>
        <v>187.0890534337463</v>
      </c>
      <c r="AF21" s="25">
        <f t="shared" si="20"/>
        <v>174.94976052748007</v>
      </c>
      <c r="AG21" s="29">
        <f t="shared" ref="AG21" si="26">IF(AF21=0,"---",IF(OR(ABS((AE21-AF21)/ABS(AF21))&gt;9,(AE21*AF21)&lt;0),"---",IF(AF21="0","---",((AE21-AF21)/ABS(AF21)))))</f>
        <v>6.9387307931521675E-2</v>
      </c>
      <c r="AJ21" s="17">
        <f t="shared" si="10"/>
        <v>56.734431112661241</v>
      </c>
      <c r="AK21" s="25">
        <f t="shared" si="10"/>
        <v>44.511215637342872</v>
      </c>
      <c r="AL21" s="29">
        <f t="shared" si="11"/>
        <v>0.27460978767480909</v>
      </c>
      <c r="AN21" s="17">
        <f t="shared" si="22"/>
        <v>174.8658379584279</v>
      </c>
      <c r="AO21" s="25">
        <f t="shared" si="22"/>
        <v>177.32309660836322</v>
      </c>
      <c r="AP21" s="29">
        <f t="shared" ref="AP21" si="27">IF(AO21=0,"---",IF(OR(ABS((AN21-AO21)/ABS(AO21))&gt;9,(AN21*AO21)&lt;0),"---",IF(AO21="0","---",((AN21-AO21)/ABS(AO21)))))</f>
        <v>-1.3857521647969115E-2</v>
      </c>
      <c r="AY21" s="25">
        <f t="shared" si="24"/>
        <v>151.80990934331578</v>
      </c>
      <c r="AZ21" s="25">
        <f t="shared" si="24"/>
        <v>198.6944610615418</v>
      </c>
    </row>
    <row r="22" spans="4:52" ht="17.25" customHeight="1">
      <c r="D22" s="19" t="str">
        <f>+IF($B$3="esp","Prensa","Press")</f>
        <v>Press</v>
      </c>
      <c r="F22" s="18">
        <f t="shared" si="16"/>
        <v>38.597833888574655</v>
      </c>
      <c r="G22" s="26">
        <f t="shared" si="16"/>
        <v>42.714467854391238</v>
      </c>
      <c r="H22" s="30">
        <f>IF(G22=0,"---",IF(OR(ABS((F22-G22)/ABS(G22))&gt;9,(F22*G22)&lt;0),"---",IF(G22="0","---",((F22-G22)/ABS(G22)))))</f>
        <v>-9.6375635062333431E-2</v>
      </c>
      <c r="K22" s="18">
        <f t="shared" si="17"/>
        <v>77.786607573861033</v>
      </c>
      <c r="L22" s="26">
        <f t="shared" si="17"/>
        <v>79.788417363813963</v>
      </c>
      <c r="M22" s="30">
        <f>IF(L22=0,"---",IF(OR(ABS((K22-L22)/ABS(L22))&gt;9,(K22*L22)&lt;0),"---",IF(L22="0","---",((K22-L22)/ABS(L22)))))</f>
        <v>-2.5088977273796637E-2</v>
      </c>
      <c r="P22" s="18">
        <f t="shared" si="4"/>
        <v>39.188773685286378</v>
      </c>
      <c r="Q22" s="26">
        <f t="shared" si="4"/>
        <v>37.073949509422725</v>
      </c>
      <c r="R22" s="30">
        <f>IF(Q22=0,"---",IF(OR(ABS((P22-Q22)/ABS(Q22))&gt;9,(P22*Q22)&lt;0),"---",IF(Q22="0","---",((P22-Q22)/ABS(Q22)))))</f>
        <v>5.7043401198087859E-2</v>
      </c>
      <c r="U22" s="18">
        <f t="shared" si="18"/>
        <v>117.93879060987933</v>
      </c>
      <c r="V22" s="26">
        <f t="shared" si="18"/>
        <v>117.19936176709302</v>
      </c>
      <c r="W22" s="30">
        <f>IF(V22=0,"---",IF(OR(ABS((U22-V22)/ABS(V22))&gt;9,(U22*V22)&lt;0),"---",IF(V22="0","---",((U22-V22)/ABS(V22)))))</f>
        <v>6.3091541765880627E-3</v>
      </c>
      <c r="Z22" s="18">
        <f t="shared" si="7"/>
        <v>40.1521830360183</v>
      </c>
      <c r="AA22" s="26">
        <f t="shared" si="7"/>
        <v>37.410944403279061</v>
      </c>
      <c r="AB22" s="30">
        <f>IF(AA22=0,"---",IF(OR(ABS((Z22-AA22)/ABS(AA22))&gt;9,(Z22*AA22)&lt;0),"---",IF(AA22="0","---",((Z22-AA22)/ABS(AA22)))))</f>
        <v>7.3273708441826207E-2</v>
      </c>
      <c r="AE22" s="18">
        <f t="shared" si="20"/>
        <v>169.77820621190389</v>
      </c>
      <c r="AF22" s="26">
        <f t="shared" si="20"/>
        <v>157.78850315239359</v>
      </c>
      <c r="AG22" s="30">
        <f>IF(AF22=0,"---",IF(OR(ABS((AE22-AF22)/ABS(AF22))&gt;9,(AE22*AF22)&lt;0),"---",IF(AF22="0","---",((AE22-AF22)/ABS(AF22)))))</f>
        <v>7.5985910379861701E-2</v>
      </c>
      <c r="AJ22" s="18">
        <f t="shared" si="10"/>
        <v>51.839415602024559</v>
      </c>
      <c r="AK22" s="26">
        <f t="shared" si="10"/>
        <v>40.589141385300564</v>
      </c>
      <c r="AL22" s="30">
        <f>IF(AK22=0,"---",IF(OR(ABS((AJ22-AK22)/ABS(AK22))&gt;9,(AJ22*AK22)&lt;0),"---",IF(AK22="0","---",((AJ22-AK22)/ABS(AK22)))))</f>
        <v>0.27717448146854129</v>
      </c>
      <c r="AN22" s="18">
        <f t="shared" si="22"/>
        <v>158.52793199517993</v>
      </c>
      <c r="AO22" s="26">
        <f t="shared" si="22"/>
        <v>162.69436825752632</v>
      </c>
      <c r="AP22" s="30">
        <f>IF(AO22=0,"---",IF(OR(ABS((AN22-AO22)/ABS(AO22))&gt;9,(AN22*AO22)&lt;0),"---",IF(AO22="0","---",((AN22-AO22)/ABS(AO22)))))</f>
        <v>-2.5608976555054497E-2</v>
      </c>
      <c r="AY22" s="26">
        <f t="shared" si="24"/>
        <v>134.54792900631759</v>
      </c>
      <c r="AZ22" s="26">
        <f t="shared" si="24"/>
        <v>180.04293549675091</v>
      </c>
    </row>
    <row r="23" spans="4:52" ht="17.25" customHeight="1">
      <c r="D23" s="19" t="str">
        <f>+IF($B$3="esp","PBS y Prisa Tecnología (incluye elim.)","PBS&amp;Prisa IT (includes interco.elim.)")</f>
        <v>PBS&amp;Prisa IT (includes interco.elim.)</v>
      </c>
      <c r="F23" s="18">
        <f t="shared" si="16"/>
        <v>4.3386639291510507</v>
      </c>
      <c r="G23" s="26">
        <f t="shared" si="16"/>
        <v>4.9476006739698501</v>
      </c>
      <c r="H23" s="30">
        <f>IF(G23=0,"---",IF(OR(ABS((F23-G23)/ABS(G23))&gt;9,(F23*G23)&lt;0),"---",IF(G23="0","---",((F23-G23)/ABS(G23)))))</f>
        <v>-0.12307718123302006</v>
      </c>
      <c r="K23" s="18">
        <f t="shared" si="17"/>
        <v>8.4278732456532861</v>
      </c>
      <c r="L23" s="26">
        <f t="shared" si="17"/>
        <v>9.4305369496947797</v>
      </c>
      <c r="M23" s="30">
        <f>IF(L23=0,"---",IF(OR(ABS((K23-L23)/ABS(L23))&gt;9,(K23*L23)&lt;0),"---",IF(L23="0","---",((K23-L23)/ABS(L23)))))</f>
        <v>-0.10632095599540013</v>
      </c>
      <c r="P23" s="18">
        <f t="shared" si="4"/>
        <v>4.0892093165022354</v>
      </c>
      <c r="Q23" s="26">
        <f t="shared" si="4"/>
        <v>4.4829362757249296</v>
      </c>
      <c r="R23" s="30">
        <f>IF(Q23=0,"---",IF(OR(ABS((P23-Q23)/ABS(Q23))&gt;9,(P23*Q23)&lt;0),"---",IF(Q23="0","---",((P23-Q23)/ABS(Q23)))))</f>
        <v>-8.7827917910571929E-2</v>
      </c>
      <c r="U23" s="18">
        <f t="shared" si="18"/>
        <v>12.415831711205712</v>
      </c>
      <c r="V23" s="26">
        <f t="shared" si="18"/>
        <v>13.239183123044189</v>
      </c>
      <c r="W23" s="30">
        <f>IF(V23=0,"---",IF(OR(ABS((U23-V23)/ABS(V23))&gt;9,(U23*V23)&lt;0),"---",IF(V23="0","---",((U23-V23)/ABS(V23)))))</f>
        <v>-6.2190499533566174E-2</v>
      </c>
      <c r="Z23" s="18">
        <f t="shared" si="7"/>
        <v>3.9879584655524258</v>
      </c>
      <c r="AA23" s="26">
        <f t="shared" si="7"/>
        <v>3.808646173349409</v>
      </c>
      <c r="AB23" s="30">
        <f>IF(AA23=0,"---",IF(OR(ABS((Z23-AA23)/ABS(AA23))&gt;9,(Z23*AA23)&lt;0),"---",IF(AA23="0","---",((Z23-AA23)/ABS(AA23)))))</f>
        <v>4.7080323044376045E-2</v>
      </c>
      <c r="AE23" s="18">
        <f t="shared" si="20"/>
        <v>17.310847221842394</v>
      </c>
      <c r="AF23" s="26">
        <f t="shared" si="20"/>
        <v>17.161257375086464</v>
      </c>
      <c r="AG23" s="30">
        <f>IF(AF23=0,"---",IF(OR(ABS((AE23-AF23)/ABS(AF23))&gt;9,(AE23*AF23)&lt;0),"---",IF(AF23="0","---",((AE23-AF23)/ABS(AF23)))))</f>
        <v>8.7167183316703995E-3</v>
      </c>
      <c r="AJ23" s="18">
        <f t="shared" si="10"/>
        <v>4.8950155106366822</v>
      </c>
      <c r="AK23" s="26">
        <f t="shared" si="10"/>
        <v>3.9220742520422753</v>
      </c>
      <c r="AL23" s="30">
        <f>IF(AK23=0,"---",IF(OR(ABS((AJ23-AK23)/ABS(AK23))&gt;9,(AJ23*AK23)&lt;0),"---",IF(AK23="0","---",((AJ23-AK23)/ABS(AK23)))))</f>
        <v>0.24806803647018758</v>
      </c>
      <c r="AN23" s="18">
        <f t="shared" si="22"/>
        <v>16.337905963247987</v>
      </c>
      <c r="AO23" s="26">
        <f t="shared" si="22"/>
        <v>14.628728350836877</v>
      </c>
      <c r="AP23" s="30">
        <f>IF(AO23=0,"---",IF(OR(ABS((AN23-AO23)/ABS(AO23))&gt;9,(AN23*AO23)&lt;0),"---",IF(AO23="0","---",((AN23-AO23)/ABS(AO23)))))</f>
        <v>0.1168370600246557</v>
      </c>
      <c r="AY23" s="26">
        <f t="shared" si="24"/>
        <v>17.261980336998199</v>
      </c>
      <c r="AZ23" s="26">
        <f t="shared" si="24"/>
        <v>18.651525564790887</v>
      </c>
    </row>
    <row r="24" spans="4:52" s="9" customFormat="1" ht="17.25" customHeight="1">
      <c r="D24" s="21" t="str">
        <f>+IF($B$3="esp","EBITDA Contable","Reported EBITDA")</f>
        <v>Reported EBITDA</v>
      </c>
      <c r="F24" s="16">
        <f>+[1]EBITDA!$Z$177</f>
        <v>-7.4751540810229002</v>
      </c>
      <c r="G24" s="24">
        <f>+[1]EBITDA!$AI$177</f>
        <v>-5.2946700227722374</v>
      </c>
      <c r="H24" s="28">
        <f t="shared" si="2"/>
        <v>-0.41182624202687945</v>
      </c>
      <c r="K24" s="16">
        <f>+[2]EBITDA!$Z$177</f>
        <v>-1.2238059564902413</v>
      </c>
      <c r="L24" s="24">
        <f>+[2]EBITDA!$AI$177</f>
        <v>-18.821808011107301</v>
      </c>
      <c r="M24" s="28">
        <f t="shared" si="3"/>
        <v>0.93497936246252011</v>
      </c>
      <c r="P24" s="16">
        <f t="shared" si="4"/>
        <v>6.251348124532659</v>
      </c>
      <c r="Q24" s="24">
        <f t="shared" si="4"/>
        <v>-13.527137988335063</v>
      </c>
      <c r="R24" s="28" t="str">
        <f t="shared" si="5"/>
        <v>---</v>
      </c>
      <c r="U24" s="16">
        <f>+[3]EBITDA!$Z$177</f>
        <v>-0.18861552571328527</v>
      </c>
      <c r="V24" s="24">
        <f>+[3]EBITDA!$AI$177</f>
        <v>-23.184547633584298</v>
      </c>
      <c r="W24" s="28">
        <f t="shared" ref="W24:W25" si="28">IF(V24=0,"---",IF(OR(ABS((U24-V24)/ABS(V24))&gt;9,(U24*V24)&lt;0),"---",IF(V24="0","---",((U24-V24)/ABS(V24)))))</f>
        <v>0.99186460185921144</v>
      </c>
      <c r="Z24" s="16">
        <f t="shared" si="7"/>
        <v>1.0351904307769559</v>
      </c>
      <c r="AA24" s="24">
        <f t="shared" si="7"/>
        <v>-4.3627396224769974</v>
      </c>
      <c r="AB24" s="28" t="str">
        <f t="shared" si="8"/>
        <v>---</v>
      </c>
      <c r="AE24" s="16">
        <f>+[4]EBITDA!$Z$177</f>
        <v>9.9034569005782469</v>
      </c>
      <c r="AF24" s="24">
        <f>+[4]EBITDA!$AI$177</f>
        <v>-5.3748760945990499</v>
      </c>
      <c r="AG24" s="28" t="str">
        <f t="shared" ref="AG24:AG25" si="29">IF(AF24=0,"---",IF(OR(ABS((AE24-AF24)/ABS(AF24))&gt;9,(AE24*AF24)&lt;0),"---",IF(AF24="0","---",((AE24-AF24)/ABS(AF24)))))</f>
        <v>---</v>
      </c>
      <c r="AJ24" s="16">
        <f t="shared" si="10"/>
        <v>10.092072426291532</v>
      </c>
      <c r="AK24" s="24">
        <f t="shared" si="10"/>
        <v>17.809671538985249</v>
      </c>
      <c r="AL24" s="28">
        <f t="shared" si="11"/>
        <v>-0.43333753212685283</v>
      </c>
      <c r="AN24" s="16">
        <f t="shared" ref="AN24:AN30" si="30">+U24+AF24-V24</f>
        <v>17.621056013271964</v>
      </c>
      <c r="AO24" s="24">
        <f t="shared" ref="AO24:AO30" si="31">+V24+AZ24-AY24</f>
        <v>9.4107642663937767</v>
      </c>
      <c r="AP24" s="28">
        <f t="shared" ref="AP24:AP25" si="32">IF(AO24=0,"---",IF(OR(ABS((AN24-AO24)/ABS(AO24))&gt;9,(AN24*AO24)&lt;0),"---",IF(AO24="0","---",((AN24-AO24)/ABS(AO24)))))</f>
        <v>0.87243623519478375</v>
      </c>
      <c r="AY24" s="24">
        <f>+[3]EBITDA!$AO$177</f>
        <v>42.946720827852609</v>
      </c>
      <c r="AZ24" s="24">
        <f>+[2]EBITDA!$AU$177</f>
        <v>75.542032727830687</v>
      </c>
    </row>
    <row r="25" spans="4:52" ht="17.25" customHeight="1">
      <c r="D25" s="20" t="s">
        <v>6</v>
      </c>
      <c r="F25" s="17">
        <f>+[1]EBITDA!$Z$178</f>
        <v>-4.4917523685174734</v>
      </c>
      <c r="G25" s="25">
        <f>+[1]EBITDA!$AI$178</f>
        <v>0.67236373096305901</v>
      </c>
      <c r="H25" s="29" t="str">
        <f t="shared" si="2"/>
        <v>---</v>
      </c>
      <c r="K25" s="17">
        <f>+[2]EBITDA!$Z$178</f>
        <v>-1.9177552145363055</v>
      </c>
      <c r="L25" s="25">
        <f>+[2]EBITDA!$AI$178</f>
        <v>-5.1827484440266032</v>
      </c>
      <c r="M25" s="29">
        <f t="shared" si="3"/>
        <v>0.62997331719878824</v>
      </c>
      <c r="P25" s="17">
        <f t="shared" si="4"/>
        <v>2.5739971539811677</v>
      </c>
      <c r="Q25" s="25">
        <f t="shared" si="4"/>
        <v>-5.855112174989662</v>
      </c>
      <c r="R25" s="29" t="str">
        <f t="shared" si="5"/>
        <v>---</v>
      </c>
      <c r="U25" s="17">
        <f>+[3]EBITDA!$Z$178</f>
        <v>1.3487306077576144</v>
      </c>
      <c r="V25" s="25">
        <f>+[3]EBITDA!$AI$178</f>
        <v>-6.2032962586861302</v>
      </c>
      <c r="W25" s="29" t="str">
        <f t="shared" si="28"/>
        <v>---</v>
      </c>
      <c r="Z25" s="17">
        <f t="shared" si="7"/>
        <v>3.2664858222939199</v>
      </c>
      <c r="AA25" s="25">
        <f t="shared" si="7"/>
        <v>-1.020547814659527</v>
      </c>
      <c r="AB25" s="29" t="str">
        <f t="shared" si="8"/>
        <v>---</v>
      </c>
      <c r="AE25" s="17">
        <f>+[4]EBITDA!$Z$178</f>
        <v>17.695431645482632</v>
      </c>
      <c r="AF25" s="25">
        <f>+[4]EBITDA!$AI$178</f>
        <v>4.873676614331468</v>
      </c>
      <c r="AG25" s="29">
        <f t="shared" si="29"/>
        <v>2.6308177677295377</v>
      </c>
      <c r="AJ25" s="17">
        <f t="shared" si="10"/>
        <v>16.346701037725019</v>
      </c>
      <c r="AK25" s="25">
        <f t="shared" si="10"/>
        <v>11.076972873017599</v>
      </c>
      <c r="AL25" s="29">
        <f t="shared" si="11"/>
        <v>0.47573720953528303</v>
      </c>
      <c r="AN25" s="17">
        <f t="shared" si="30"/>
        <v>12.425703480775212</v>
      </c>
      <c r="AO25" s="25">
        <f t="shared" si="31"/>
        <v>15.383687034814081</v>
      </c>
      <c r="AP25" s="29">
        <f t="shared" si="32"/>
        <v>-0.19228053374622081</v>
      </c>
      <c r="AY25" s="25">
        <f>+[3]EBITDA!$AO$178</f>
        <v>41.822380985898711</v>
      </c>
      <c r="AZ25" s="25">
        <f>+[2]EBITDA!$AU$178</f>
        <v>63.409364279398922</v>
      </c>
    </row>
    <row r="26" spans="4:52" ht="17.25" customHeight="1">
      <c r="D26" s="19" t="str">
        <f>+IF($B$3="esp","España","Spain")</f>
        <v>Spain</v>
      </c>
      <c r="F26" s="18">
        <f>+[1]EBITDA!$Z$179</f>
        <v>-3.5167355999999654</v>
      </c>
      <c r="G26" s="26">
        <f>+[1]EBITDA!$AI$179</f>
        <v>1.3762368200000226</v>
      </c>
      <c r="H26" s="30" t="str">
        <f>IF(G26=0,"---",IF(OR(ABS((F26-G26)/ABS(G26))&gt;9,(F26*G26)&lt;0),"---",IF(G26="0","---",((F26-G26)/ABS(G26)))))</f>
        <v>---</v>
      </c>
      <c r="K26" s="18">
        <f>+[2]EBITDA!$Z$179</f>
        <v>-2.5304449700000076</v>
      </c>
      <c r="L26" s="26">
        <f>+[2]EBITDA!$AI$179</f>
        <v>-1.4656421500000092</v>
      </c>
      <c r="M26" s="30">
        <f>IF(L26=0,"---",IF(OR(ABS((K26-L26)/ABS(L26))&gt;9,(K26*L26)&lt;0),"---",IF(L26="0","---",((K26-L26)/ABS(L26)))))</f>
        <v>-0.7265094143205364</v>
      </c>
      <c r="P26" s="18">
        <f t="shared" si="4"/>
        <v>0.98629062999995787</v>
      </c>
      <c r="Q26" s="26">
        <f t="shared" si="4"/>
        <v>-2.8418789700000318</v>
      </c>
      <c r="R26" s="30" t="str">
        <f>IF(Q26=0,"---",IF(OR(ABS((P26-Q26)/ABS(Q26))&gt;9,(P26*Q26)&lt;0),"---",IF(Q26="0","---",((P26-Q26)/ABS(Q26)))))</f>
        <v>---</v>
      </c>
      <c r="U26" s="18">
        <f>+[3]EBITDA!$Z$179</f>
        <v>-3.310791500000053</v>
      </c>
      <c r="V26" s="26">
        <f>+[3]EBITDA!$AI$179</f>
        <v>-1.4996078699999476</v>
      </c>
      <c r="W26" s="30">
        <f>IF(V26=0,"---",IF(OR(ABS((U26-V26)/ABS(V26))&gt;9,(U26*V26)&lt;0),"---",IF(V26="0","---",((U26-V26)/ABS(V26)))))</f>
        <v>-1.2077714889560887</v>
      </c>
      <c r="Z26" s="18">
        <f t="shared" si="7"/>
        <v>-0.78034653000004539</v>
      </c>
      <c r="AA26" s="26">
        <f t="shared" si="7"/>
        <v>-3.396571999993836E-2</v>
      </c>
      <c r="AB26" s="30" t="str">
        <f>IF(AA26=0,"---",IF(OR(ABS((Z26-AA26)/ABS(AA26))&gt;9,(Z26*AA26)&lt;0),"---",IF(AA26="0","---",((Z26-AA26)/ABS(AA26)))))</f>
        <v>---</v>
      </c>
      <c r="AE26" s="18">
        <f>+[4]EBITDA!$Z$179</f>
        <v>5.6177866900000843</v>
      </c>
      <c r="AF26" s="26">
        <f>+[4]EBITDA!$AI$179</f>
        <v>6.2284462000000147</v>
      </c>
      <c r="AG26" s="30">
        <f>IF(AF26=0,"---",IF(OR(ABS((AE26-AF26)/ABS(AF26))&gt;9,(AE26*AF26)&lt;0),"---",IF(AF26="0","---",((AE26-AF26)/ABS(AF26)))))</f>
        <v>-9.8043635666296494E-2</v>
      </c>
      <c r="AJ26" s="18">
        <f t="shared" si="10"/>
        <v>8.9285781900001382</v>
      </c>
      <c r="AK26" s="26">
        <f t="shared" si="10"/>
        <v>7.7280540699999625</v>
      </c>
      <c r="AL26" s="30">
        <f>IF(AK26=0,"---",IF(OR(ABS((AJ26-AK26)/ABS(AK26))&gt;9,(AJ26*AK26)&lt;0),"---",IF(AK26="0","---",((AJ26-AK26)/ABS(AK26)))))</f>
        <v>0.15534623711557205</v>
      </c>
      <c r="AN26" s="18">
        <f t="shared" si="30"/>
        <v>4.4172625699999095</v>
      </c>
      <c r="AO26" s="26">
        <f t="shared" si="31"/>
        <v>13.966316749999869</v>
      </c>
      <c r="AP26" s="30">
        <f>IF(AO26=0,"---",IF(OR(ABS((AN26-AO26)/ABS(AO26))&gt;9,(AN26*AO26)&lt;0),"---",IF(AO26="0","---",((AN26-AO26)/ABS(AO26)))))</f>
        <v>-0.68372029296844128</v>
      </c>
      <c r="AY26" s="26">
        <f>+[3]EBITDA!$AO$179</f>
        <v>25.02446470000006</v>
      </c>
      <c r="AZ26" s="26">
        <f>+[2]EBITDA!$AU$179</f>
        <v>40.490389319999878</v>
      </c>
    </row>
    <row r="27" spans="4:52" ht="17.25" customHeight="1">
      <c r="D27" s="19" t="str">
        <f>+IF($B$3="esp","Latam","Latam")</f>
        <v>Latam</v>
      </c>
      <c r="F27" s="18">
        <f>+[1]EBITDA!$Z$182</f>
        <v>-1.0247128043154732</v>
      </c>
      <c r="G27" s="26">
        <f>+[1]EBITDA!$AI$182</f>
        <v>-1.0492065590369735</v>
      </c>
      <c r="H27" s="30">
        <f>IF(G27=0,"---",IF(OR(ABS((F27-G27)/ABS(G27))&gt;9,(F27*G27)&lt;0),"---",IF(G27="0","---",((F27-G27)/ABS(G27)))))</f>
        <v>2.3345026306337776E-2</v>
      </c>
      <c r="K27" s="18">
        <f>+[2]EBITDA!$Z$182</f>
        <v>0.76524987966589297</v>
      </c>
      <c r="L27" s="26">
        <f>+[2]EBITDA!$AI$182</f>
        <v>-4.057980754026528</v>
      </c>
      <c r="M27" s="30" t="str">
        <f>IF(L27=0,"---",IF(OR(ABS((K27-L27)/ABS(L27))&gt;9,(K27*L27)&lt;0),"---",IF(L27="0","---",((K27-L27)/ABS(L27)))))</f>
        <v>---</v>
      </c>
      <c r="P27" s="18">
        <f t="shared" si="4"/>
        <v>1.7899626839813663</v>
      </c>
      <c r="Q27" s="26">
        <f t="shared" si="4"/>
        <v>-3.0087741949895546</v>
      </c>
      <c r="R27" s="30" t="str">
        <f>IF(Q27=0,"---",IF(OR(ABS((P27-Q27)/ABS(Q27))&gt;9,(P27*Q27)&lt;0),"---",IF(Q27="0","---",((P27-Q27)/ABS(Q27)))))</f>
        <v>---</v>
      </c>
      <c r="U27" s="18">
        <f>+[3]EBITDA!$Z$182</f>
        <v>4.9261497819598761</v>
      </c>
      <c r="V27" s="26">
        <f>+[3]EBITDA!$AI$182</f>
        <v>-5.0433008186862125</v>
      </c>
      <c r="W27" s="30" t="str">
        <f>IF(V27=0,"---",IF(OR(ABS((U27-V27)/ABS(V27))&gt;9,(U27*V27)&lt;0),"---",IF(V27="0","---",((U27-V27)/ABS(V27)))))</f>
        <v>---</v>
      </c>
      <c r="Z27" s="18">
        <f t="shared" si="7"/>
        <v>4.1608999022939832</v>
      </c>
      <c r="AA27" s="26">
        <f t="shared" si="7"/>
        <v>-0.98532006465968447</v>
      </c>
      <c r="AB27" s="30" t="str">
        <f>IF(AA27=0,"---",IF(OR(ABS((Z27-AA27)/ABS(AA27))&gt;9,(Z27*AA27)&lt;0),"---",IF(AA27="0","---",((Z27-AA27)/ABS(AA27)))))</f>
        <v>---</v>
      </c>
      <c r="AE27" s="18">
        <f>+[4]EBITDA!$Z$182</f>
        <v>12.511172079684489</v>
      </c>
      <c r="AF27" s="26">
        <f>+[4]EBITDA!$AI$182</f>
        <v>-1.6742023556686212</v>
      </c>
      <c r="AG27" s="30" t="str">
        <f>IF(AF27=0,"---",IF(OR(ABS((AE27-AF27)/ABS(AF27))&gt;9,(AE27*AF27)&lt;0),"---",IF(AF27="0","---",((AE27-AF27)/ABS(AF27)))))</f>
        <v>---</v>
      </c>
      <c r="AJ27" s="18">
        <f t="shared" si="10"/>
        <v>7.5850222977246125</v>
      </c>
      <c r="AK27" s="26">
        <f t="shared" si="10"/>
        <v>3.3690984630175915</v>
      </c>
      <c r="AL27" s="30">
        <f>IF(AK27=0,"---",IF(OR(ABS((AJ27-AK27)/ABS(AK27))&gt;9,(AJ27*AK27)&lt;0),"---",IF(AK27="0","---",((AJ27-AK27)/ABS(AK27)))))</f>
        <v>1.2513507340272139</v>
      </c>
      <c r="AN27" s="18">
        <f t="shared" si="30"/>
        <v>8.2952482449774685</v>
      </c>
      <c r="AO27" s="26">
        <f t="shared" si="31"/>
        <v>1.1832951048137303</v>
      </c>
      <c r="AP27" s="30">
        <f>IF(AO27=0,"---",IF(OR(ABS((AN27-AO27)/ABS(AO27))&gt;9,(AN27*AO27)&lt;0),"---",IF(AO27="0","---",((AN27-AO27)/ABS(AO27)))))</f>
        <v>6.0102954125575243</v>
      </c>
      <c r="AY27" s="26">
        <f>+[3]EBITDA!$AO$182</f>
        <v>16.931259415898708</v>
      </c>
      <c r="AZ27" s="26">
        <f>+[2]EBITDA!$AU$182</f>
        <v>23.157855339398651</v>
      </c>
    </row>
    <row r="28" spans="4:52" ht="17.25" customHeight="1">
      <c r="D28" s="20" t="s">
        <v>7</v>
      </c>
      <c r="F28" s="17">
        <f>+[1]EBITDA!$Z$191</f>
        <v>-2.9834017125054126</v>
      </c>
      <c r="G28" s="25">
        <f>+[1]EBITDA!$AI$191</f>
        <v>-5.967033753735322</v>
      </c>
      <c r="H28" s="29">
        <f t="shared" si="2"/>
        <v>0.50001930010236262</v>
      </c>
      <c r="K28" s="17">
        <f>+[2]EBITDA!$Z$191</f>
        <v>0.8672362980461763</v>
      </c>
      <c r="L28" s="25">
        <f>+[2]EBITDA!$AI$191</f>
        <v>-13.639059567080702</v>
      </c>
      <c r="M28" s="29" t="str">
        <f t="shared" si="3"/>
        <v>---</v>
      </c>
      <c r="P28" s="17">
        <f t="shared" si="4"/>
        <v>3.8506380105515889</v>
      </c>
      <c r="Q28" s="25">
        <f t="shared" si="4"/>
        <v>-7.67202581334538</v>
      </c>
      <c r="R28" s="29" t="str">
        <f t="shared" si="5"/>
        <v>---</v>
      </c>
      <c r="U28" s="17">
        <f>+[3]EBITDA!$Z$191</f>
        <v>-0.89762707347107296</v>
      </c>
      <c r="V28" s="25">
        <f>+[3]EBITDA!$AI$191</f>
        <v>-16.981251374898161</v>
      </c>
      <c r="W28" s="29">
        <f t="shared" ref="W28" si="33">IF(V28=0,"---",IF(OR(ABS((U28-V28)/ABS(V28))&gt;9,(U28*V28)&lt;0),"---",IF(V28="0","---",((U28-V28)/ABS(V28)))))</f>
        <v>0.94714011036913603</v>
      </c>
      <c r="Z28" s="17">
        <f t="shared" si="7"/>
        <v>-1.7648633715172493</v>
      </c>
      <c r="AA28" s="25">
        <f t="shared" si="7"/>
        <v>-3.3421918078174588</v>
      </c>
      <c r="AB28" s="29">
        <f t="shared" si="8"/>
        <v>0.47194431887805011</v>
      </c>
      <c r="AE28" s="17">
        <f>+[4]EBITDA!$Z$191</f>
        <v>-6.0338117949049073</v>
      </c>
      <c r="AF28" s="25">
        <f>+[4]EBITDA!$AI$191</f>
        <v>-10.248552708930587</v>
      </c>
      <c r="AG28" s="29">
        <f t="shared" ref="AG28" si="34">IF(AF28=0,"---",IF(OR(ABS((AE28-AF28)/ABS(AF28))&gt;9,(AE28*AF28)&lt;0),"---",IF(AF28="0","---",((AE28-AF28)/ABS(AF28)))))</f>
        <v>0.41125230398170809</v>
      </c>
      <c r="AJ28" s="17">
        <f t="shared" si="10"/>
        <v>-5.1361847214338345</v>
      </c>
      <c r="AK28" s="25">
        <f t="shared" si="10"/>
        <v>6.7326986659675736</v>
      </c>
      <c r="AL28" s="29" t="str">
        <f t="shared" si="11"/>
        <v>---</v>
      </c>
      <c r="AN28" s="17">
        <f t="shared" si="30"/>
        <v>5.8350715924965009</v>
      </c>
      <c r="AO28" s="25">
        <f t="shared" si="31"/>
        <v>-5.9729227684200152</v>
      </c>
      <c r="AP28" s="29" t="str">
        <f t="shared" ref="AP28" si="35">IF(AO28=0,"---",IF(OR(ABS((AN28-AO28)/ABS(AO28))&gt;9,(AN28*AO28)&lt;0),"---",IF(AO28="0","---",((AN28-AO28)/ABS(AO28)))))</f>
        <v>---</v>
      </c>
      <c r="AY28" s="25">
        <f>+[3]EBITDA!$AO$191</f>
        <v>1.1243398419538453</v>
      </c>
      <c r="AZ28" s="25">
        <f>+[2]EBITDA!$AU$191</f>
        <v>12.132668448431991</v>
      </c>
    </row>
    <row r="29" spans="4:52" s="2" customFormat="1" ht="17.25" customHeight="1">
      <c r="D29" s="19" t="str">
        <f>+IF($B$3="esp","Prensa","Press")</f>
        <v>Press</v>
      </c>
      <c r="F29" s="18">
        <f>+[1]EBITDA!$Z$192</f>
        <v>-2.7801717247119591</v>
      </c>
      <c r="G29" s="26">
        <f>+[1]EBITDA!$AI$192</f>
        <v>-5.5435125086276944</v>
      </c>
      <c r="H29" s="30">
        <f>IF(G29=0,"---",IF(OR(ABS((F29-G29)/ABS(G29))&gt;9,(F29*G29)&lt;0),"---",IF(G29="0","---",((F29-G29)/ABS(G29)))))</f>
        <v>0.49848192452258122</v>
      </c>
      <c r="K29" s="18">
        <f>+[2]EBITDA!$Z$192</f>
        <v>0.79160369924204055</v>
      </c>
      <c r="L29" s="26">
        <f>+[2]EBITDA!$AI$192</f>
        <v>-13.288856957300466</v>
      </c>
      <c r="M29" s="30" t="str">
        <f>IF(L29=0,"---",IF(OR(ABS((K29-L29)/ABS(L29))&gt;9,(K29*L29)&lt;0),"---",IF(L29="0","---",((K29-L29)/ABS(L29)))))</f>
        <v>---</v>
      </c>
      <c r="P29" s="18">
        <f t="shared" si="4"/>
        <v>3.5717754239539996</v>
      </c>
      <c r="Q29" s="26">
        <f t="shared" si="4"/>
        <v>-7.7453444486727712</v>
      </c>
      <c r="R29" s="30" t="str">
        <f>IF(Q29=0,"---",IF(OR(ABS((P29-Q29)/ABS(Q29))&gt;9,(P29*Q29)&lt;0),"---",IF(Q29="0","---",((P29-Q29)/ABS(Q29)))))</f>
        <v>---</v>
      </c>
      <c r="U29" s="18">
        <f>+[3]EBITDA!$Z$192</f>
        <v>-1.6987695871689279</v>
      </c>
      <c r="V29" s="26">
        <f>+[3]EBITDA!$AI$192</f>
        <v>-16.908457957681314</v>
      </c>
      <c r="W29" s="30">
        <f>IF(V29=0,"---",IF(OR(ABS((U29-V29)/ABS(V29))&gt;9,(U29*V29)&lt;0),"---",IF(V29="0","---",((U29-V29)/ABS(V29)))))</f>
        <v>0.8995313711385966</v>
      </c>
      <c r="Z29" s="18">
        <f t="shared" si="7"/>
        <v>-2.4903732864109687</v>
      </c>
      <c r="AA29" s="26">
        <f t="shared" si="7"/>
        <v>-3.6196010003808485</v>
      </c>
      <c r="AB29" s="30">
        <f>IF(AA29=0,"---",IF(OR(ABS((Z29-AA29)/ABS(AA29))&gt;9,(Z29*AA29)&lt;0),"---",IF(AA29="0","---",((Z29-AA29)/ABS(AA29)))))</f>
        <v>0.31197574369414316</v>
      </c>
      <c r="AE29" s="18">
        <f>+[4]EBITDA!$Z$192</f>
        <v>-6.8550122410512691</v>
      </c>
      <c r="AF29" s="26">
        <f>+[4]EBITDA!$AI$192</f>
        <v>-10.375884780380385</v>
      </c>
      <c r="AG29" s="30">
        <f>IF(AF29=0,"---",IF(OR(ABS((AE29-AF29)/ABS(AF29))&gt;9,(AE29*AF29)&lt;0),"---",IF(AF29="0","---",((AE29-AF29)/ABS(AF29)))))</f>
        <v>0.33933227034157942</v>
      </c>
      <c r="AJ29" s="18">
        <f t="shared" si="10"/>
        <v>-5.1562426538823409</v>
      </c>
      <c r="AK29" s="26">
        <f t="shared" si="10"/>
        <v>6.5325731773009288</v>
      </c>
      <c r="AL29" s="30" t="str">
        <f>IF(AK29=0,"---",IF(OR(ABS((AJ29-AK29)/ABS(AK29))&gt;9,(AJ29*AK29)&lt;0),"---",IF(AK29="0","---",((AJ29-AK29)/ABS(AK29)))))</f>
        <v>---</v>
      </c>
      <c r="AN29" s="18">
        <f t="shared" si="30"/>
        <v>4.8338035901320016</v>
      </c>
      <c r="AO29" s="26">
        <f t="shared" si="31"/>
        <v>-6.0283194762861712</v>
      </c>
      <c r="AP29" s="30" t="str">
        <f>IF(AO29=0,"---",IF(OR(ABS((AN29-AO29)/ABS(AO29))&gt;9,(AN29*AO29)&lt;0),"---",IF(AO29="0","---",((AN29-AO29)/ABS(AO29)))))</f>
        <v>---</v>
      </c>
      <c r="AY29" s="26">
        <f>+[3]EBITDA!$AO$192</f>
        <v>1.8382838085749391</v>
      </c>
      <c r="AZ29" s="26">
        <f>+[2]EBITDA!$AU$192</f>
        <v>12.718422289970082</v>
      </c>
    </row>
    <row r="30" spans="4:52" s="2" customFormat="1" ht="17.25" customHeight="1">
      <c r="D30" s="19" t="str">
        <f>+IF($B$3="esp","PBS y Prisa Tecnología (incluye elim.)","PBS&amp;Prisa IT (includes interco.elim.)")</f>
        <v>PBS&amp;Prisa IT (includes interco.elim.)</v>
      </c>
      <c r="F30" s="18">
        <f>+F28-F29</f>
        <v>-0.20322998779345358</v>
      </c>
      <c r="G30" s="26">
        <f>+G28-G29</f>
        <v>-0.42352124510762756</v>
      </c>
      <c r="H30" s="30">
        <f>IF(G30=0,"---",IF(OR(ABS((F30-G30)/ABS(G30))&gt;9,(F30*G30)&lt;0),"---",IF(G30="0","---",((F30-G30)/ABS(G30)))))</f>
        <v>0.5201421649064909</v>
      </c>
      <c r="K30" s="18">
        <f>+K28-K29</f>
        <v>7.5632598804135753E-2</v>
      </c>
      <c r="L30" s="26">
        <f>+L28-L29</f>
        <v>-0.35020260978023643</v>
      </c>
      <c r="M30" s="30" t="str">
        <f>IF(L30=0,"---",IF(OR(ABS((K30-L30)/ABS(L30))&gt;9,(K30*L30)&lt;0),"---",IF(L30="0","---",((K30-L30)/ABS(L30)))))</f>
        <v>---</v>
      </c>
      <c r="P30" s="18">
        <f t="shared" si="4"/>
        <v>0.27886258659758933</v>
      </c>
      <c r="Q30" s="26">
        <f t="shared" si="4"/>
        <v>7.3318635327391135E-2</v>
      </c>
      <c r="R30" s="30">
        <f>IF(Q30=0,"---",IF(OR(ABS((P30-Q30)/ABS(Q30))&gt;9,(P30*Q30)&lt;0),"---",IF(Q30="0","---",((P30-Q30)/ABS(Q30)))))</f>
        <v>2.8034339476229855</v>
      </c>
      <c r="U30" s="18">
        <f>+U28-U29</f>
        <v>0.80114251369785494</v>
      </c>
      <c r="V30" s="26">
        <f>+V28-V29</f>
        <v>-7.2793417216846734E-2</v>
      </c>
      <c r="W30" s="30" t="str">
        <f>IF(V30=0,"---",IF(OR(ABS((U30-V30)/ABS(V30))&gt;9,(U30*V30)&lt;0),"---",IF(V30="0","---",((U30-V30)/ABS(V30)))))</f>
        <v>---</v>
      </c>
      <c r="Z30" s="18">
        <f t="shared" si="7"/>
        <v>0.72550991489371919</v>
      </c>
      <c r="AA30" s="26">
        <f t="shared" si="7"/>
        <v>0.27740919256338969</v>
      </c>
      <c r="AB30" s="30">
        <f>IF(AA30=0,"---",IF(OR(ABS((Z30-AA30)/ABS(AA30))&gt;9,(Z30*AA30)&lt;0),"---",IF(AA30="0","---",((Z30-AA30)/ABS(AA30)))))</f>
        <v>1.6153059608071054</v>
      </c>
      <c r="AE30" s="18">
        <f>+AE28-AE29</f>
        <v>0.82120044614636178</v>
      </c>
      <c r="AF30" s="26">
        <f>+AF28-AF29</f>
        <v>0.12733207144979808</v>
      </c>
      <c r="AG30" s="30">
        <f>IF(AF30=0,"---",IF(OR(ABS((AE30-AF30)/ABS(AF30))&gt;9,(AE30*AF30)&lt;0),"---",IF(AF30="0","---",((AE30-AF30)/ABS(AF30)))))</f>
        <v>5.4492820763551952</v>
      </c>
      <c r="AJ30" s="18">
        <f t="shared" si="10"/>
        <v>2.0057932448506843E-2</v>
      </c>
      <c r="AK30" s="26">
        <f t="shared" si="10"/>
        <v>0.20012548866664481</v>
      </c>
      <c r="AL30" s="30">
        <f>IF(AK30=0,"---",IF(OR(ABS((AJ30-AK30)/ABS(AK30))&gt;9,(AJ30*AK30)&lt;0),"---",IF(AK30="0","---",((AJ30-AK30)/ABS(AK30)))))</f>
        <v>-0.89977322437963936</v>
      </c>
      <c r="AN30" s="18">
        <f t="shared" si="30"/>
        <v>1.0012680023644998</v>
      </c>
      <c r="AO30" s="26">
        <f t="shared" si="31"/>
        <v>5.5396707866155914E-2</v>
      </c>
      <c r="AP30" s="30" t="str">
        <f>IF(AO30=0,"---",IF(OR(ABS((AN30-AO30)/ABS(AO30))&gt;9,(AN30*AO30)&lt;0),"---",IF(AO30="0","---",((AN30-AO30)/ABS(AO30)))))</f>
        <v>---</v>
      </c>
      <c r="AY30" s="26">
        <f>+AY28-AY29</f>
        <v>-0.71394396662109383</v>
      </c>
      <c r="AZ30" s="26">
        <f>+AZ28-AZ29</f>
        <v>-0.58575384153809118</v>
      </c>
    </row>
    <row r="31" spans="4:52" s="15" customFormat="1" ht="17.25" customHeight="1">
      <c r="D31" s="22" t="str">
        <f>+IF($B$3="esp","Margen EBITDA ","EBITDA Margin")</f>
        <v>EBITDA Margin</v>
      </c>
      <c r="F31" s="23">
        <f>+F24/F10</f>
        <v>-9.7086600475198154E-2</v>
      </c>
      <c r="G31" s="27">
        <f>+G24/G10</f>
        <v>-6.2393254544206161E-2</v>
      </c>
      <c r="H31" s="31">
        <f t="shared" si="2"/>
        <v>-0.55604321628087949</v>
      </c>
      <c r="K31" s="23">
        <f>+K24/K10</f>
        <v>-6.9870035356535947E-3</v>
      </c>
      <c r="L31" s="27">
        <f>+L24/L10</f>
        <v>-0.12616148598075877</v>
      </c>
      <c r="M31" s="31">
        <f t="shared" si="3"/>
        <v>0.94461856975337777</v>
      </c>
      <c r="P31" s="23">
        <f>+P24/P10</f>
        <v>6.3685344516854217E-2</v>
      </c>
      <c r="Q31" s="27">
        <f>+Q24/Q10</f>
        <v>-0.2102819652726827</v>
      </c>
      <c r="R31" s="31" t="str">
        <f t="shared" si="5"/>
        <v>---</v>
      </c>
      <c r="U31" s="23">
        <f>+U24/U10</f>
        <v>-7.1593862524414048E-4</v>
      </c>
      <c r="V31" s="27">
        <f>+V24/V10</f>
        <v>-0.10332768433287136</v>
      </c>
      <c r="W31" s="31">
        <f t="shared" ref="W31:W33" si="36">IF(V31=0,"---",IF(OR(ABS((U31-V31)/ABS(V31))&gt;9,(U31*V31)&lt;0),"---",IF(V31="0","---",((U31-V31)/ABS(V31)))))</f>
        <v>0.99307118290837004</v>
      </c>
      <c r="Z31" s="23">
        <f>+Z24/Z10</f>
        <v>1.1723897255527638E-2</v>
      </c>
      <c r="AA31" s="27">
        <f>+AA24/AA10</f>
        <v>-5.8022382319123135E-2</v>
      </c>
      <c r="AB31" s="31" t="str">
        <f t="shared" si="8"/>
        <v>---</v>
      </c>
      <c r="AE31" s="23">
        <f>+AE24/AE10</f>
        <v>2.5834423928129905E-2</v>
      </c>
      <c r="AF31" s="27">
        <f>+AF24/AF10</f>
        <v>-1.6002448483450345E-2</v>
      </c>
      <c r="AG31" s="31" t="str">
        <f t="shared" ref="AG31:AG33" si="37">IF(AF31=0,"---",IF(OR(ABS((AE31-AF31)/ABS(AF31))&gt;9,(AE31*AF31)&lt;0),"---",IF(AF31="0","---",((AE31-AF31)/ABS(AF31)))))</f>
        <v>---</v>
      </c>
      <c r="AJ31" s="23">
        <f>+AJ24/AJ10</f>
        <v>8.4176818300328776E-2</v>
      </c>
      <c r="AK31" s="27">
        <f>+AK24/AK10</f>
        <v>0.15972871201397498</v>
      </c>
      <c r="AL31" s="31">
        <f t="shared" si="11"/>
        <v>-0.47300133307927772</v>
      </c>
      <c r="AN31" s="23">
        <f>+AN24/AN10</f>
        <v>4.6995549751804477E-2</v>
      </c>
      <c r="AO31" s="27">
        <f>+AO24/AO10</f>
        <v>2.6514729694580932E-2</v>
      </c>
      <c r="AP31" s="31">
        <f t="shared" ref="AP31:AP33" si="38">IF(AO31=0,"---",IF(OR(ABS((AN31-AO31)/ABS(AO31))&gt;9,(AN31*AO31)&lt;0),"---",IF(AO31="0","---",((AN31-AO31)/ABS(AO31)))))</f>
        <v>0.77243178765685871</v>
      </c>
      <c r="AY31" s="27">
        <f>+AY24/AY10</f>
        <v>0.12717858833822054</v>
      </c>
      <c r="AZ31" s="27">
        <f>+AZ24/AZ10</f>
        <v>0.16133347159025863</v>
      </c>
    </row>
    <row r="32" spans="4:52" s="9" customFormat="1" ht="17.25" customHeight="1">
      <c r="D32" s="21" t="str">
        <f>+IF($B$3="esp","EBITDA sin indemnizaciones","EBITDA ex severance expenses")</f>
        <v>EBITDA ex severance expenses</v>
      </c>
      <c r="F32" s="16">
        <f>+'[1]EBITDA SIN INDEM'!$Z$177</f>
        <v>-4.7590224848634897</v>
      </c>
      <c r="G32" s="24">
        <f>+'[1]EBITDA SIN INDEM'!$AI$177</f>
        <v>-4.2626351804906513</v>
      </c>
      <c r="H32" s="28">
        <f t="shared" si="2"/>
        <v>-0.11645080645060074</v>
      </c>
      <c r="K32" s="16">
        <f>+'[2]EBITDA SIN INDEM'!$Z$177</f>
        <v>8.4601676185461461</v>
      </c>
      <c r="L32" s="24">
        <f>+'[2]EBITDA SIN INDEM'!$AI$177</f>
        <v>-17.137273298492364</v>
      </c>
      <c r="M32" s="28" t="str">
        <f t="shared" si="3"/>
        <v>---</v>
      </c>
      <c r="P32" s="16">
        <f t="shared" ref="P32:Q38" si="39">+K32-F32</f>
        <v>13.219190103409636</v>
      </c>
      <c r="Q32" s="24">
        <f t="shared" si="39"/>
        <v>-12.874638118001712</v>
      </c>
      <c r="R32" s="28" t="str">
        <f t="shared" si="5"/>
        <v>---</v>
      </c>
      <c r="U32" s="16">
        <f>+'[3]EBITDA SIN INDEM'!$Z$177</f>
        <v>14.83875463788277</v>
      </c>
      <c r="V32" s="24">
        <f>+'[3]EBITDA SIN INDEM'!$AI$177</f>
        <v>-21.130151913356457</v>
      </c>
      <c r="W32" s="28" t="str">
        <f t="shared" si="36"/>
        <v>---</v>
      </c>
      <c r="Z32" s="16">
        <f t="shared" ref="Z32:AA38" si="40">+U32-K32</f>
        <v>6.3785870193366243</v>
      </c>
      <c r="AA32" s="24">
        <f t="shared" si="40"/>
        <v>-3.9928786148640931</v>
      </c>
      <c r="AB32" s="28" t="str">
        <f t="shared" si="8"/>
        <v>---</v>
      </c>
      <c r="AE32" s="16">
        <f>+'[4]EBITDA SIN INDEM'!$Z$177</f>
        <v>41.861623649276368</v>
      </c>
      <c r="AF32" s="24">
        <f>+'[4]EBITDA SIN INDEM'!$AI$177</f>
        <v>-0.77382043717008486</v>
      </c>
      <c r="AG32" s="28" t="str">
        <f t="shared" si="37"/>
        <v>---</v>
      </c>
      <c r="AJ32" s="16">
        <f t="shared" ref="AJ32:AK38" si="41">+AE32-U32</f>
        <v>27.022869011393595</v>
      </c>
      <c r="AK32" s="24">
        <f t="shared" si="41"/>
        <v>20.356331476186373</v>
      </c>
      <c r="AL32" s="28">
        <f t="shared" si="11"/>
        <v>0.32749208977098831</v>
      </c>
      <c r="AN32" s="16">
        <f t="shared" ref="AN32:AN38" si="42">+U32+AF32-V32</f>
        <v>35.195086114069142</v>
      </c>
      <c r="AO32" s="24">
        <f t="shared" ref="AO32:AO38" si="43">+V32+AZ32-AY32</f>
        <v>12.382241727123649</v>
      </c>
      <c r="AP32" s="28">
        <f t="shared" si="38"/>
        <v>1.842384027843142</v>
      </c>
      <c r="AY32" s="24">
        <f>+'[3]EBITDA SIN INDEM'!$AO$177</f>
        <v>47.886503213520633</v>
      </c>
      <c r="AZ32" s="24">
        <f>+'[2]EBITDA SIN INDEM'!$AU$177</f>
        <v>81.398896854000739</v>
      </c>
    </row>
    <row r="33" spans="4:52" ht="17.25" customHeight="1">
      <c r="D33" s="20" t="s">
        <v>6</v>
      </c>
      <c r="F33" s="17">
        <f>+'[1]EBITDA SIN INDEM'!$Z$178</f>
        <v>-3.3255692219018642</v>
      </c>
      <c r="G33" s="25">
        <f>+'[1]EBITDA SIN INDEM'!$AI$178</f>
        <v>0.89070439190165562</v>
      </c>
      <c r="H33" s="29" t="str">
        <f t="shared" si="2"/>
        <v>---</v>
      </c>
      <c r="K33" s="17">
        <f>+'[2]EBITDA SIN INDEM'!$Z$178</f>
        <v>5.1545418504404443</v>
      </c>
      <c r="L33" s="25">
        <f>+'[2]EBITDA SIN INDEM'!$AI$178</f>
        <v>-4.8860160727546562</v>
      </c>
      <c r="M33" s="29" t="str">
        <f t="shared" si="3"/>
        <v>---</v>
      </c>
      <c r="P33" s="17">
        <f t="shared" si="39"/>
        <v>8.480111072342309</v>
      </c>
      <c r="Q33" s="25">
        <f t="shared" si="39"/>
        <v>-5.7767204646563117</v>
      </c>
      <c r="R33" s="29" t="str">
        <f t="shared" si="5"/>
        <v>---</v>
      </c>
      <c r="U33" s="17">
        <f>+'[3]EBITDA SIN INDEM'!$Z$178</f>
        <v>10.759316061294026</v>
      </c>
      <c r="V33" s="25">
        <f>+'[3]EBITDA SIN INDEM'!$AI$178</f>
        <v>-5.709391028921547</v>
      </c>
      <c r="W33" s="29" t="str">
        <f t="shared" si="36"/>
        <v>---</v>
      </c>
      <c r="Z33" s="17">
        <f t="shared" si="40"/>
        <v>5.6047742108535816</v>
      </c>
      <c r="AA33" s="25">
        <f t="shared" si="40"/>
        <v>-0.82337495616689083</v>
      </c>
      <c r="AB33" s="29" t="str">
        <f t="shared" si="8"/>
        <v>---</v>
      </c>
      <c r="AE33" s="17">
        <f>+'[4]EBITDA SIN INDEM'!$Z$178</f>
        <v>30.647282227504203</v>
      </c>
      <c r="AF33" s="25">
        <f>+'[4]EBITDA SIN INDEM'!$AI$178</f>
        <v>7.5692164007814737</v>
      </c>
      <c r="AG33" s="29">
        <f t="shared" si="37"/>
        <v>3.0489372485558826</v>
      </c>
      <c r="AJ33" s="17">
        <f t="shared" si="41"/>
        <v>19.887966166210177</v>
      </c>
      <c r="AK33" s="25">
        <f t="shared" si="41"/>
        <v>13.278607429703021</v>
      </c>
      <c r="AL33" s="29">
        <f t="shared" si="11"/>
        <v>0.4977448705745024</v>
      </c>
      <c r="AN33" s="17">
        <f t="shared" si="42"/>
        <v>24.037923490997049</v>
      </c>
      <c r="AO33" s="25">
        <f t="shared" si="43"/>
        <v>16.430686669124597</v>
      </c>
      <c r="AP33" s="29">
        <f t="shared" si="38"/>
        <v>0.462989586197115</v>
      </c>
      <c r="AY33" s="25">
        <f>+'[3]EBITDA SIN INDEM'!$AO$178</f>
        <v>43.974452313766747</v>
      </c>
      <c r="AZ33" s="25">
        <f>+'[2]EBITDA SIN INDEM'!$AU$178</f>
        <v>66.114530011812889</v>
      </c>
    </row>
    <row r="34" spans="4:52" ht="17.25" customHeight="1">
      <c r="D34" s="19" t="str">
        <f>+IF($B$3="esp","España","Spain")</f>
        <v>Spain</v>
      </c>
      <c r="F34" s="18">
        <f>+'[1]EBITDA SIN INDEM'!$Z$179</f>
        <v>-2.5359095199999655</v>
      </c>
      <c r="G34" s="26">
        <f>+'[1]EBITDA SIN INDEM'!$AI$179</f>
        <v>1.5343508300000226</v>
      </c>
      <c r="H34" s="30" t="str">
        <f>IF(G34=0,"---",IF(OR(ABS((F34-G34)/ABS(G34))&gt;9,(F34*G34)&lt;0),"---",IF(G34="0","---",((F34-G34)/ABS(G34)))))</f>
        <v>---</v>
      </c>
      <c r="K34" s="18">
        <f>+'[2]EBITDA SIN INDEM'!$Z$179</f>
        <v>4.2773922999999918</v>
      </c>
      <c r="L34" s="26">
        <f>+'[2]EBITDA SIN INDEM'!$AI$179</f>
        <v>-1.2498838300000092</v>
      </c>
      <c r="M34" s="30" t="str">
        <f>IF(L34=0,"---",IF(OR(ABS((K34-L34)/ABS(L34))&gt;9,(K34*L34)&lt;0),"---",IF(L34="0","---",((K34-L34)/ABS(L34)))))</f>
        <v>---</v>
      </c>
      <c r="P34" s="18">
        <f t="shared" si="39"/>
        <v>6.8133018199999569</v>
      </c>
      <c r="Q34" s="26">
        <f t="shared" si="39"/>
        <v>-2.7842346600000321</v>
      </c>
      <c r="R34" s="30" t="str">
        <f>IF(Q34=0,"---",IF(OR(ABS((P34-Q34)/ABS(Q34))&gt;9,(P34*Q34)&lt;0),"---",IF(Q34="0","---",((P34-Q34)/ABS(Q34)))))</f>
        <v>---</v>
      </c>
      <c r="U34" s="18">
        <f>+'[3]EBITDA SIN INDEM'!$Z$179</f>
        <v>5.7930345299999475</v>
      </c>
      <c r="V34" s="26">
        <f>+'[3]EBITDA SIN INDEM'!$AI$179</f>
        <v>-1.1209903599999476</v>
      </c>
      <c r="W34" s="30" t="str">
        <f>IF(V34=0,"---",IF(OR(ABS((U34-V34)/ABS(V34))&gt;9,(U34*V34)&lt;0),"---",IF(V34="0","---",((U34-V34)/ABS(V34)))))</f>
        <v>---</v>
      </c>
      <c r="Z34" s="18">
        <f t="shared" si="40"/>
        <v>1.5156422299999557</v>
      </c>
      <c r="AA34" s="26">
        <f t="shared" si="40"/>
        <v>0.12889347000006168</v>
      </c>
      <c r="AB34" s="30" t="str">
        <f>IF(AA34=0,"---",IF(OR(ABS((Z34-AA34)/ABS(AA34))&gt;9,(Z34*AA34)&lt;0),"---",IF(AA34="0","---",((Z34-AA34)/ABS(AA34)))))</f>
        <v>---</v>
      </c>
      <c r="AE34" s="18">
        <f>+'[4]EBITDA SIN INDEM'!$Z$179</f>
        <v>18.162204210000084</v>
      </c>
      <c r="AF34" s="26">
        <f>+'[4]EBITDA SIN INDEM'!$AI$179</f>
        <v>8.6220625400000159</v>
      </c>
      <c r="AG34" s="30">
        <f>IF(AF34=0,"---",IF(OR(ABS((AE34-AF34)/ABS(AF34))&gt;9,(AE34*AF34)&lt;0),"---",IF(AF34="0","---",((AE34-AF34)/ABS(AF34)))))</f>
        <v>1.1064802216106462</v>
      </c>
      <c r="AJ34" s="18">
        <f t="shared" si="41"/>
        <v>12.369169680000137</v>
      </c>
      <c r="AK34" s="26">
        <f t="shared" si="41"/>
        <v>9.743052899999963</v>
      </c>
      <c r="AL34" s="30">
        <f>IF(AK34=0,"---",IF(OR(ABS((AJ34-AK34)/ABS(AK34))&gt;9,(AJ34*AK34)&lt;0),"---",IF(AK34="0","---",((AJ34-AK34)/ABS(AK34)))))</f>
        <v>0.26953736236002418</v>
      </c>
      <c r="AN34" s="18">
        <f t="shared" si="42"/>
        <v>15.53608742999991</v>
      </c>
      <c r="AO34" s="26">
        <f t="shared" si="43"/>
        <v>14.441590139999867</v>
      </c>
      <c r="AP34" s="30">
        <f>IF(AO34=0,"---",IF(OR(ABS((AN34-AO34)/ABS(AO34))&gt;9,(AN34*AO34)&lt;0),"---",IF(AO34="0","---",((AN34-AO34)/ABS(AO34)))))</f>
        <v>7.5787865421311024E-2</v>
      </c>
      <c r="AY34" s="26">
        <f>+'[3]EBITDA SIN INDEM'!$AO$179</f>
        <v>26.793239570000061</v>
      </c>
      <c r="AZ34" s="26">
        <f>+'[2]EBITDA SIN INDEM'!$AU$179</f>
        <v>42.355820069999879</v>
      </c>
    </row>
    <row r="35" spans="4:52" ht="17.25" customHeight="1">
      <c r="D35" s="19" t="str">
        <f>+IF($B$3="esp","Latam","Latam")</f>
        <v>Latam</v>
      </c>
      <c r="F35" s="18">
        <f>+'[1]EBITDA SIN INDEM'!$Z$182</f>
        <v>-0.8393557376998636</v>
      </c>
      <c r="G35" s="26">
        <f>+'[1]EBITDA SIN INDEM'!$AI$182</f>
        <v>-0.98897990809837677</v>
      </c>
      <c r="H35" s="30">
        <f>IF(G35=0,"---",IF(OR(ABS((F35-G35)/ABS(G35))&gt;9,(F35*G35)&lt;0),"---",IF(G35="0","---",((F35-G35)/ABS(G35)))))</f>
        <v>0.15129141570349233</v>
      </c>
      <c r="K35" s="18">
        <f>+'[2]EBITDA SIN INDEM'!$Z$182</f>
        <v>1.0297096746426413</v>
      </c>
      <c r="L35" s="26">
        <f>+'[2]EBITDA SIN INDEM'!$AI$182</f>
        <v>-3.977006702754581</v>
      </c>
      <c r="M35" s="30" t="str">
        <f>IF(L35=0,"---",IF(OR(ABS((K35-L35)/ABS(L35))&gt;9,(K35*L35)&lt;0),"---",IF(L35="0","---",((K35-L35)/ABS(L35)))))</f>
        <v>---</v>
      </c>
      <c r="P35" s="18">
        <f t="shared" si="39"/>
        <v>1.869065412342505</v>
      </c>
      <c r="Q35" s="26">
        <f t="shared" si="39"/>
        <v>-2.9880267946562045</v>
      </c>
      <c r="R35" s="30" t="str">
        <f>IF(Q35=0,"---",IF(OR(ABS((P35-Q35)/ABS(Q35))&gt;9,(P35*Q35)&lt;0),"---",IF(Q35="0","---",((P35-Q35)/ABS(Q35)))))</f>
        <v>---</v>
      </c>
      <c r="U35" s="18">
        <f>+'[3]EBITDA SIN INDEM'!$Z$182</f>
        <v>5.2329092054962869</v>
      </c>
      <c r="V35" s="26">
        <f>+'[3]EBITDA SIN INDEM'!$AI$182</f>
        <v>-4.92801309892163</v>
      </c>
      <c r="W35" s="30" t="str">
        <f>IF(V35=0,"---",IF(OR(ABS((U35-V35)/ABS(V35))&gt;9,(U35*V35)&lt;0),"---",IF(V35="0","---",((U35-V35)/ABS(V35)))))</f>
        <v>---</v>
      </c>
      <c r="Z35" s="18">
        <f t="shared" si="40"/>
        <v>4.2031995308536452</v>
      </c>
      <c r="AA35" s="26">
        <f t="shared" si="40"/>
        <v>-0.95100639616704896</v>
      </c>
      <c r="AB35" s="30" t="str">
        <f>IF(AA35=0,"---",IF(OR(ABS((Z35-AA35)/ABS(AA35))&gt;9,(Z35*AA35)&lt;0),"---",IF(AA35="0","---",((Z35-AA35)/ABS(AA35)))))</f>
        <v>---</v>
      </c>
      <c r="AE35" s="18">
        <f>+'[4]EBITDA SIN INDEM'!$Z$182</f>
        <v>12.918605141706058</v>
      </c>
      <c r="AF35" s="26">
        <f>+'[4]EBITDA SIN INDEM'!$AI$182</f>
        <v>-1.3722789092186152</v>
      </c>
      <c r="AG35" s="30" t="str">
        <f>IF(AF35=0,"---",IF(OR(ABS((AE35-AF35)/ABS(AF35))&gt;9,(AE35*AF35)&lt;0),"---",IF(AF35="0","---",((AE35-AF35)/ABS(AF35)))))</f>
        <v>---</v>
      </c>
      <c r="AJ35" s="18">
        <f t="shared" si="41"/>
        <v>7.685695936209771</v>
      </c>
      <c r="AK35" s="26">
        <f t="shared" si="41"/>
        <v>3.5557341897030148</v>
      </c>
      <c r="AL35" s="30">
        <f>IF(AK35=0,"---",IF(OR(ABS((AJ35-AK35)/ABS(AK35))&gt;9,(AJ35*AK35)&lt;0),"---",IF(AK35="0","---",((AJ35-AK35)/ABS(AK35)))))</f>
        <v>1.1614933867853894</v>
      </c>
      <c r="AN35" s="18">
        <f t="shared" si="42"/>
        <v>8.7886433951993013</v>
      </c>
      <c r="AO35" s="26">
        <f t="shared" si="43"/>
        <v>1.7550213491242452</v>
      </c>
      <c r="AP35" s="30">
        <f>IF(AO35=0,"---",IF(OR(ABS((AN35-AO35)/ABS(AO35))&gt;9,(AN35*AO35)&lt;0),"---",IF(AO35="0","---",((AN35-AO35)/ABS(AO35)))))</f>
        <v>4.0077130968149364</v>
      </c>
      <c r="AY35" s="26">
        <f>+'[3]EBITDA SIN INDEM'!$AO$182</f>
        <v>17.314555873766754</v>
      </c>
      <c r="AZ35" s="26">
        <f>+'[2]EBITDA SIN INDEM'!$AU$182</f>
        <v>23.997590321812631</v>
      </c>
    </row>
    <row r="36" spans="4:52" ht="17.25" customHeight="1">
      <c r="D36" s="20" t="s">
        <v>7</v>
      </c>
      <c r="F36" s="17">
        <f>+'[1]EBITDA SIN INDEM'!$Z$191</f>
        <v>-1.1838094929616128</v>
      </c>
      <c r="G36" s="25">
        <f>+'[1]EBITDA SIN INDEM'!$AI$191</f>
        <v>-5.1533395723923316</v>
      </c>
      <c r="H36" s="29">
        <f t="shared" si="2"/>
        <v>0.77028304144683912</v>
      </c>
      <c r="K36" s="17">
        <f>+'[2]EBITDA SIN INDEM'!$Z$191</f>
        <v>3.7363065981058163</v>
      </c>
      <c r="L36" s="25">
        <f>+'[2]EBITDA SIN INDEM'!$AI$191</f>
        <v>-12.251257225737712</v>
      </c>
      <c r="M36" s="29" t="str">
        <f t="shared" si="3"/>
        <v>---</v>
      </c>
      <c r="P36" s="17">
        <f t="shared" si="39"/>
        <v>4.9201160910674293</v>
      </c>
      <c r="Q36" s="25">
        <f t="shared" si="39"/>
        <v>-7.0979176533453803</v>
      </c>
      <c r="R36" s="29" t="str">
        <f t="shared" si="5"/>
        <v>---</v>
      </c>
      <c r="U36" s="17">
        <f>+'[3]EBITDA SIN INDEM'!$Z$191</f>
        <v>5.0185359465885657</v>
      </c>
      <c r="V36" s="25">
        <f>+'[3]EBITDA SIN INDEM'!$AI$191</f>
        <v>-15.420760884434904</v>
      </c>
      <c r="W36" s="29" t="str">
        <f t="shared" ref="W36" si="44">IF(V36=0,"---",IF(OR(ABS((U36-V36)/ABS(V36))&gt;9,(U36*V36)&lt;0),"---",IF(V36="0","---",((U36-V36)/ABS(V36)))))</f>
        <v>---</v>
      </c>
      <c r="Z36" s="17">
        <f t="shared" si="40"/>
        <v>1.2822293484827494</v>
      </c>
      <c r="AA36" s="25">
        <f t="shared" si="40"/>
        <v>-3.1695036586971916</v>
      </c>
      <c r="AB36" s="29" t="str">
        <f t="shared" si="8"/>
        <v>---</v>
      </c>
      <c r="AE36" s="17">
        <f>+'[4]EBITDA SIN INDEM'!$Z$191</f>
        <v>12.680749771771643</v>
      </c>
      <c r="AF36" s="25">
        <f>+'[4]EBITDA SIN INDEM'!$AI$191</f>
        <v>-8.3430368379516278</v>
      </c>
      <c r="AG36" s="29" t="str">
        <f t="shared" ref="AG36" si="45">IF(AF36=0,"---",IF(OR(ABS((AE36-AF36)/ABS(AF36))&gt;9,(AE36*AF36)&lt;0),"---",IF(AF36="0","---",((AE36-AF36)/ABS(AF36)))))</f>
        <v>---</v>
      </c>
      <c r="AJ36" s="17">
        <f t="shared" si="41"/>
        <v>7.6622138251830769</v>
      </c>
      <c r="AK36" s="25">
        <f t="shared" si="41"/>
        <v>7.0777240464832758</v>
      </c>
      <c r="AL36" s="29">
        <f t="shared" si="11"/>
        <v>8.2581600364910787E-2</v>
      </c>
      <c r="AN36" s="17">
        <f t="shared" si="42"/>
        <v>12.096259993071842</v>
      </c>
      <c r="AO36" s="25">
        <f t="shared" si="43"/>
        <v>-4.0484449420006774</v>
      </c>
      <c r="AP36" s="29" t="str">
        <f t="shared" ref="AP36" si="46">IF(AO36=0,"---",IF(OR(ABS((AN36-AO36)/ABS(AO36))&gt;9,(AN36*AO36)&lt;0),"---",IF(AO36="0","---",((AN36-AO36)/ABS(AO36)))))</f>
        <v>---</v>
      </c>
      <c r="AY36" s="25">
        <f>+'[3]EBITDA SIN INDEM'!$AO$191</f>
        <v>3.9120508997538268</v>
      </c>
      <c r="AZ36" s="25">
        <f>+'[2]EBITDA SIN INDEM'!$AU$191</f>
        <v>15.284366842188053</v>
      </c>
    </row>
    <row r="37" spans="4:52" ht="17.25" customHeight="1">
      <c r="D37" s="19" t="str">
        <f>+IF($B$3="esp","Prensa","Press")</f>
        <v>Press</v>
      </c>
      <c r="F37" s="18">
        <f>+'[1]EBITDA SIN INDEM'!$Z$192</f>
        <v>-1.3012549314623225</v>
      </c>
      <c r="G37" s="26">
        <f>+'[1]EBITDA SIN INDEM'!$AI$192</f>
        <v>-4.729818327284705</v>
      </c>
      <c r="H37" s="30">
        <f>IF(G37=0,"---",IF(OR(ABS((F37-G37)/ABS(G37))&gt;9,(F37*G37)&lt;0),"---",IF(G37="0","---",((F37-G37)/ABS(G37)))))</f>
        <v>0.72488268228912145</v>
      </c>
      <c r="K37" s="18">
        <f>+'[2]EBITDA SIN INDEM'!$Z$192</f>
        <v>3.3154421079862959</v>
      </c>
      <c r="L37" s="26">
        <f>+'[2]EBITDA SIN INDEM'!$AI$192</f>
        <v>-11.939054615957478</v>
      </c>
      <c r="M37" s="30" t="str">
        <f>IF(L37=0,"---",IF(OR(ABS((K37-L37)/ABS(L37))&gt;9,(K37*L37)&lt;0),"---",IF(L37="0","---",((K37-L37)/ABS(L37)))))</f>
        <v>---</v>
      </c>
      <c r="P37" s="18">
        <f t="shared" si="39"/>
        <v>4.6166970394486189</v>
      </c>
      <c r="Q37" s="26">
        <f t="shared" si="39"/>
        <v>-7.2092362886727726</v>
      </c>
      <c r="R37" s="30" t="str">
        <f>IF(Q37=0,"---",IF(OR(ABS((P37-Q37)/ABS(Q37))&gt;9,(P37*Q37)&lt;0),"---",IF(Q37="0","---",((P37-Q37)/ABS(Q37)))))</f>
        <v>---</v>
      </c>
      <c r="U37" s="18">
        <f>+'[3]EBITDA SIN INDEM'!$Z$192</f>
        <v>3.2318193515753277</v>
      </c>
      <c r="V37" s="26">
        <f>+'[3]EBITDA SIN INDEM'!$AI$192</f>
        <v>-15.408371266338325</v>
      </c>
      <c r="W37" s="30" t="str">
        <f>IF(V37=0,"---",IF(OR(ABS((U37-V37)/ABS(V37))&gt;9,(U37*V37)&lt;0),"---",IF(V37="0","---",((U37-V37)/ABS(V37)))))</f>
        <v>---</v>
      </c>
      <c r="Z37" s="18">
        <f t="shared" si="40"/>
        <v>-8.3622756410968169E-2</v>
      </c>
      <c r="AA37" s="26">
        <f t="shared" si="40"/>
        <v>-3.469316650380847</v>
      </c>
      <c r="AB37" s="30">
        <f>IF(AA37=0,"---",IF(OR(ABS((Z37-AA37)/ABS(AA37))&gt;9,(Z37*AA37)&lt;0),"---",IF(AA37="0","---",((Z37-AA37)/ABS(AA37)))))</f>
        <v>0.97589647621188214</v>
      </c>
      <c r="AE37" s="18">
        <f>+'[4]EBITDA SIN INDEM'!$Z$192</f>
        <v>9.9388464080226626</v>
      </c>
      <c r="AF37" s="26">
        <f>+'[4]EBITDA SIN INDEM'!$AI$192</f>
        <v>-8.5307727085216936</v>
      </c>
      <c r="AG37" s="30" t="str">
        <f>IF(AF37=0,"---",IF(OR(ABS((AE37-AF37)/ABS(AF37))&gt;9,(AE37*AF37)&lt;0),"---",IF(AF37="0","---",((AE37-AF37)/ABS(AF37)))))</f>
        <v>---</v>
      </c>
      <c r="AJ37" s="18">
        <f t="shared" si="41"/>
        <v>6.7070270564473349</v>
      </c>
      <c r="AK37" s="26">
        <f t="shared" si="41"/>
        <v>6.877598557816631</v>
      </c>
      <c r="AL37" s="30">
        <f>IF(AK37=0,"---",IF(OR(ABS((AJ37-AK37)/ABS(AK37))&gt;9,(AJ37*AK37)&lt;0),"---",IF(AK37="0","---",((AJ37-AK37)/ABS(AK37)))))</f>
        <v>-2.4801026104589317E-2</v>
      </c>
      <c r="AN37" s="18">
        <f t="shared" si="42"/>
        <v>10.109417909391958</v>
      </c>
      <c r="AO37" s="26">
        <f t="shared" si="43"/>
        <v>-4.1807961049431812</v>
      </c>
      <c r="AP37" s="30" t="str">
        <f>IF(AO37=0,"---",IF(OR(ABS((AN37-AO37)/ABS(AO37))&gt;9,(AN37*AO37)&lt;0),"---",IF(AO37="0","---",((AN37-AO37)/ABS(AO37)))))</f>
        <v>---</v>
      </c>
      <c r="AY37" s="26">
        <f>+'[3]EBITDA SIN INDEM'!$AO$192</f>
        <v>4.155733864348746</v>
      </c>
      <c r="AZ37" s="26">
        <f>+'[2]EBITDA SIN INDEM'!$AU$192</f>
        <v>15.383309025743889</v>
      </c>
    </row>
    <row r="38" spans="4:52" ht="17.25" customHeight="1">
      <c r="D38" s="19" t="str">
        <f>+IF($B$3="esp","PBS y Prisa Tecnología (incluye elim.)","PBS&amp;Prisa IT (includes interco.elim.)")</f>
        <v>PBS&amp;Prisa IT (includes interco.elim.)</v>
      </c>
      <c r="F38" s="18">
        <f>+F36-F37</f>
        <v>0.11744543850070976</v>
      </c>
      <c r="G38" s="26">
        <f>+G36-G37</f>
        <v>-0.42352124510762668</v>
      </c>
      <c r="H38" s="30" t="str">
        <f>IF(G38=0,"---",IF(OR(ABS((F38-G38)/ABS(G38))&gt;9,(F38*G38)&lt;0),"---",IF(G38="0","---",((F38-G38)/ABS(G38)))))</f>
        <v>---</v>
      </c>
      <c r="K38" s="18">
        <f>+K36-K37</f>
        <v>0.42086449011952043</v>
      </c>
      <c r="L38" s="26">
        <f>+L36-L37</f>
        <v>-0.3122026097802344</v>
      </c>
      <c r="M38" s="30" t="str">
        <f>IF(L38=0,"---",IF(OR(ABS((K38-L38)/ABS(L38))&gt;9,(K38*L38)&lt;0),"---",IF(L38="0","---",((K38-L38)/ABS(L38)))))</f>
        <v>---</v>
      </c>
      <c r="P38" s="18">
        <f t="shared" si="39"/>
        <v>0.30341905161881066</v>
      </c>
      <c r="Q38" s="26">
        <f t="shared" si="39"/>
        <v>0.11131863532739228</v>
      </c>
      <c r="R38" s="30">
        <f>IF(Q38=0,"---",IF(OR(ABS((P38-Q38)/ABS(Q38))&gt;9,(P38*Q38)&lt;0),"---",IF(Q38="0","---",((P38-Q38)/ABS(Q38)))))</f>
        <v>1.7256806618805904</v>
      </c>
      <c r="U38" s="18">
        <f>+U36-U37</f>
        <v>1.786716595013238</v>
      </c>
      <c r="V38" s="26">
        <f>+V36-V37</f>
        <v>-1.2389618096579014E-2</v>
      </c>
      <c r="W38" s="30" t="str">
        <f>IF(V38=0,"---",IF(OR(ABS((U38-V38)/ABS(V38))&gt;9,(U38*V38)&lt;0),"---",IF(V38="0","---",((U38-V38)/ABS(V38)))))</f>
        <v>---</v>
      </c>
      <c r="Z38" s="18">
        <f t="shared" si="40"/>
        <v>1.3658521048937176</v>
      </c>
      <c r="AA38" s="26">
        <f t="shared" si="40"/>
        <v>0.29981299168365538</v>
      </c>
      <c r="AB38" s="30">
        <f>IF(AA38=0,"---",IF(OR(ABS((Z38-AA38)/ABS(AA38))&gt;9,(Z38*AA38)&lt;0),"---",IF(AA38="0","---",((Z38-AA38)/ABS(AA38)))))</f>
        <v>3.5556801832486382</v>
      </c>
      <c r="AE38" s="18">
        <f>+AE36-AE37</f>
        <v>2.74190336374898</v>
      </c>
      <c r="AF38" s="26">
        <f>+AF36-AF37</f>
        <v>0.1877358705700658</v>
      </c>
      <c r="AG38" s="30" t="str">
        <f>IF(AF38=0,"---",IF(OR(ABS((AE38-AF38)/ABS(AF38))&gt;9,(AE38*AF38)&lt;0),"---",IF(AF38="0","---",((AE38-AF38)/ABS(AF38)))))</f>
        <v>---</v>
      </c>
      <c r="AJ38" s="18">
        <f t="shared" si="41"/>
        <v>0.95518676873574204</v>
      </c>
      <c r="AK38" s="26">
        <f t="shared" si="41"/>
        <v>0.20012548866664481</v>
      </c>
      <c r="AL38" s="30">
        <f>IF(AK38=0,"---",IF(OR(ABS((AJ38-AK38)/ABS(AK38))&gt;9,(AJ38*AK38)&lt;0),"---",IF(AK38="0","---",((AJ38-AK38)/ABS(AK38)))))</f>
        <v>3.7729390948637533</v>
      </c>
      <c r="AN38" s="18">
        <f t="shared" si="42"/>
        <v>1.9868420836798828</v>
      </c>
      <c r="AO38" s="26">
        <f t="shared" si="43"/>
        <v>0.13235116294250382</v>
      </c>
      <c r="AP38" s="30" t="str">
        <f>IF(AO38=0,"---",IF(OR(ABS((AN38-AO38)/ABS(AO38))&gt;9,(AN38*AO38)&lt;0),"---",IF(AO38="0","---",((AN38-AO38)/ABS(AO38)))))</f>
        <v>---</v>
      </c>
      <c r="AY38" s="26">
        <f>+AY36-AY37</f>
        <v>-0.24368296459491923</v>
      </c>
      <c r="AZ38" s="26">
        <f>+AZ36-AZ37</f>
        <v>-9.8942183555836394E-2</v>
      </c>
    </row>
    <row r="39" spans="4:52" s="15" customFormat="1" ht="17.25" customHeight="1">
      <c r="D39" s="22" t="str">
        <f>+IF($B$3="esp","Margen EBITDA sin indemnizaciones ","EBITDA ex severance expenses Margin")</f>
        <v>EBITDA ex severance expenses Margin</v>
      </c>
      <c r="F39" s="23">
        <f>+F32/F10</f>
        <v>-6.1809737917429143E-2</v>
      </c>
      <c r="G39" s="27">
        <f>+G32/G10</f>
        <v>-5.0231587747972158E-2</v>
      </c>
      <c r="H39" s="31">
        <f t="shared" si="2"/>
        <v>-0.23049540515319256</v>
      </c>
      <c r="K39" s="23">
        <f>+K32/K10</f>
        <v>4.8301138550207186E-2</v>
      </c>
      <c r="L39" s="27">
        <f>+L32/L10</f>
        <v>-0.11487014763514103</v>
      </c>
      <c r="M39" s="31" t="str">
        <f t="shared" si="3"/>
        <v>---</v>
      </c>
      <c r="P39" s="23">
        <f>+P32/P10</f>
        <v>0.13466993985915146</v>
      </c>
      <c r="Q39" s="27">
        <f>+Q32/Q10</f>
        <v>-0.20013872912086789</v>
      </c>
      <c r="R39" s="31" t="str">
        <f t="shared" si="5"/>
        <v>---</v>
      </c>
      <c r="U39" s="23">
        <f>+U32/U10</f>
        <v>5.6324300746747179E-2</v>
      </c>
      <c r="V39" s="27">
        <f>+V32/V10</f>
        <v>-9.4171760489569406E-2</v>
      </c>
      <c r="W39" s="31" t="str">
        <f t="shared" ref="W39:W41" si="47">IF(V39=0,"---",IF(OR(ABS((U39-V39)/ABS(V39))&gt;9,(U39*V39)&lt;0),"---",IF(V39="0","---",((U39-V39)/ABS(V39)))))</f>
        <v>---</v>
      </c>
      <c r="Z39" s="23">
        <f>+Z32/Z10</f>
        <v>7.2239750896864213E-2</v>
      </c>
      <c r="AA39" s="27">
        <f>+AA32/AA10</f>
        <v>-5.3103405106252534E-2</v>
      </c>
      <c r="AB39" s="31" t="str">
        <f t="shared" si="8"/>
        <v>---</v>
      </c>
      <c r="AE39" s="23">
        <f>+AE32/AE10</f>
        <v>0.10920135691327022</v>
      </c>
      <c r="AF39" s="27">
        <f>+AF32/AF10</f>
        <v>-2.3038710964329765E-3</v>
      </c>
      <c r="AG39" s="31" t="str">
        <f t="shared" ref="AG39:AG41" si="48">IF(AF39=0,"---",IF(OR(ABS((AE39-AF39)/ABS(AF39))&gt;9,(AE39*AF39)&lt;0),"---",IF(AF39="0","---",((AE39-AF39)/ABS(AF39)))))</f>
        <v>---</v>
      </c>
      <c r="AJ39" s="23">
        <f>+AJ32/AJ10</f>
        <v>0.22539465024048908</v>
      </c>
      <c r="AK39" s="27">
        <f>+AK32/AK10</f>
        <v>0.18256881385506166</v>
      </c>
      <c r="AL39" s="31">
        <f t="shared" si="11"/>
        <v>0.23457366831241033</v>
      </c>
      <c r="AN39" s="23">
        <f>+AN32/AN10</f>
        <v>9.3865680879000504E-2</v>
      </c>
      <c r="AO39" s="27">
        <f>+AO32/AO10</f>
        <v>3.4886836298732855E-2</v>
      </c>
      <c r="AP39" s="31">
        <f t="shared" ref="AP39:AP41" si="49">IF(AO39=0,"---",IF(OR(ABS((AN39-AO39)/ABS(AO39))&gt;9,(AN39*AO39)&lt;0),"---",IF(AO39="0","---",((AN39-AO39)/ABS(AO39)))))</f>
        <v>1.6905758973166005</v>
      </c>
      <c r="AY39" s="27">
        <f>+AY32/AY10</f>
        <v>0.14180681928105499</v>
      </c>
      <c r="AZ39" s="27">
        <f>+AZ32/AZ10</f>
        <v>0.17384184855585944</v>
      </c>
    </row>
    <row r="40" spans="4:52" s="9" customFormat="1" ht="17.25" customHeight="1">
      <c r="D40" s="21" t="str">
        <f>+IF($B$3="esp","EBIT Contable","Reported EBIT")</f>
        <v>Reported EBIT</v>
      </c>
      <c r="F40" s="16">
        <f>+[1]EBIT!$Z$177</f>
        <v>-13.734996033696341</v>
      </c>
      <c r="G40" s="24">
        <f>+[1]EBIT!$AI$177</f>
        <v>-12.501998686527141</v>
      </c>
      <c r="H40" s="28">
        <f t="shared" si="2"/>
        <v>-9.862401829380664E-2</v>
      </c>
      <c r="K40" s="16">
        <f>+[2]EBIT!$Z$177</f>
        <v>-13.695355660416233</v>
      </c>
      <c r="L40" s="24">
        <f>+[2]EBIT!$AI$177</f>
        <v>-53.993538359779912</v>
      </c>
      <c r="M40" s="28">
        <f t="shared" si="3"/>
        <v>0.74635195105831442</v>
      </c>
      <c r="P40" s="16">
        <f t="shared" ref="P40:Q46" si="50">+K40-F40</f>
        <v>3.964037328010761E-2</v>
      </c>
      <c r="Q40" s="24">
        <f t="shared" si="50"/>
        <v>-41.491539673252774</v>
      </c>
      <c r="R40" s="28" t="str">
        <f t="shared" si="5"/>
        <v>---</v>
      </c>
      <c r="U40" s="16">
        <f>+[3]EBIT!$Z$177</f>
        <v>-18.466094931104614</v>
      </c>
      <c r="V40" s="24">
        <f>+[3]EBIT!$AI$177</f>
        <v>-65.251344931951905</v>
      </c>
      <c r="W40" s="28">
        <f t="shared" si="47"/>
        <v>0.71700054687972814</v>
      </c>
      <c r="Z40" s="16">
        <f t="shared" ref="Z40:AA46" si="51">+U40-K40</f>
        <v>-4.7707392706883809</v>
      </c>
      <c r="AA40" s="24">
        <f t="shared" si="51"/>
        <v>-11.257806572171994</v>
      </c>
      <c r="AB40" s="28">
        <f t="shared" si="8"/>
        <v>0.57622834962530789</v>
      </c>
      <c r="AE40" s="16">
        <f>+[4]EBIT!$Z$177</f>
        <v>-28.928229244257185</v>
      </c>
      <c r="AF40" s="24">
        <f>+[4]EBIT!$AI$177</f>
        <v>-54.101963586562654</v>
      </c>
      <c r="AG40" s="28">
        <f t="shared" si="48"/>
        <v>0.46530167619568413</v>
      </c>
      <c r="AJ40" s="16">
        <f t="shared" ref="AJ40:AK46" si="52">+AE40-U40</f>
        <v>-10.462134313152571</v>
      </c>
      <c r="AK40" s="24">
        <f t="shared" si="52"/>
        <v>11.149381345389251</v>
      </c>
      <c r="AL40" s="28" t="str">
        <f t="shared" si="11"/>
        <v>---</v>
      </c>
      <c r="AN40" s="16">
        <f t="shared" ref="AN40:AN46" si="53">+U40+AF40-V40</f>
        <v>-7.3167135857153625</v>
      </c>
      <c r="AO40" s="24">
        <f t="shared" ref="AO40:AO46" si="54">+V40+AZ40-AY40</f>
        <v>-43.761117568875832</v>
      </c>
      <c r="AP40" s="28">
        <f t="shared" si="49"/>
        <v>0.83280331965472432</v>
      </c>
      <c r="AY40" s="24">
        <f>+[3]EBIT!$AO$177</f>
        <v>22.176486613825997</v>
      </c>
      <c r="AZ40" s="24">
        <f>+[2]EBIT!$AU$177</f>
        <v>43.666713976902066</v>
      </c>
    </row>
    <row r="41" spans="4:52" ht="17.25" customHeight="1">
      <c r="D41" s="20" t="s">
        <v>6</v>
      </c>
      <c r="F41" s="17">
        <f>+[1]EBIT!$Z$178</f>
        <v>-8.3586836392392563</v>
      </c>
      <c r="G41" s="25">
        <f>+[1]EBIT!$AI$178</f>
        <v>-4.0749751270621779</v>
      </c>
      <c r="H41" s="29">
        <f t="shared" si="2"/>
        <v>-1.0512232292483672</v>
      </c>
      <c r="K41" s="17">
        <f>+[2]EBIT!$Z$178</f>
        <v>-9.519889202251985</v>
      </c>
      <c r="L41" s="25">
        <f>+[2]EBIT!$AI$178</f>
        <v>-33.808912967646762</v>
      </c>
      <c r="M41" s="29">
        <f t="shared" si="3"/>
        <v>0.71842072499160248</v>
      </c>
      <c r="P41" s="17">
        <f t="shared" si="50"/>
        <v>-1.1612055630127287</v>
      </c>
      <c r="Q41" s="25">
        <f t="shared" si="50"/>
        <v>-29.733937840584584</v>
      </c>
      <c r="R41" s="29">
        <f t="shared" si="5"/>
        <v>0.96094679523316384</v>
      </c>
      <c r="U41" s="17">
        <f>+[3]EBIT!$Z$178</f>
        <v>-9.5095796669438339</v>
      </c>
      <c r="V41" s="25">
        <f>+[3]EBIT!$AI$178</f>
        <v>-39.210839711195341</v>
      </c>
      <c r="W41" s="29">
        <f t="shared" si="47"/>
        <v>0.75747574555949404</v>
      </c>
      <c r="Z41" s="17">
        <f t="shared" si="51"/>
        <v>1.0309535308151041E-2</v>
      </c>
      <c r="AA41" s="25">
        <f t="shared" si="51"/>
        <v>-5.4019267435485787</v>
      </c>
      <c r="AB41" s="29" t="str">
        <f t="shared" si="8"/>
        <v>---</v>
      </c>
      <c r="AE41" s="17">
        <f>+[4]EBIT!$Z$178</f>
        <v>2.7085067250089327</v>
      </c>
      <c r="AF41" s="25">
        <f>+[4]EBIT!$AI$178</f>
        <v>-32.522418674203713</v>
      </c>
      <c r="AG41" s="29" t="str">
        <f t="shared" si="48"/>
        <v>---</v>
      </c>
      <c r="AJ41" s="17">
        <f t="shared" si="52"/>
        <v>12.218086391952767</v>
      </c>
      <c r="AK41" s="25">
        <f t="shared" si="52"/>
        <v>6.6884210369916275</v>
      </c>
      <c r="AL41" s="29">
        <f t="shared" si="11"/>
        <v>0.82675198292365837</v>
      </c>
      <c r="AN41" s="17">
        <f t="shared" si="53"/>
        <v>-2.8211586299522082</v>
      </c>
      <c r="AO41" s="25">
        <f t="shared" si="54"/>
        <v>-24.358651947985624</v>
      </c>
      <c r="AP41" s="29">
        <f t="shared" si="49"/>
        <v>0.88418248119902598</v>
      </c>
      <c r="AY41" s="25">
        <f>+[3]EBIT!$AO$178</f>
        <v>28.365377107615561</v>
      </c>
      <c r="AZ41" s="25">
        <f>+[2]EBIT!$AU$178</f>
        <v>43.217564870825278</v>
      </c>
    </row>
    <row r="42" spans="4:52" ht="17.25" customHeight="1">
      <c r="D42" s="19" t="str">
        <f>+IF($B$3="esp","España","Spain")</f>
        <v>Spain</v>
      </c>
      <c r="F42" s="18">
        <f>+[1]EBIT!$Z$179</f>
        <v>-6.014404749999974</v>
      </c>
      <c r="G42" s="26">
        <f>+[1]EBIT!$AI$179</f>
        <v>-1.6456389699999667</v>
      </c>
      <c r="H42" s="30">
        <f>IF(G42=0,"---",IF(OR(ABS((F42-G42)/ABS(G42))&gt;9,(F42*G42)&lt;0),"---",IF(G42="0","---",((F42-G42)/ABS(G42)))))</f>
        <v>-2.6547534785227502</v>
      </c>
      <c r="K42" s="18">
        <f>+[2]EBIT!$Z$179</f>
        <v>-7.3825766799999943</v>
      </c>
      <c r="L42" s="26">
        <f>+[2]EBIT!$AI$179</f>
        <v>-7.3570408900000235</v>
      </c>
      <c r="M42" s="30">
        <f>IF(L42=0,"---",IF(OR(ABS((K42-L42)/ABS(L42))&gt;9,(K42*L42)&lt;0),"---",IF(L42="0","---",((K42-L42)/ABS(L42)))))</f>
        <v>-3.4709321834380585E-3</v>
      </c>
      <c r="P42" s="18">
        <f t="shared" si="50"/>
        <v>-1.3681719300000204</v>
      </c>
      <c r="Q42" s="26">
        <f t="shared" si="50"/>
        <v>-5.711401920000057</v>
      </c>
      <c r="R42" s="30">
        <f>IF(Q42=0,"---",IF(OR(ABS((P42-Q42)/ABS(Q42))&gt;9,(P42*Q42)&lt;0),"---",IF(Q42="0","---",((P42-Q42)/ABS(Q42)))))</f>
        <v>0.7604490194939727</v>
      </c>
      <c r="U42" s="18">
        <f>+[3]EBIT!$Z$179</f>
        <v>-10.132385910000073</v>
      </c>
      <c r="V42" s="26">
        <f>+[3]EBIT!$AI$179</f>
        <v>-10.282283130000017</v>
      </c>
      <c r="W42" s="30">
        <f>IF(V42=0,"---",IF(OR(ABS((U42-V42)/ABS(V42))&gt;9,(U42*V42)&lt;0),"---",IF(V42="0","---",((U42-V42)/ABS(V42)))))</f>
        <v>1.457820389740079E-2</v>
      </c>
      <c r="Z42" s="18">
        <f t="shared" si="51"/>
        <v>-2.7498092300000785</v>
      </c>
      <c r="AA42" s="26">
        <f t="shared" si="51"/>
        <v>-2.925242239999994</v>
      </c>
      <c r="AB42" s="30">
        <f>IF(AA42=0,"---",IF(OR(ABS((Z42-AA42)/ABS(AA42))&gt;9,(Z42*AA42)&lt;0),"---",IF(AA42="0","---",((Z42-AA42)/ABS(AA42)))))</f>
        <v>5.9972130718280572E-2</v>
      </c>
      <c r="AE42" s="18">
        <f>+[4]EBIT!$Z$179</f>
        <v>-4.0614956399998317</v>
      </c>
      <c r="AF42" s="26">
        <f>+[4]EBIT!$AI$179</f>
        <v>-5.2802538199999836</v>
      </c>
      <c r="AG42" s="30">
        <f>IF(AF42=0,"---",IF(OR(ABS((AE42-AF42)/ABS(AF42))&gt;9,(AE42*AF42)&lt;0),"---",IF(AF42="0","---",((AE42-AF42)/ABS(AF42)))))</f>
        <v>0.23081431717995626</v>
      </c>
      <c r="AJ42" s="18">
        <f t="shared" si="52"/>
        <v>6.0708902700002412</v>
      </c>
      <c r="AK42" s="26">
        <f t="shared" si="52"/>
        <v>5.0020293100000339</v>
      </c>
      <c r="AL42" s="30">
        <f>IF(AK42=0,"---",IF(OR(ABS((AJ42-AK42)/ABS(AK42))&gt;9,(AJ42*AK42)&lt;0),"---",IF(AK42="0","---",((AJ42-AK42)/ABS(AK42)))))</f>
        <v>0.21368546518976714</v>
      </c>
      <c r="AN42" s="18">
        <f t="shared" si="53"/>
        <v>-5.130356600000038</v>
      </c>
      <c r="AO42" s="26">
        <f t="shared" si="54"/>
        <v>2.4237906199998882</v>
      </c>
      <c r="AP42" s="30" t="str">
        <f>IF(AO42=0,"---",IF(OR(ABS((AN42-AO42)/ABS(AO42))&gt;9,(AN42*AO42)&lt;0),"---",IF(AO42="0","---",((AN42-AO42)/ABS(AO42)))))</f>
        <v>---</v>
      </c>
      <c r="AY42" s="26">
        <f>+[3]EBIT!$AO$179</f>
        <v>16.568121030000068</v>
      </c>
      <c r="AZ42" s="26">
        <f>+[2]EBIT!$AU$179</f>
        <v>29.274194779999974</v>
      </c>
    </row>
    <row r="43" spans="4:52" ht="17.25" customHeight="1">
      <c r="D43" s="19" t="str">
        <f>+IF($B$3="esp","Latam","Latam")</f>
        <v>Latam</v>
      </c>
      <c r="F43" s="18">
        <f>+[1]EBIT!$Z$182</f>
        <v>-2.394523079239244</v>
      </c>
      <c r="G43" s="26">
        <f>+[1]EBIT!$AI$182</f>
        <v>-2.774669627062142</v>
      </c>
      <c r="H43" s="30">
        <f>IF(G43=0,"---",IF(OR(ABS((F43-G43)/ABS(G43))&gt;9,(F43*G43)&lt;0),"---",IF(G43="0","---",((F43-G43)/ABS(G43)))))</f>
        <v>0.13700605798802878</v>
      </c>
      <c r="K43" s="18">
        <f>+[2]EBIT!$Z$182</f>
        <v>-1.9391676422518951</v>
      </c>
      <c r="L43" s="26">
        <f>+[2]EBIT!$AI$182</f>
        <v>-23.234746537646647</v>
      </c>
      <c r="M43" s="30">
        <f>IF(L43=0,"---",IF(OR(ABS((K43-L43)/ABS(L43))&gt;9,(K43*L43)&lt;0),"---",IF(L43="0","---",((K43-L43)/ABS(L43)))))</f>
        <v>0.91654018523034397</v>
      </c>
      <c r="P43" s="18">
        <f t="shared" si="50"/>
        <v>0.45535543698734893</v>
      </c>
      <c r="Q43" s="26">
        <f t="shared" si="50"/>
        <v>-20.460076910584505</v>
      </c>
      <c r="R43" s="30" t="str">
        <f>IF(Q43=0,"---",IF(OR(ABS((P43-Q43)/ABS(Q43))&gt;9,(P43*Q43)&lt;0),"---",IF(Q43="0","---",((P43-Q43)/ABS(Q43)))))</f>
        <v>---</v>
      </c>
      <c r="U43" s="18">
        <f>+[3]EBIT!$Z$182</f>
        <v>0.898460623056616</v>
      </c>
      <c r="V43" s="26">
        <f>+[3]EBIT!$AI$182</f>
        <v>-25.710169011195216</v>
      </c>
      <c r="W43" s="30" t="str">
        <f>IF(V43=0,"---",IF(OR(ABS((U43-V43)/ABS(V43))&gt;9,(U43*V43)&lt;0),"---",IF(V43="0","---",((U43-V43)/ABS(V43)))))</f>
        <v>---</v>
      </c>
      <c r="Z43" s="18">
        <f t="shared" si="51"/>
        <v>2.8376282653085112</v>
      </c>
      <c r="AA43" s="26">
        <f t="shared" si="51"/>
        <v>-2.4754224735485693</v>
      </c>
      <c r="AB43" s="30" t="str">
        <f>IF(AA43=0,"---",IF(OR(ABS((Z43-AA43)/ABS(AA43))&gt;9,(Z43*AA43)&lt;0),"---",IF(AA43="0","---",((Z43-AA43)/ABS(AA43)))))</f>
        <v>---</v>
      </c>
      <c r="AE43" s="18">
        <f>+[4]EBIT!$Z$182</f>
        <v>7.2172311250086594</v>
      </c>
      <c r="AF43" s="26">
        <f>+[4]EBIT!$AI$182</f>
        <v>-24.003597624203927</v>
      </c>
      <c r="AG43" s="30" t="str">
        <f>IF(AF43=0,"---",IF(OR(ABS((AE43-AF43)/ABS(AF43))&gt;9,(AE43*AF43)&lt;0),"---",IF(AF43="0","---",((AE43-AF43)/ABS(AF43)))))</f>
        <v>---</v>
      </c>
      <c r="AJ43" s="18">
        <f t="shared" si="52"/>
        <v>6.3187705019520433</v>
      </c>
      <c r="AK43" s="26">
        <f t="shared" si="52"/>
        <v>1.7065713869912891</v>
      </c>
      <c r="AL43" s="30">
        <f>IF(AK43=0,"---",IF(OR(ABS((AJ43-AK43)/ABS(AK43))&gt;9,(AJ43*AK43)&lt;0),"---",IF(AK43="0","---",((AJ43-AK43)/ABS(AK43)))))</f>
        <v>2.7026113001297474</v>
      </c>
      <c r="AN43" s="18">
        <f t="shared" si="53"/>
        <v>2.6050320100479034</v>
      </c>
      <c r="AO43" s="26">
        <f t="shared" si="54"/>
        <v>-23.458517747985404</v>
      </c>
      <c r="AP43" s="30" t="str">
        <f>IF(AO43=0,"---",IF(OR(ABS((AN43-AO43)/ABS(AO43))&gt;9,(AN43*AO43)&lt;0),"---",IF(AO43="0","---",((AN43-AO43)/ABS(AO43)))))</f>
        <v>---</v>
      </c>
      <c r="AY43" s="26">
        <f>+[3]EBIT!$AO$182</f>
        <v>11.930599207615298</v>
      </c>
      <c r="AZ43" s="26">
        <f>+[2]EBIT!$AU$182</f>
        <v>14.182250470825108</v>
      </c>
    </row>
    <row r="44" spans="4:52" ht="17.25" customHeight="1">
      <c r="D44" s="20" t="s">
        <v>7</v>
      </c>
      <c r="F44" s="17">
        <f>+[1]EBIT!$Z$191</f>
        <v>-5.3763123944570577</v>
      </c>
      <c r="G44" s="25">
        <f>+[1]EBIT!$AI$191</f>
        <v>-8.4270235594650256</v>
      </c>
      <c r="H44" s="29">
        <f t="shared" si="2"/>
        <v>0.36201526475875151</v>
      </c>
      <c r="K44" s="17">
        <f>+[2]EBIT!$Z$191</f>
        <v>-3.9890216981640805</v>
      </c>
      <c r="L44" s="25">
        <f>+[2]EBIT!$AI$191</f>
        <v>-20.184625392133121</v>
      </c>
      <c r="M44" s="29">
        <f t="shared" si="3"/>
        <v>0.80237326080280957</v>
      </c>
      <c r="P44" s="17">
        <f t="shared" si="50"/>
        <v>1.3872906962929772</v>
      </c>
      <c r="Q44" s="25">
        <f t="shared" si="50"/>
        <v>-11.757601832668096</v>
      </c>
      <c r="R44" s="29" t="str">
        <f t="shared" si="5"/>
        <v>---</v>
      </c>
      <c r="U44" s="17">
        <f>+[3]EBIT!$Z$191</f>
        <v>-8.2589791841611717</v>
      </c>
      <c r="V44" s="25">
        <f>+[3]EBIT!$AI$191</f>
        <v>-26.040505220756621</v>
      </c>
      <c r="W44" s="29">
        <f t="shared" ref="W44" si="55">IF(V44=0,"---",IF(OR(ABS((U44-V44)/ABS(V44))&gt;9,(U44*V44)&lt;0),"---",IF(V44="0","---",((U44-V44)/ABS(V44)))))</f>
        <v>0.68284105419052998</v>
      </c>
      <c r="Z44" s="17">
        <f t="shared" si="51"/>
        <v>-4.2699574859970912</v>
      </c>
      <c r="AA44" s="25">
        <f t="shared" si="51"/>
        <v>-5.8558798286235003</v>
      </c>
      <c r="AB44" s="29">
        <f t="shared" si="8"/>
        <v>0.27082562980108155</v>
      </c>
      <c r="AE44" s="17">
        <f>+[4]EBIT!$Z$191</f>
        <v>-29.765538819266474</v>
      </c>
      <c r="AF44" s="25">
        <f>+[4]EBIT!$AI$191</f>
        <v>-21.579544912359061</v>
      </c>
      <c r="AG44" s="29">
        <f t="shared" ref="AG44" si="56">IF(AF44=0,"---",IF(OR(ABS((AE44-AF44)/ABS(AF44))&gt;9,(AE44*AF44)&lt;0),"---",IF(AF44="0","---",((AE44-AF44)/ABS(AF44)))))</f>
        <v>-0.37934043281047697</v>
      </c>
      <c r="AJ44" s="17">
        <f t="shared" si="52"/>
        <v>-21.506559635105305</v>
      </c>
      <c r="AK44" s="25">
        <f t="shared" si="52"/>
        <v>4.46096030839756</v>
      </c>
      <c r="AL44" s="29" t="str">
        <f t="shared" si="11"/>
        <v>---</v>
      </c>
      <c r="AN44" s="17">
        <f t="shared" si="53"/>
        <v>-3.79801887576361</v>
      </c>
      <c r="AO44" s="25">
        <f t="shared" si="54"/>
        <v>-19.402465620890798</v>
      </c>
      <c r="AP44" s="29">
        <f t="shared" ref="AP44" si="57">IF(AO44=0,"---",IF(OR(ABS((AN44-AO44)/ABS(AO44))&gt;9,(AN44*AO44)&lt;0),"---",IF(AO44="0","---",((AN44-AO44)/ABS(AO44)))))</f>
        <v>0.80425070967917345</v>
      </c>
      <c r="AY44" s="25">
        <f>+[3]EBIT!$AO$191</f>
        <v>-6.1888904937896889</v>
      </c>
      <c r="AZ44" s="25">
        <f>+[2]EBIT!$AU$191</f>
        <v>0.4491491060761359</v>
      </c>
    </row>
    <row r="45" spans="4:52" ht="17.25" customHeight="1">
      <c r="D45" s="19" t="str">
        <f>+IF($B$3="esp","Prensa","Press")</f>
        <v>Press</v>
      </c>
      <c r="F45" s="18">
        <f>+[1]EBIT!$Z$192</f>
        <v>-4.7609816400173797</v>
      </c>
      <c r="G45" s="26">
        <f>+[1]EBIT!$AI$192</f>
        <v>-7.5163011050523094</v>
      </c>
      <c r="H45" s="30">
        <f>IF(G45=0,"---",IF(OR(ABS((F45-G45)/ABS(G45))&gt;9,(F45*G45)&lt;0),"---",IF(G45="0","---",((F45-G45)/ABS(G45)))))</f>
        <v>0.36657917591710881</v>
      </c>
      <c r="K45" s="18">
        <f>+[2]EBIT!$Z$192</f>
        <v>-3.2409022415874502</v>
      </c>
      <c r="L45" s="26">
        <f>+[2]EBIT!$AI$192</f>
        <v>-18.881597389141671</v>
      </c>
      <c r="M45" s="30">
        <f>IF(L45=0,"---",IF(OR(ABS((K45-L45)/ABS(L45))&gt;9,(K45*L45)&lt;0),"---",IF(L45="0","---",((K45-L45)/ABS(L45)))))</f>
        <v>0.82835656460659357</v>
      </c>
      <c r="P45" s="18">
        <f t="shared" si="50"/>
        <v>1.5200793984299295</v>
      </c>
      <c r="Q45" s="26">
        <f t="shared" si="50"/>
        <v>-11.365296284089361</v>
      </c>
      <c r="R45" s="30" t="str">
        <f>IF(Q45=0,"---",IF(OR(ABS((P45-Q45)/ABS(Q45))&gt;9,(P45*Q45)&lt;0),"---",IF(Q45="0","---",((P45-Q45)/ABS(Q45)))))</f>
        <v>---</v>
      </c>
      <c r="U45" s="18">
        <f>+[3]EBIT!$Z$192</f>
        <v>-7.8450129402180346</v>
      </c>
      <c r="V45" s="26">
        <f>+[3]EBIT!$AI$192</f>
        <v>-24.541660193273319</v>
      </c>
      <c r="W45" s="30">
        <f>IF(V45=0,"---",IF(OR(ABS((U45-V45)/ABS(V45))&gt;9,(U45*V45)&lt;0),"---",IF(V45="0","---",((U45-V45)/ABS(V45)))))</f>
        <v>0.68033894698092623</v>
      </c>
      <c r="Z45" s="18">
        <f t="shared" si="51"/>
        <v>-4.6041106986305849</v>
      </c>
      <c r="AA45" s="26">
        <f t="shared" si="51"/>
        <v>-5.6600628041316483</v>
      </c>
      <c r="AB45" s="30">
        <f>IF(AA45=0,"---",IF(OR(ABS((Z45-AA45)/ABS(AA45))&gt;9,(Z45*AA45)&lt;0),"---",IF(AA45="0","---",((Z45-AA45)/ABS(AA45)))))</f>
        <v>0.18656190612059204</v>
      </c>
      <c r="AE45" s="18">
        <f>+[4]EBIT!$Z$192</f>
        <v>-28.805547908308984</v>
      </c>
      <c r="AF45" s="26">
        <f>+[4]EBIT!$AI$192</f>
        <v>-19.85165801205617</v>
      </c>
      <c r="AG45" s="30">
        <f>IF(AF45=0,"---",IF(OR(ABS((AE45-AF45)/ABS(AF45))&gt;9,(AE45*AF45)&lt;0),"---",IF(AF45="0","---",((AE45-AF45)/ABS(AF45)))))</f>
        <v>-0.45103990260234189</v>
      </c>
      <c r="AJ45" s="18">
        <f t="shared" si="52"/>
        <v>-20.960534968090951</v>
      </c>
      <c r="AK45" s="26">
        <f t="shared" si="52"/>
        <v>4.6900021812171495</v>
      </c>
      <c r="AL45" s="30" t="str">
        <f>IF(AK45=0,"---",IF(OR(ABS((AJ45-AK45)/ABS(AK45))&gt;9,(AJ45*AK45)&lt;0),"---",IF(AK45="0","---",((AJ45-AK45)/ABS(AK45)))))</f>
        <v>---</v>
      </c>
      <c r="AN45" s="18">
        <f t="shared" si="53"/>
        <v>-3.1550107590008842</v>
      </c>
      <c r="AO45" s="26">
        <f t="shared" si="54"/>
        <v>-17.521521209828606</v>
      </c>
      <c r="AP45" s="30">
        <f>IF(AO45=0,"---",IF(OR(ABS((AN45-AO45)/ABS(AO45))&gt;9,(AN45*AO45)&lt;0),"---",IF(AO45="0","---",((AN45-AO45)/ABS(AO45)))))</f>
        <v>0.81993511172813593</v>
      </c>
      <c r="AY45" s="26">
        <f>+[3]EBIT!$AO$192</f>
        <v>-4.0513872028003481</v>
      </c>
      <c r="AZ45" s="26">
        <f>+[2]EBIT!$AU$192</f>
        <v>2.9687517806443644</v>
      </c>
    </row>
    <row r="46" spans="4:52" ht="17.25" customHeight="1">
      <c r="D46" s="19" t="str">
        <f>+IF($B$3="esp","PBS y Prisa Tecnología (incluye elim.)","PBS&amp;Prisa IT (includes interco.elim.)")</f>
        <v>PBS&amp;Prisa IT (includes interco.elim.)</v>
      </c>
      <c r="F46" s="18">
        <f>+F44-F45</f>
        <v>-0.615330754439678</v>
      </c>
      <c r="G46" s="26">
        <f>+G44-G45</f>
        <v>-0.91072245441271615</v>
      </c>
      <c r="H46" s="30">
        <f>IF(G46=0,"---",IF(OR(ABS((F46-G46)/ABS(G46))&gt;9,(F46*G46)&lt;0),"---",IF(G46="0","---",((F46-G46)/ABS(G46)))))</f>
        <v>0.32434876129580326</v>
      </c>
      <c r="K46" s="18">
        <f>+K44-K45</f>
        <v>-0.74811945657663026</v>
      </c>
      <c r="L46" s="26">
        <f>+L44-L45</f>
        <v>-1.3030280029914501</v>
      </c>
      <c r="M46" s="30">
        <f>IF(L46=0,"---",IF(OR(ABS((K46-L46)/ABS(L46))&gt;9,(K46*L46)&lt;0),"---",IF(L46="0","---",((K46-L46)/ABS(L46)))))</f>
        <v>0.42586079895510953</v>
      </c>
      <c r="P46" s="18">
        <f t="shared" si="50"/>
        <v>-0.13278870213695226</v>
      </c>
      <c r="Q46" s="26">
        <f t="shared" si="50"/>
        <v>-0.3923055485787339</v>
      </c>
      <c r="R46" s="30">
        <f>IF(Q46=0,"---",IF(OR(ABS((P46-Q46)/ABS(Q46))&gt;9,(P46*Q46)&lt;0),"---",IF(Q46="0","---",((P46-Q46)/ABS(Q46)))))</f>
        <v>0.66151714494473379</v>
      </c>
      <c r="U46" s="18">
        <f>+U44-U45</f>
        <v>-0.41396624394313708</v>
      </c>
      <c r="V46" s="26">
        <f>+V44-V45</f>
        <v>-1.4988450274833021</v>
      </c>
      <c r="W46" s="30">
        <f>IF(V46=0,"---",IF(OR(ABS((U46-V46)/ABS(V46))&gt;9,(U46*V46)&lt;0),"---",IF(V46="0","---",((U46-V46)/ABS(V46)))))</f>
        <v>0.72380984267718174</v>
      </c>
      <c r="Z46" s="18">
        <f t="shared" si="51"/>
        <v>0.33415321263349318</v>
      </c>
      <c r="AA46" s="26">
        <f t="shared" si="51"/>
        <v>-0.19581702449185201</v>
      </c>
      <c r="AB46" s="30" t="str">
        <f>IF(AA46=0,"---",IF(OR(ABS((Z46-AA46)/ABS(AA46))&gt;9,(Z46*AA46)&lt;0),"---",IF(AA46="0","---",((Z46-AA46)/ABS(AA46)))))</f>
        <v>---</v>
      </c>
      <c r="AE46" s="18">
        <f>+AE44-AE45</f>
        <v>-0.95999091095749023</v>
      </c>
      <c r="AF46" s="26">
        <f>+AF44-AF45</f>
        <v>-1.7278869003028916</v>
      </c>
      <c r="AG46" s="30">
        <f>IF(AF46=0,"---",IF(OR(ABS((AE46-AF46)/ABS(AF46))&gt;9,(AE46*AF46)&lt;0),"---",IF(AF46="0","---",((AE46-AF46)/ABS(AF46)))))</f>
        <v>0.44441334048588038</v>
      </c>
      <c r="AJ46" s="18">
        <f t="shared" si="52"/>
        <v>-0.54602466701435315</v>
      </c>
      <c r="AK46" s="26">
        <f t="shared" si="52"/>
        <v>-0.22904187281958954</v>
      </c>
      <c r="AL46" s="30">
        <f>IF(AK46=0,"---",IF(OR(ABS((AJ46-AK46)/ABS(AK46))&gt;9,(AJ46*AK46)&lt;0),"---",IF(AK46="0","---",((AJ46-AK46)/ABS(AK46)))))</f>
        <v>-1.3839512849444908</v>
      </c>
      <c r="AN46" s="18">
        <f t="shared" si="53"/>
        <v>-0.64300811676272662</v>
      </c>
      <c r="AO46" s="26">
        <f t="shared" si="54"/>
        <v>-1.88094441106219</v>
      </c>
      <c r="AP46" s="30">
        <f>IF(AO46=0,"---",IF(OR(ABS((AN46-AO46)/ABS(AO46))&gt;9,(AN46*AO46)&lt;0),"---",IF(AO46="0","---",((AN46-AO46)/ABS(AO46)))))</f>
        <v>0.65814613500480168</v>
      </c>
      <c r="AY46" s="26">
        <f>+AY44-AY45</f>
        <v>-2.1375032909893408</v>
      </c>
      <c r="AZ46" s="26">
        <f>+AZ44-AZ45</f>
        <v>-2.5196026745682287</v>
      </c>
    </row>
    <row r="47" spans="4:52" s="15" customFormat="1" ht="17.25" customHeight="1">
      <c r="D47" s="22" t="str">
        <f>+IF($B$3="esp","Margen EBIT ","EBIT Margin")</f>
        <v>EBIT Margin</v>
      </c>
      <c r="F47" s="23">
        <f>+F40/F10</f>
        <v>-0.17838884095208293</v>
      </c>
      <c r="G47" s="27">
        <f>+G40/G10</f>
        <v>-0.14732559026433861</v>
      </c>
      <c r="H47" s="31">
        <f t="shared" si="2"/>
        <v>-0.21084762417723324</v>
      </c>
      <c r="K47" s="23">
        <f>+K40/K10</f>
        <v>-7.8190090441943944E-2</v>
      </c>
      <c r="L47" s="27">
        <f>+L40/L10</f>
        <v>-0.36191555183269475</v>
      </c>
      <c r="M47" s="31">
        <f t="shared" si="3"/>
        <v>0.78395487553381127</v>
      </c>
      <c r="P47" s="23">
        <f>+P40/P10</f>
        <v>4.0383462556072003E-4</v>
      </c>
      <c r="Q47" s="27">
        <f>+Q40/Q10</f>
        <v>-0.64499397523739976</v>
      </c>
      <c r="R47" s="31" t="str">
        <f t="shared" si="5"/>
        <v>---</v>
      </c>
      <c r="U47" s="23">
        <f>+U40/U10</f>
        <v>-7.0092801579332703E-2</v>
      </c>
      <c r="V47" s="27">
        <f>+V40/V10</f>
        <v>-0.29080879549521266</v>
      </c>
      <c r="W47" s="31">
        <f t="shared" ref="W47:W56" si="58">IF(V47=0,"---",IF(OR(ABS((U47-V47)/ABS(V47))&gt;9,(U47*V47)&lt;0),"---",IF(V47="0","---",((U47-V47)/ABS(V47)))))</f>
        <v>0.75897289674484214</v>
      </c>
      <c r="Z47" s="23">
        <f>+Z40/Z10</f>
        <v>-5.4030307255141706E-2</v>
      </c>
      <c r="AA47" s="27">
        <f>+AA40/AA10</f>
        <v>-0.14972352547467313</v>
      </c>
      <c r="AB47" s="31">
        <f t="shared" si="8"/>
        <v>0.63913281440676906</v>
      </c>
      <c r="AE47" s="23">
        <f>+AE40/AE10</f>
        <v>-7.5462956550316165E-2</v>
      </c>
      <c r="AF47" s="27">
        <f>+AF40/AF10</f>
        <v>-0.16107606387753554</v>
      </c>
      <c r="AG47" s="31">
        <f t="shared" ref="AG47:AG56" si="59">IF(AF47=0,"---",IF(OR(ABS((AE47-AF47)/ABS(AF47))&gt;9,(AE47*AF47)&lt;0),"---",IF(AF47="0","---",((AE47-AF47)/ABS(AF47)))))</f>
        <v>0.53150732185950444</v>
      </c>
      <c r="AJ47" s="23">
        <f>+AJ40/AJ10</f>
        <v>-8.7263462043493556E-2</v>
      </c>
      <c r="AK47" s="27">
        <f>+AK40/AK10</f>
        <v>9.9994899858390912E-2</v>
      </c>
      <c r="AL47" s="31" t="str">
        <f t="shared" si="11"/>
        <v>---</v>
      </c>
      <c r="AN47" s="23">
        <f>+AN40/AN10</f>
        <v>-1.9513755422955591E-2</v>
      </c>
      <c r="AO47" s="27">
        <f>+AO40/AO10</f>
        <v>-0.1232964901283362</v>
      </c>
      <c r="AP47" s="31">
        <f t="shared" ref="AP47:AP56" si="60">IF(AO47=0,"---",IF(OR(ABS((AN47-AO47)/ABS(AO47))&gt;9,(AN47*AO47)&lt;0),"---",IF(AO47="0","---",((AN47-AO47)/ABS(AO47)))))</f>
        <v>0.84173308256671198</v>
      </c>
      <c r="AY47" s="27">
        <f>+AY40/AY10</f>
        <v>6.5671469380700953E-2</v>
      </c>
      <c r="AZ47" s="27">
        <f>+AZ40/AZ10</f>
        <v>9.3258048591496834E-2</v>
      </c>
    </row>
    <row r="48" spans="4:52" s="9" customFormat="1" ht="17.25" customHeight="1">
      <c r="D48" s="21" t="str">
        <f>+IF($B$3="esp","Resultado Financiero","Financial Result")</f>
        <v>Financial Result</v>
      </c>
      <c r="F48" s="16">
        <f>+'[1]Acum 21'!$X$454/1000</f>
        <v>-1.3653987404839611</v>
      </c>
      <c r="G48" s="24">
        <f>+'[1]Acum 20'!$X$454/1000</f>
        <v>-0.51184292521230901</v>
      </c>
      <c r="H48" s="28">
        <f t="shared" si="2"/>
        <v>-1.6676128031223698</v>
      </c>
      <c r="K48" s="16">
        <f>+'[2]Acum 21'!$X$454/1000</f>
        <v>-3.539107690358597</v>
      </c>
      <c r="L48" s="24">
        <f>+'[2]Acum 20'!$X$454/1000</f>
        <v>-1.0599334933322406</v>
      </c>
      <c r="M48" s="28">
        <f t="shared" si="3"/>
        <v>-2.3389903353580026</v>
      </c>
      <c r="P48" s="16">
        <f t="shared" ref="P48:Q56" si="61">+K48-F48</f>
        <v>-2.1737089498746358</v>
      </c>
      <c r="Q48" s="24">
        <f t="shared" si="61"/>
        <v>-0.54809056811993162</v>
      </c>
      <c r="R48" s="28">
        <f t="shared" si="5"/>
        <v>-2.9659667148276685</v>
      </c>
      <c r="U48" s="16">
        <f>+'[3]Acum 21'!$X$454/1000</f>
        <v>-5.3662005845456253</v>
      </c>
      <c r="V48" s="24">
        <f>+'[3]Acum 20'!$X$454/1000</f>
        <v>-2.954697370533323</v>
      </c>
      <c r="W48" s="28">
        <f t="shared" si="58"/>
        <v>-0.81615912277913794</v>
      </c>
      <c r="Z48" s="16">
        <f t="shared" ref="Z48:AA56" si="62">+U48-K48</f>
        <v>-1.8270928941870284</v>
      </c>
      <c r="AA48" s="24">
        <f t="shared" si="62"/>
        <v>-1.8947638772010824</v>
      </c>
      <c r="AB48" s="28">
        <f t="shared" si="8"/>
        <v>3.5714731438735596E-2</v>
      </c>
      <c r="AE48" s="16">
        <f>+'[4]Acum 21'!$X$454/1000</f>
        <v>-7.8908749013273614</v>
      </c>
      <c r="AF48" s="24">
        <f>+'[4]Acum 20'!$X$454/1000</f>
        <v>-11.040349348577308</v>
      </c>
      <c r="AG48" s="28">
        <f t="shared" si="59"/>
        <v>0.28526945550466637</v>
      </c>
      <c r="AJ48" s="16">
        <f t="shared" ref="AJ48:AK56" si="63">+AE48-U48</f>
        <v>-2.524674316781736</v>
      </c>
      <c r="AK48" s="24">
        <f t="shared" si="63"/>
        <v>-8.0856519780439857</v>
      </c>
      <c r="AL48" s="28">
        <f t="shared" si="11"/>
        <v>0.68775872080107947</v>
      </c>
      <c r="AN48" s="16">
        <f t="shared" ref="AN48:AN56" si="64">+U48+AF48-V48</f>
        <v>-13.451852562589609</v>
      </c>
      <c r="AO48" s="24">
        <f t="shared" ref="AO48:AO56" si="65">+V48+AZ48-AY48</f>
        <v>-6.723680619180894</v>
      </c>
      <c r="AP48" s="28">
        <f t="shared" si="60"/>
        <v>-1.0006679859562349</v>
      </c>
      <c r="AY48" s="24">
        <f>+'[3]Acum 19'!$X$454/1000</f>
        <v>-7.1150633780935069</v>
      </c>
      <c r="AZ48" s="24">
        <f>+'[2]2019'!$X$454/1000</f>
        <v>-10.884046626741078</v>
      </c>
    </row>
    <row r="49" spans="4:52" ht="17.25" customHeight="1">
      <c r="D49" s="20" t="str">
        <f>+IF($B$3="esp","Gastos por intereses de financiación","Interests on debt")</f>
        <v>Interests on debt</v>
      </c>
      <c r="F49" s="17">
        <f>+'[1]Acum 21'!$X$468/1000</f>
        <v>-1.2785197487661342</v>
      </c>
      <c r="G49" s="25">
        <f>+'[1]Acum 20'!$X$468/1000</f>
        <v>-1.3717672968178587</v>
      </c>
      <c r="H49" s="29">
        <f t="shared" si="2"/>
        <v>6.7976214528538803E-2</v>
      </c>
      <c r="K49" s="17">
        <f>+'[2]Acum 21'!$X$468/1000</f>
        <v>-2.5222732782231634</v>
      </c>
      <c r="L49" s="25">
        <f>+'[2]Acum 20'!$X$468/1000</f>
        <v>-2.7083869174614583</v>
      </c>
      <c r="M49" s="29">
        <f t="shared" si="3"/>
        <v>6.8717522610372533E-2</v>
      </c>
      <c r="P49" s="17">
        <f t="shared" si="61"/>
        <v>-1.2437535294570292</v>
      </c>
      <c r="Q49" s="25">
        <f t="shared" si="61"/>
        <v>-1.3366196206435996</v>
      </c>
      <c r="R49" s="29">
        <f t="shared" si="5"/>
        <v>6.9478324088834031E-2</v>
      </c>
      <c r="U49" s="17">
        <f>+'[3]Acum 21'!$X$468/1000</f>
        <v>-3.7716912219559755</v>
      </c>
      <c r="V49" s="25">
        <f>+'[3]Acum 20'!$X$468/1000</f>
        <v>-4.0268743701654905</v>
      </c>
      <c r="W49" s="29">
        <f t="shared" si="58"/>
        <v>6.3370029643866913E-2</v>
      </c>
      <c r="Z49" s="17">
        <f t="shared" si="62"/>
        <v>-1.2494179437328121</v>
      </c>
      <c r="AA49" s="25">
        <f t="shared" si="62"/>
        <v>-1.3184874527040322</v>
      </c>
      <c r="AB49" s="29">
        <f t="shared" si="8"/>
        <v>5.2385412412964766E-2</v>
      </c>
      <c r="AE49" s="17">
        <f>+'[4]Acum 21'!$X$468/1000</f>
        <v>-4.8875691636880525</v>
      </c>
      <c r="AF49" s="25">
        <f>+'[4]Acum 20'!$X$468/1000</f>
        <v>-5.3306403536169791</v>
      </c>
      <c r="AG49" s="29">
        <f t="shared" si="59"/>
        <v>8.3117817098332505E-2</v>
      </c>
      <c r="AJ49" s="17">
        <f t="shared" si="63"/>
        <v>-1.115877941732077</v>
      </c>
      <c r="AK49" s="25">
        <f t="shared" si="63"/>
        <v>-1.3037659834514885</v>
      </c>
      <c r="AL49" s="29">
        <f t="shared" si="11"/>
        <v>0.14411178394301358</v>
      </c>
      <c r="AN49" s="17">
        <f t="shared" si="64"/>
        <v>-5.0754572054074636</v>
      </c>
      <c r="AO49" s="25">
        <f t="shared" si="65"/>
        <v>-4.6972522228637201</v>
      </c>
      <c r="AP49" s="29">
        <f t="shared" si="60"/>
        <v>-8.051621769485641E-2</v>
      </c>
      <c r="AY49" s="25">
        <f>+'[3]Acum 19'!$X$468/1000</f>
        <v>-4.4549673051426746</v>
      </c>
      <c r="AZ49" s="25">
        <f>+'[2]2019'!$X$468/1000</f>
        <v>-5.1253451578409033</v>
      </c>
    </row>
    <row r="50" spans="4:52" ht="17.25" customHeight="1">
      <c r="D50" s="20" t="str">
        <f>+IF($B$3="esp","Otros resultados financieros","Other financial results")</f>
        <v>Other financial results</v>
      </c>
      <c r="F50" s="17">
        <f>+F48-F49</f>
        <v>-8.6878991717826981E-2</v>
      </c>
      <c r="G50" s="25">
        <f>+G48-G49</f>
        <v>0.85992437160554969</v>
      </c>
      <c r="H50" s="29" t="str">
        <f t="shared" si="2"/>
        <v>---</v>
      </c>
      <c r="K50" s="17">
        <f>+K48-K49</f>
        <v>-1.0168344121354336</v>
      </c>
      <c r="L50" s="25">
        <f>+L48-L49</f>
        <v>1.6484534241292177</v>
      </c>
      <c r="M50" s="29" t="str">
        <f t="shared" si="3"/>
        <v>---</v>
      </c>
      <c r="P50" s="17">
        <f t="shared" si="61"/>
        <v>-0.92995542041760659</v>
      </c>
      <c r="Q50" s="25">
        <f t="shared" si="61"/>
        <v>0.78852905252366801</v>
      </c>
      <c r="R50" s="29" t="str">
        <f t="shared" si="5"/>
        <v>---</v>
      </c>
      <c r="U50" s="17">
        <f>+U48-U49</f>
        <v>-1.5945093625896498</v>
      </c>
      <c r="V50" s="25">
        <f>+V48-V49</f>
        <v>1.0721769996321675</v>
      </c>
      <c r="W50" s="29" t="str">
        <f t="shared" si="58"/>
        <v>---</v>
      </c>
      <c r="Z50" s="17">
        <f t="shared" si="62"/>
        <v>-0.57767495045421624</v>
      </c>
      <c r="AA50" s="25">
        <f t="shared" si="62"/>
        <v>-0.57627642449705019</v>
      </c>
      <c r="AB50" s="29">
        <f t="shared" si="8"/>
        <v>-2.4268318079932335E-3</v>
      </c>
      <c r="AE50" s="17">
        <f>+AE48-AE49</f>
        <v>-3.0033057376393089</v>
      </c>
      <c r="AF50" s="25">
        <f>+AF48-AF49</f>
        <v>-5.7097089949603292</v>
      </c>
      <c r="AG50" s="29">
        <f t="shared" si="59"/>
        <v>0.47400020906666618</v>
      </c>
      <c r="AJ50" s="17">
        <f t="shared" si="63"/>
        <v>-1.408796375049659</v>
      </c>
      <c r="AK50" s="25">
        <f t="shared" si="63"/>
        <v>-6.7818859945924963</v>
      </c>
      <c r="AL50" s="29">
        <f t="shared" si="11"/>
        <v>0.79227070815213407</v>
      </c>
      <c r="AN50" s="17">
        <f t="shared" si="64"/>
        <v>-8.3763953571821474</v>
      </c>
      <c r="AO50" s="25">
        <f t="shared" si="65"/>
        <v>-2.0264283963171756</v>
      </c>
      <c r="AP50" s="29">
        <f t="shared" si="60"/>
        <v>-3.1335757890115343</v>
      </c>
      <c r="AY50" s="25">
        <f>+AY48-AY49</f>
        <v>-2.6600960729508323</v>
      </c>
      <c r="AZ50" s="25">
        <f>+AZ48-AZ49</f>
        <v>-5.758701468900175</v>
      </c>
    </row>
    <row r="51" spans="4:52" s="9" customFormat="1" ht="17.25" customHeight="1">
      <c r="D51" s="21" t="str">
        <f>+IF($B$3="esp","Resultado puesta en equivalencia","Result from associates")</f>
        <v>Result from associates</v>
      </c>
      <c r="F51" s="16">
        <f>+'[1]Acum 21'!$X$486/1000</f>
        <v>-0.38089046490165868</v>
      </c>
      <c r="G51" s="24">
        <f>+'[1]Acum 20'!$X$486/1000</f>
        <v>1.5070316624023887</v>
      </c>
      <c r="H51" s="28" t="str">
        <f t="shared" si="2"/>
        <v>---</v>
      </c>
      <c r="K51" s="16">
        <f>+'[2]Acum 21'!$X$486/1000</f>
        <v>-0.31720428738873341</v>
      </c>
      <c r="L51" s="24">
        <f>+'[2]Acum 20'!$X$486/1000</f>
        <v>-2.9011257937081578</v>
      </c>
      <c r="M51" s="28">
        <f t="shared" si="3"/>
        <v>0.89066165690689003</v>
      </c>
      <c r="P51" s="16">
        <f t="shared" si="61"/>
        <v>6.3686177512925268E-2</v>
      </c>
      <c r="Q51" s="24">
        <f t="shared" si="61"/>
        <v>-4.4081574561105468</v>
      </c>
      <c r="R51" s="28" t="str">
        <f t="shared" si="5"/>
        <v>---</v>
      </c>
      <c r="U51" s="16">
        <f>+'[3]Acum 21'!$X$486/1000</f>
        <v>-9.4312808903827566E-2</v>
      </c>
      <c r="V51" s="24">
        <f>+'[3]Acum 20'!$X$486/1000</f>
        <v>-3.1256755393065156</v>
      </c>
      <c r="W51" s="28">
        <f t="shared" si="58"/>
        <v>0.96982642385052154</v>
      </c>
      <c r="Z51" s="16">
        <f t="shared" si="62"/>
        <v>0.22289147848490584</v>
      </c>
      <c r="AA51" s="24">
        <f t="shared" si="62"/>
        <v>-0.22454974559835783</v>
      </c>
      <c r="AB51" s="28" t="str">
        <f t="shared" si="8"/>
        <v>---</v>
      </c>
      <c r="AE51" s="16">
        <f>+'[4]Acum 21'!$X$486/1000</f>
        <v>1.2868213086948646</v>
      </c>
      <c r="AF51" s="24">
        <f>+'[4]Acum 20'!$X$486/1000</f>
        <v>-5.2780158613716104</v>
      </c>
      <c r="AG51" s="28" t="str">
        <f t="shared" si="59"/>
        <v>---</v>
      </c>
      <c r="AJ51" s="16">
        <f t="shared" si="63"/>
        <v>1.3811341175986922</v>
      </c>
      <c r="AK51" s="24">
        <f t="shared" si="63"/>
        <v>-2.1523403220650947</v>
      </c>
      <c r="AL51" s="28" t="str">
        <f t="shared" si="11"/>
        <v>---</v>
      </c>
      <c r="AN51" s="16">
        <f t="shared" si="64"/>
        <v>-2.2466531309689226</v>
      </c>
      <c r="AO51" s="24">
        <f t="shared" si="65"/>
        <v>-1.8224036716967826</v>
      </c>
      <c r="AP51" s="28">
        <f t="shared" si="60"/>
        <v>-0.23279664426769656</v>
      </c>
      <c r="AY51" s="24">
        <f>+'[3]Acum 19'!$X$486/1000</f>
        <v>1.0945577203477734</v>
      </c>
      <c r="AZ51" s="24">
        <f>+'[2]2019'!$X$486/1000</f>
        <v>2.3978295879575064</v>
      </c>
    </row>
    <row r="52" spans="4:52" s="9" customFormat="1" ht="17.25" customHeight="1">
      <c r="D52" s="21" t="str">
        <f>+IF($B$3="esp","Resultado antes de impuestos","Profit before tax")</f>
        <v>Profit before tax</v>
      </c>
      <c r="F52" s="16">
        <f>+F40+F48+F51</f>
        <v>-15.481285239081961</v>
      </c>
      <c r="G52" s="24">
        <f>+G40+G48+G51</f>
        <v>-11.506809949337061</v>
      </c>
      <c r="H52" s="28">
        <f t="shared" si="2"/>
        <v>-0.3454020103959291</v>
      </c>
      <c r="K52" s="16">
        <f>+K40+K48+K51</f>
        <v>-17.551667638163565</v>
      </c>
      <c r="L52" s="24">
        <f>+L40+L48+L51</f>
        <v>-57.954597646820311</v>
      </c>
      <c r="M52" s="28">
        <f t="shared" si="3"/>
        <v>0.69714796839545412</v>
      </c>
      <c r="P52" s="16">
        <f t="shared" si="61"/>
        <v>-2.0703823990816037</v>
      </c>
      <c r="Q52" s="24">
        <f t="shared" si="61"/>
        <v>-46.44778769748325</v>
      </c>
      <c r="R52" s="28">
        <f t="shared" si="5"/>
        <v>0.95542559717663833</v>
      </c>
      <c r="U52" s="16">
        <f>+U40+U48+U51</f>
        <v>-23.926608324554064</v>
      </c>
      <c r="V52" s="24">
        <f>+V40+V48+V51</f>
        <v>-71.331717841791743</v>
      </c>
      <c r="W52" s="28">
        <f t="shared" si="58"/>
        <v>0.66457266068340815</v>
      </c>
      <c r="Z52" s="16">
        <f t="shared" si="62"/>
        <v>-6.3749406863904987</v>
      </c>
      <c r="AA52" s="24">
        <f t="shared" si="62"/>
        <v>-13.377120194971432</v>
      </c>
      <c r="AB52" s="28">
        <f t="shared" si="8"/>
        <v>0.52344446386996724</v>
      </c>
      <c r="AE52" s="16">
        <f>+AE40+AE48+AE51</f>
        <v>-35.532282836889685</v>
      </c>
      <c r="AF52" s="24">
        <f>+AF40+AF48+AF51</f>
        <v>-70.420328796511569</v>
      </c>
      <c r="AG52" s="28">
        <f t="shared" si="59"/>
        <v>0.49542577485594108</v>
      </c>
      <c r="AJ52" s="16">
        <f t="shared" si="63"/>
        <v>-11.605674512335622</v>
      </c>
      <c r="AK52" s="24">
        <f t="shared" si="63"/>
        <v>0.91138904528017406</v>
      </c>
      <c r="AL52" s="28" t="str">
        <f t="shared" si="11"/>
        <v>---</v>
      </c>
      <c r="AN52" s="16">
        <f t="shared" si="64"/>
        <v>-23.015219279273893</v>
      </c>
      <c r="AO52" s="24">
        <f t="shared" si="65"/>
        <v>-52.307201859753512</v>
      </c>
      <c r="AP52" s="28">
        <f t="shared" si="60"/>
        <v>0.55999903529570394</v>
      </c>
      <c r="AY52" s="24">
        <f>+AY40+AY48+AY51</f>
        <v>16.155980956080263</v>
      </c>
      <c r="AZ52" s="24">
        <f>+AZ40+AZ48+AZ51</f>
        <v>35.180496938118495</v>
      </c>
    </row>
    <row r="53" spans="4:52" ht="17.25" customHeight="1">
      <c r="D53" s="20" t="str">
        <f>+IF($B$3="esp","Impuesto sobre sociedades","Income tax expense")</f>
        <v>Income tax expense</v>
      </c>
      <c r="F53" s="17">
        <f>-'[1]Acum 21'!$X$526/1000</f>
        <v>-0.58977485509288496</v>
      </c>
      <c r="G53" s="25">
        <f>-'[1]Acum 20'!$X$526/1000</f>
        <v>0.11667897204311085</v>
      </c>
      <c r="H53" s="29" t="str">
        <f t="shared" si="2"/>
        <v>---</v>
      </c>
      <c r="K53" s="17">
        <f>-'[2]Acum 21'!$X$526/1000</f>
        <v>-4.3940286811298426E-2</v>
      </c>
      <c r="L53" s="25">
        <f>-'[2]Acum 20'!$X$526/1000</f>
        <v>13.508227809551343</v>
      </c>
      <c r="M53" s="29" t="str">
        <f t="shared" si="3"/>
        <v>---</v>
      </c>
      <c r="P53" s="17">
        <f t="shared" si="61"/>
        <v>0.5458345682815865</v>
      </c>
      <c r="Q53" s="25">
        <f t="shared" si="61"/>
        <v>13.391548837508232</v>
      </c>
      <c r="R53" s="29">
        <f t="shared" si="5"/>
        <v>-0.95924037055723044</v>
      </c>
      <c r="U53" s="17">
        <f>-'[3]Acum 21'!$X$526/1000</f>
        <v>1.3696758304892092</v>
      </c>
      <c r="V53" s="25">
        <f>-'[3]Acum 20'!$X$526/1000</f>
        <v>13.304215078968596</v>
      </c>
      <c r="W53" s="29">
        <f t="shared" si="58"/>
        <v>-0.89704948226112169</v>
      </c>
      <c r="Z53" s="17">
        <f t="shared" si="62"/>
        <v>1.4136161173005075</v>
      </c>
      <c r="AA53" s="25">
        <f t="shared" si="62"/>
        <v>-0.20401273058274683</v>
      </c>
      <c r="AB53" s="29" t="str">
        <f t="shared" si="8"/>
        <v>---</v>
      </c>
      <c r="AE53" s="17">
        <f>-'[4]Acum 21'!$X$526/1000</f>
        <v>3.7134428985065839</v>
      </c>
      <c r="AF53" s="25">
        <f>-'[4]Acum 20'!$X$526/1000</f>
        <v>14.930662218156547</v>
      </c>
      <c r="AG53" s="29">
        <f t="shared" si="59"/>
        <v>-0.75128746171815319</v>
      </c>
      <c r="AJ53" s="17">
        <f t="shared" si="63"/>
        <v>2.3437670680173746</v>
      </c>
      <c r="AK53" s="25">
        <f t="shared" si="63"/>
        <v>1.6264471391879507</v>
      </c>
      <c r="AL53" s="29">
        <f t="shared" si="11"/>
        <v>0.44103488613073888</v>
      </c>
      <c r="AN53" s="17">
        <f t="shared" si="64"/>
        <v>2.9961229696771596</v>
      </c>
      <c r="AO53" s="25">
        <f t="shared" si="65"/>
        <v>21.939016631047878</v>
      </c>
      <c r="AP53" s="29">
        <f t="shared" si="60"/>
        <v>-0.86343403535065122</v>
      </c>
      <c r="AY53" s="25">
        <f>-'[3]Acum 19'!$X$526/1000</f>
        <v>14.033405473135462</v>
      </c>
      <c r="AZ53" s="25">
        <f>-'[2]2019'!$X$526/1000</f>
        <v>22.668207025214741</v>
      </c>
    </row>
    <row r="54" spans="4:52" s="9" customFormat="1" ht="17.25" customHeight="1">
      <c r="D54" s="21" t="str">
        <f>+IF($B$3="esp","Resultado operaciones en discontinuación","Results from discontinued activities")</f>
        <v>Results from discontinued activities</v>
      </c>
      <c r="F54" s="16">
        <f>+'[1]Acum 21'!$X$512/1000</f>
        <v>0</v>
      </c>
      <c r="G54" s="24">
        <f>+'[1]Acum 20'!$X$512/1000</f>
        <v>0</v>
      </c>
      <c r="H54" s="28" t="str">
        <f t="shared" si="2"/>
        <v>---</v>
      </c>
      <c r="K54" s="16">
        <f>+'[2]Acum 21'!$X$512/1000</f>
        <v>0</v>
      </c>
      <c r="L54" s="24">
        <f>+'[2]Acum 20'!$X$512/1000</f>
        <v>0</v>
      </c>
      <c r="M54" s="28" t="str">
        <f t="shared" si="3"/>
        <v>---</v>
      </c>
      <c r="P54" s="16">
        <f t="shared" si="61"/>
        <v>0</v>
      </c>
      <c r="Q54" s="24">
        <f t="shared" si="61"/>
        <v>0</v>
      </c>
      <c r="R54" s="28" t="str">
        <f t="shared" si="5"/>
        <v>---</v>
      </c>
      <c r="U54" s="16">
        <f>+'[3]Acum 21'!$X$512/1000</f>
        <v>0</v>
      </c>
      <c r="V54" s="24">
        <f>+'[3]Acum 20'!$X$512/1000</f>
        <v>0</v>
      </c>
      <c r="W54" s="28" t="str">
        <f t="shared" si="58"/>
        <v>---</v>
      </c>
      <c r="Z54" s="16">
        <f t="shared" si="62"/>
        <v>0</v>
      </c>
      <c r="AA54" s="24">
        <f t="shared" si="62"/>
        <v>0</v>
      </c>
      <c r="AB54" s="28" t="str">
        <f t="shared" si="8"/>
        <v>---</v>
      </c>
      <c r="AE54" s="16">
        <f>+'[4]Acum 21'!$X$512/1000</f>
        <v>0</v>
      </c>
      <c r="AF54" s="24">
        <f>+'[4]Acum 20'!$X$512/1000</f>
        <v>0</v>
      </c>
      <c r="AG54" s="28" t="str">
        <f t="shared" si="59"/>
        <v>---</v>
      </c>
      <c r="AJ54" s="16">
        <f t="shared" si="63"/>
        <v>0</v>
      </c>
      <c r="AK54" s="24">
        <f t="shared" si="63"/>
        <v>0</v>
      </c>
      <c r="AL54" s="28" t="str">
        <f t="shared" si="11"/>
        <v>---</v>
      </c>
      <c r="AN54" s="16">
        <f t="shared" si="64"/>
        <v>0</v>
      </c>
      <c r="AO54" s="24">
        <f t="shared" si="65"/>
        <v>0</v>
      </c>
      <c r="AP54" s="28" t="str">
        <f t="shared" si="60"/>
        <v>---</v>
      </c>
      <c r="AY54" s="24">
        <f>+'[3]Acum 19'!$X$512/1000</f>
        <v>0</v>
      </c>
      <c r="AZ54" s="24">
        <f>+'[2]2019'!$X$512/1000</f>
        <v>0</v>
      </c>
    </row>
    <row r="55" spans="4:52" s="9" customFormat="1" ht="17.25" customHeight="1">
      <c r="D55" s="21" t="str">
        <f>+IF($B$3="esp","Resultado atribuido a socios externos","Minority interest")</f>
        <v>Minority interest</v>
      </c>
      <c r="F55" s="16">
        <f>-'[1]Acum 21'!$X$513/1000</f>
        <v>-0.63961965949523569</v>
      </c>
      <c r="G55" s="24">
        <f>-'[1]Acum 20'!$X$513/1000</f>
        <v>-0.72313990178991527</v>
      </c>
      <c r="H55" s="28">
        <f t="shared" si="2"/>
        <v>0.11549665851372652</v>
      </c>
      <c r="K55" s="16">
        <f>-'[2]Acum 21'!$X$513/1000</f>
        <v>-10.534337303355896</v>
      </c>
      <c r="L55" s="24">
        <f>-'[2]Acum 20'!$X$513/1000</f>
        <v>-2.1266152419166651</v>
      </c>
      <c r="M55" s="28">
        <f t="shared" si="3"/>
        <v>-3.9535699245066827</v>
      </c>
      <c r="P55" s="16">
        <f t="shared" si="61"/>
        <v>-9.8947176438606608</v>
      </c>
      <c r="Q55" s="24">
        <f t="shared" si="61"/>
        <v>-1.4034753401267497</v>
      </c>
      <c r="R55" s="28">
        <f t="shared" si="5"/>
        <v>-6.050154257050969</v>
      </c>
      <c r="U55" s="16">
        <f>-'[3]Acum 21'!$X$513/1000</f>
        <v>-12.205297409293316</v>
      </c>
      <c r="V55" s="24">
        <f>-'[3]Acum 20'!$X$513/1000</f>
        <v>-2.5704816892814004</v>
      </c>
      <c r="W55" s="28">
        <f t="shared" si="58"/>
        <v>-3.7482530065037762</v>
      </c>
      <c r="Z55" s="16">
        <f t="shared" si="62"/>
        <v>-1.6709601059374197</v>
      </c>
      <c r="AA55" s="24">
        <f t="shared" si="62"/>
        <v>-0.44386644736473535</v>
      </c>
      <c r="AB55" s="28">
        <f t="shared" si="8"/>
        <v>-2.7645560187259504</v>
      </c>
      <c r="AE55" s="16">
        <f>-'[4]Acum 21'!$X$513/1000</f>
        <v>0.79457932481447247</v>
      </c>
      <c r="AF55" s="24">
        <f>-'[4]Acum 20'!$X$513/1000</f>
        <v>-13.324575514379761</v>
      </c>
      <c r="AG55" s="28" t="str">
        <f t="shared" si="59"/>
        <v>---</v>
      </c>
      <c r="AJ55" s="16">
        <f t="shared" si="63"/>
        <v>12.999876734107788</v>
      </c>
      <c r="AK55" s="24">
        <f t="shared" si="63"/>
        <v>-10.75409382509836</v>
      </c>
      <c r="AL55" s="28" t="str">
        <f t="shared" si="11"/>
        <v>---</v>
      </c>
      <c r="AN55" s="16">
        <f t="shared" si="64"/>
        <v>-22.959391234391674</v>
      </c>
      <c r="AO55" s="24">
        <f t="shared" si="65"/>
        <v>-1.4020263571543081</v>
      </c>
      <c r="AP55" s="28" t="str">
        <f t="shared" si="60"/>
        <v>---</v>
      </c>
      <c r="AY55" s="24">
        <f>-'[3]Acum 19'!$X$513/1000</f>
        <v>1.3837304801882646</v>
      </c>
      <c r="AZ55" s="24">
        <f>-'[2]2019'!$X$513/1000</f>
        <v>2.5521858123153569</v>
      </c>
    </row>
    <row r="56" spans="4:52" s="9" customFormat="1" ht="17.25" customHeight="1">
      <c r="D56" s="21" t="str">
        <f>+IF($B$3="esp","Resultado Neto","Net Profit")</f>
        <v>Net Profit</v>
      </c>
      <c r="F56" s="16">
        <f>+'[1]Acum 21'!$X$9/1000</f>
        <v>-14.251890724493901</v>
      </c>
      <c r="G56" s="24">
        <f>+'[1]Acum 20'!$X$9/1000</f>
        <v>-10.900349019590198</v>
      </c>
      <c r="H56" s="28">
        <f t="shared" si="2"/>
        <v>-0.30747104509041717</v>
      </c>
      <c r="K56" s="16">
        <f>+'[2]Acum 21'!$X$9/1000</f>
        <v>-6.9733900479964737</v>
      </c>
      <c r="L56" s="24">
        <f>+'[2]Acum 20'!$X$9/1000</f>
        <v>-69.336210214454894</v>
      </c>
      <c r="M56" s="28">
        <f t="shared" si="3"/>
        <v>0.89942643207022732</v>
      </c>
      <c r="P56" s="16">
        <f t="shared" si="61"/>
        <v>7.2785006764974272</v>
      </c>
      <c r="Q56" s="24">
        <f t="shared" si="61"/>
        <v>-58.4358611948647</v>
      </c>
      <c r="R56" s="28" t="str">
        <f t="shared" si="5"/>
        <v>---</v>
      </c>
      <c r="U56" s="16">
        <f>+'[3]Acum 21'!$X$9/1000</f>
        <v>-13.090986745750319</v>
      </c>
      <c r="V56" s="24">
        <f>+'[3]Acum 20'!$X$9/1000</f>
        <v>-82.065755999377032</v>
      </c>
      <c r="W56" s="28">
        <f t="shared" si="58"/>
        <v>0.84048173825572647</v>
      </c>
      <c r="Z56" s="16">
        <f t="shared" si="62"/>
        <v>-6.1175966977538456</v>
      </c>
      <c r="AA56" s="24">
        <f t="shared" si="62"/>
        <v>-12.729545784922138</v>
      </c>
      <c r="AB56" s="28">
        <f t="shared" si="8"/>
        <v>0.51941751880887987</v>
      </c>
      <c r="AE56" s="16">
        <f>+'[4]Acum 21'!$X$9/1000</f>
        <v>-40.040305060210983</v>
      </c>
      <c r="AF56" s="24">
        <f>+'[4]Acum 20'!$X$9/1000</f>
        <v>-72.026812778186866</v>
      </c>
      <c r="AG56" s="28">
        <f t="shared" si="59"/>
        <v>0.4440916720344304</v>
      </c>
      <c r="AJ56" s="16">
        <f t="shared" si="63"/>
        <v>-26.949318314460662</v>
      </c>
      <c r="AK56" s="24">
        <f t="shared" si="63"/>
        <v>10.038943221190166</v>
      </c>
      <c r="AL56" s="28" t="str">
        <f t="shared" si="11"/>
        <v>---</v>
      </c>
      <c r="AN56" s="16">
        <f t="shared" si="64"/>
        <v>-3.0520435245601476</v>
      </c>
      <c r="AO56" s="24">
        <f t="shared" si="65"/>
        <v>-72.844496901545639</v>
      </c>
      <c r="AP56" s="28">
        <f t="shared" si="60"/>
        <v>0.95810193419709944</v>
      </c>
      <c r="AY56" s="24">
        <f>+'[3]Acum 19'!$X$9/1000</f>
        <v>0.73884500275663301</v>
      </c>
      <c r="AZ56" s="24">
        <f>+'[2]2019'!$X$9/1000</f>
        <v>9.960104100588028</v>
      </c>
    </row>
    <row r="58" spans="4:52" s="36" customFormat="1" outlineLevel="1">
      <c r="D58" s="36" t="s">
        <v>5</v>
      </c>
      <c r="F58" s="37">
        <f>+F52-F53+F54-F55-F56</f>
        <v>6.0396132539608516E-14</v>
      </c>
      <c r="G58" s="37">
        <f>+G52-G53+G54-G55-G56</f>
        <v>-5.8619775700208265E-14</v>
      </c>
      <c r="K58" s="37">
        <f>+K52-K53+K54-K55-K56</f>
        <v>1.0391687510491465E-13</v>
      </c>
      <c r="L58" s="37">
        <f>+L52-L53+L54-L55-L56</f>
        <v>0</v>
      </c>
      <c r="P58" s="37">
        <f>+P52-P53+P54-P55-P56</f>
        <v>4.3520742565306136E-14</v>
      </c>
      <c r="Q58" s="37">
        <f>+Q52-Q53+Q54-Q55-Q56</f>
        <v>0</v>
      </c>
      <c r="U58" s="37">
        <f>+U52-U53+U54-U55-U56</f>
        <v>3.6060043839825084E-13</v>
      </c>
      <c r="V58" s="37">
        <f>+V52-V53+V54-V55-V56</f>
        <v>3.0476789808631111E-4</v>
      </c>
      <c r="Z58" s="37">
        <f>+Z52-Z53+Z54-Z55-Z56</f>
        <v>2.5934809855243657E-13</v>
      </c>
      <c r="AA58" s="37">
        <f>+AA52-AA53+AA54-AA55-AA56</f>
        <v>3.0476789818756345E-4</v>
      </c>
      <c r="AE58" s="37">
        <f>+AE52-AE53+AE54-AE55-AE56</f>
        <v>2.4158453015843406E-13</v>
      </c>
      <c r="AF58" s="37">
        <f>+AF52-AF53+AF54-AF55-AF56</f>
        <v>3.972778985144032E-4</v>
      </c>
      <c r="AJ58" s="37">
        <f>+AJ52-AJ53+AJ54-AJ55-AJ56</f>
        <v>-1.2079226507921703E-13</v>
      </c>
      <c r="AK58" s="37">
        <f>+AK52-AK53+AK54-AK55-AK56</f>
        <v>9.2510000417433957E-5</v>
      </c>
      <c r="AN58" s="37">
        <f>+AN52-AN53+AN54-AN55-AN56</f>
        <v>9.2510000769152612E-5</v>
      </c>
      <c r="AO58" s="37">
        <f>+AO52-AO53+AO54-AO55-AO56</f>
        <v>3.0476789855526931E-4</v>
      </c>
      <c r="AY58" s="37">
        <f>+AY52-AY53+AY54-AY55-AY56</f>
        <v>-9.5812247025151009E-14</v>
      </c>
      <c r="AZ58" s="37">
        <f>+AZ52-AZ53+AZ54-AZ55-AZ56</f>
        <v>3.6770586575585185E-13</v>
      </c>
    </row>
    <row r="62" spans="4:52">
      <c r="D62" s="2"/>
      <c r="E62" s="2"/>
      <c r="F62" s="6" t="str">
        <f>+$F$6</f>
        <v>JANUARY - MARCH</v>
      </c>
      <c r="G62" s="7"/>
      <c r="H62" s="7"/>
      <c r="K62" s="6" t="str">
        <f>+$K$6</f>
        <v>JANUARY - JUNE</v>
      </c>
      <c r="L62" s="7"/>
      <c r="M62" s="7"/>
      <c r="P62" s="6" t="str">
        <f>+$P$6</f>
        <v>APRIL - JUNE</v>
      </c>
      <c r="Q62" s="7"/>
      <c r="R62" s="7"/>
      <c r="U62" s="6" t="str">
        <f>+$U$6</f>
        <v>JANUARY - SEPTEMBER</v>
      </c>
      <c r="V62" s="7"/>
      <c r="W62" s="7"/>
      <c r="Z62" s="6" t="str">
        <f>+$Z$6</f>
        <v>JULY - SEPTEMBER</v>
      </c>
      <c r="AA62" s="7"/>
      <c r="AB62" s="7"/>
      <c r="AE62" s="6" t="str">
        <f>+$AE$6</f>
        <v>JANUARY - DECEMBER</v>
      </c>
      <c r="AF62" s="7"/>
      <c r="AG62" s="7"/>
      <c r="AJ62" s="6" t="str">
        <f>+$AJ$6</f>
        <v>OCTOBER - DECEMBER</v>
      </c>
      <c r="AK62" s="7"/>
      <c r="AL62" s="7"/>
    </row>
    <row r="63" spans="4:52">
      <c r="D63" s="2"/>
      <c r="E63" s="2"/>
      <c r="F63" s="2"/>
      <c r="G63" s="2"/>
      <c r="H63" s="2"/>
      <c r="K63" s="2"/>
      <c r="L63" s="2"/>
      <c r="M63" s="2"/>
      <c r="P63" s="2"/>
      <c r="Q63" s="2"/>
      <c r="R63" s="2"/>
      <c r="U63" s="2"/>
      <c r="V63" s="2"/>
      <c r="W63" s="2"/>
      <c r="Z63" s="2"/>
      <c r="AA63" s="2"/>
      <c r="AB63" s="2"/>
      <c r="AE63" s="2"/>
      <c r="AF63" s="2"/>
      <c r="AG63" s="2"/>
      <c r="AJ63" s="2"/>
      <c r="AK63" s="2"/>
      <c r="AL63" s="2"/>
    </row>
    <row r="64" spans="4:52">
      <c r="D64" s="4" t="str">
        <f>+IF($B$3="esp","Millones de €","€ Millions")</f>
        <v>€ Millions</v>
      </c>
      <c r="E64" s="2"/>
      <c r="F64" s="8">
        <v>2021</v>
      </c>
      <c r="G64" s="8">
        <v>2020</v>
      </c>
      <c r="H64" s="8" t="str">
        <f>+IF($B$3="esp","Var.","Chg.")</f>
        <v>Chg.</v>
      </c>
      <c r="K64" s="8">
        <v>2021</v>
      </c>
      <c r="L64" s="8">
        <v>2020</v>
      </c>
      <c r="M64" s="8" t="str">
        <f>+IF($B$3="esp","Var.","Chg.")</f>
        <v>Chg.</v>
      </c>
      <c r="P64" s="8">
        <v>2021</v>
      </c>
      <c r="Q64" s="8">
        <v>2020</v>
      </c>
      <c r="R64" s="8" t="str">
        <f>+IF($B$3="esp","Var.","Chg.")</f>
        <v>Chg.</v>
      </c>
      <c r="U64" s="8">
        <v>2021</v>
      </c>
      <c r="V64" s="8">
        <v>2020</v>
      </c>
      <c r="W64" s="8" t="str">
        <f>+IF($B$3="esp","Var.","Chg.")</f>
        <v>Chg.</v>
      </c>
      <c r="Z64" s="8">
        <v>2021</v>
      </c>
      <c r="AA64" s="8">
        <v>2020</v>
      </c>
      <c r="AB64" s="8" t="str">
        <f>+IF($B$3="esp","Var.","Chg.")</f>
        <v>Chg.</v>
      </c>
      <c r="AE64" s="8">
        <v>2021</v>
      </c>
      <c r="AF64" s="8">
        <v>2020</v>
      </c>
      <c r="AG64" s="8" t="str">
        <f>+IF($B$3="esp","Var.","Chg.")</f>
        <v>Chg.</v>
      </c>
      <c r="AJ64" s="8">
        <v>2021</v>
      </c>
      <c r="AK64" s="8">
        <v>2020</v>
      </c>
      <c r="AL64" s="8" t="str">
        <f>+IF($B$3="esp","Var.","Chg.")</f>
        <v>Chg.</v>
      </c>
    </row>
    <row r="65" spans="4:38" ht="15">
      <c r="D65" s="10" t="str">
        <f>+IF($B$3="esp","Resultados a tipo de cambio constante","Results at constant currency")</f>
        <v>Results at constant currency</v>
      </c>
      <c r="F65" s="11"/>
      <c r="G65" s="11"/>
      <c r="H65" s="11"/>
      <c r="K65" s="11"/>
      <c r="L65" s="11"/>
      <c r="M65" s="11"/>
      <c r="P65" s="11"/>
      <c r="Q65" s="11"/>
      <c r="R65" s="11"/>
      <c r="U65" s="11"/>
      <c r="V65" s="11"/>
      <c r="W65" s="11"/>
      <c r="Z65" s="11"/>
      <c r="AA65" s="11"/>
      <c r="AB65" s="11"/>
      <c r="AE65" s="11"/>
      <c r="AF65" s="11"/>
      <c r="AG65" s="11"/>
      <c r="AJ65" s="11"/>
      <c r="AK65" s="11"/>
      <c r="AL65" s="11"/>
    </row>
    <row r="66" spans="4:38" s="9" customFormat="1" ht="17.25" customHeight="1">
      <c r="D66" s="21" t="str">
        <f>+IF($B$3="esp","Ingresos de Explotación","Operating Revenues")</f>
        <v>Operating Revenues</v>
      </c>
      <c r="F66" s="16">
        <f>+[1]INGRESOS!$AH$177</f>
        <v>77.539003674392134</v>
      </c>
      <c r="G66" s="24">
        <f>+[1]INGRESOS!$AI$177</f>
        <v>84.859654484298744</v>
      </c>
      <c r="H66" s="28">
        <f>IF(G66=0,"---",IF(OR(ABS((F66-G66)/ABS(G66))&gt;9,(F66*G66)&lt;0),"---",IF(G66="0","---",((F66-G66)/ABS(G66)))))</f>
        <v>-8.6267742361137253E-2</v>
      </c>
      <c r="K66" s="16">
        <f>+[2]INGRESOS!$AH$177</f>
        <v>176.0063443029722</v>
      </c>
      <c r="L66" s="24">
        <f>+[2]INGRESOS!$AI$177</f>
        <v>149.18822384493686</v>
      </c>
      <c r="M66" s="28">
        <f>IF(L66=0,"---",IF(OR(ABS((K66-L66)/ABS(L66))&gt;9,(K66*L66)&lt;0),"---",IF(L66="0","---",((K66-L66)/ABS(L66)))))</f>
        <v>0.17976030390917139</v>
      </c>
      <c r="P66" s="16">
        <f>+K66-F66</f>
        <v>98.467340628580061</v>
      </c>
      <c r="Q66" s="24">
        <f>+L66-G66</f>
        <v>64.328569360638113</v>
      </c>
      <c r="R66" s="28">
        <f>IF(Q66=0,"---",IF(OR(ABS((P66-Q66)/ABS(Q66))&gt;9,(P66*Q66)&lt;0),"---",IF(Q66="0","---",((P66-Q66)/ABS(Q66)))))</f>
        <v>0.53069377427863418</v>
      </c>
      <c r="U66" s="16">
        <f>+[3]INGRESOS!$AH$177</f>
        <v>264.76697427093518</v>
      </c>
      <c r="V66" s="24">
        <f>+[3]INGRESOS!$AI$177</f>
        <v>224.3788562888432</v>
      </c>
      <c r="W66" s="28">
        <f>IF(V66=0,"---",IF(OR(ABS((U66-V66)/ABS(V66))&gt;9,(U66*V66)&lt;0),"---",IF(V66="0","---",((U66-V66)/ABS(V66)))))</f>
        <v>0.17999966061909287</v>
      </c>
      <c r="Z66" s="16">
        <f>+U66-K66</f>
        <v>88.760629967962984</v>
      </c>
      <c r="AA66" s="24">
        <f>+V66-L66</f>
        <v>75.190632443906338</v>
      </c>
      <c r="AB66" s="28">
        <f>IF(AA66=0,"---",IF(OR(ABS((Z66-AA66)/ABS(AA66))&gt;9,(Z66*AA66)&lt;0),"---",IF(AA66="0","---",((Z66-AA66)/ABS(AA66)))))</f>
        <v>0.18047457619378485</v>
      </c>
      <c r="AE66" s="16">
        <f>+[4]INGRESOS!$AH$177</f>
        <v>385.14700551521872</v>
      </c>
      <c r="AF66" s="24">
        <f>+[4]INGRESOS!$AI$177</f>
        <v>335.87835637513354</v>
      </c>
      <c r="AG66" s="28">
        <f>IF(AF66=0,"---",IF(OR(ABS((AE66-AF66)/ABS(AF66))&gt;9,(AE66*AF66)&lt;0),"---",IF(AF66="0","---",((AE66-AF66)/ABS(AF66)))))</f>
        <v>0.14668598974879571</v>
      </c>
      <c r="AJ66" s="16">
        <f>+AE66-U66</f>
        <v>120.38003124428354</v>
      </c>
      <c r="AK66" s="24">
        <f>+AF66-V66</f>
        <v>111.49950008629034</v>
      </c>
      <c r="AL66" s="28">
        <f>IF(AK66=0,"---",IF(OR(ABS((AJ66-AK66)/ABS(AK66))&gt;9,(AJ66*AK66)&lt;0),"---",IF(AK66="0","---",((AJ66-AK66)/ABS(AK66)))))</f>
        <v>7.9646376451199249E-2</v>
      </c>
    </row>
    <row r="67" spans="4:38" ht="17.25" customHeight="1">
      <c r="D67" s="20" t="s">
        <v>6</v>
      </c>
      <c r="F67" s="17">
        <f>+[1]INGRESOS!$AH$178</f>
        <v>41.757643405448981</v>
      </c>
      <c r="G67" s="25">
        <f>+[1]INGRESOS!$AI$178</f>
        <v>47.354662346819083</v>
      </c>
      <c r="H67" s="29">
        <f t="shared" ref="H67" si="66">IF(G67=0,"---",IF(OR(ABS((F67-G67)/ABS(G67))&gt;9,(F67*G67)&lt;0),"---",IF(G67="0","---",((F67-G67)/ABS(G67)))))</f>
        <v>-0.11819361946619532</v>
      </c>
      <c r="K67" s="17">
        <f>+[2]INGRESOS!$AH$178</f>
        <v>97.357197941913384</v>
      </c>
      <c r="L67" s="25">
        <f>+[2]INGRESOS!$AI$178</f>
        <v>81.409019257958064</v>
      </c>
      <c r="M67" s="29">
        <f t="shared" ref="M67" si="67">IF(L67=0,"---",IF(OR(ABS((K67-L67)/ABS(L67))&gt;9,(K67*L67)&lt;0),"---",IF(L67="0","---",((K67-L67)/ABS(L67)))))</f>
        <v>0.19590186479732491</v>
      </c>
      <c r="P67" s="17">
        <f t="shared" ref="P67:Q86" si="68">+K67-F67</f>
        <v>55.599554536464403</v>
      </c>
      <c r="Q67" s="25">
        <f t="shared" si="68"/>
        <v>34.054356911138981</v>
      </c>
      <c r="R67" s="29">
        <f t="shared" ref="R67" si="69">IF(Q67=0,"---",IF(OR(ABS((P67-Q67)/ABS(Q67))&gt;9,(P67*Q67)&lt;0),"---",IF(Q67="0","---",((P67-Q67)/ABS(Q67)))))</f>
        <v>0.63267081159527383</v>
      </c>
      <c r="U67" s="17">
        <f>+[3]INGRESOS!$AH$178</f>
        <v>147.9536268840142</v>
      </c>
      <c r="V67" s="25">
        <f>+[3]INGRESOS!$AI$178</f>
        <v>122.46076654436079</v>
      </c>
      <c r="W67" s="29">
        <f t="shared" ref="W67" si="70">IF(V67=0,"---",IF(OR(ABS((U67-V67)/ABS(V67))&gt;9,(U67*V67)&lt;0),"---",IF(V67="0","---",((U67-V67)/ABS(V67)))))</f>
        <v>0.20817165414703448</v>
      </c>
      <c r="Z67" s="17">
        <f t="shared" ref="Z67:AA86" si="71">+U67-K67</f>
        <v>50.596428942100815</v>
      </c>
      <c r="AA67" s="25">
        <f t="shared" si="71"/>
        <v>41.05174728640273</v>
      </c>
      <c r="AB67" s="29">
        <f t="shared" ref="AB67" si="72">IF(AA67=0,"---",IF(OR(ABS((Z67-AA67)/ABS(AA67))&gt;9,(Z67*AA67)&lt;0),"---",IF(AA67="0","---",((Z67-AA67)/ABS(AA67)))))</f>
        <v>0.23250366395146108</v>
      </c>
      <c r="AE67" s="17">
        <f>+[4]INGRESOS!$AH$178</f>
        <v>220.96942937507478</v>
      </c>
      <c r="AF67" s="25">
        <f>+[4]INGRESOS!$AI$178</f>
        <v>186.2867008118952</v>
      </c>
      <c r="AG67" s="29">
        <f t="shared" ref="AG67" si="73">IF(AF67=0,"---",IF(OR(ABS((AE67-AF67)/ABS(AF67))&gt;9,(AE67*AF67)&lt;0),"---",IF(AF67="0","---",((AE67-AF67)/ABS(AF67)))))</f>
        <v>0.18617930540409752</v>
      </c>
      <c r="AJ67" s="17">
        <f t="shared" ref="AJ67:AK86" si="74">+AE67-U67</f>
        <v>73.015802491060583</v>
      </c>
      <c r="AK67" s="25">
        <f t="shared" si="74"/>
        <v>63.825934267534407</v>
      </c>
      <c r="AL67" s="29">
        <f t="shared" ref="AL67" si="75">IF(AK67=0,"---",IF(OR(ABS((AJ67-AK67)/ABS(AK67))&gt;9,(AJ67*AK67)&lt;0),"---",IF(AK67="0","---",((AJ67-AK67)/ABS(AK67)))))</f>
        <v>0.14398329345255945</v>
      </c>
    </row>
    <row r="68" spans="4:38" s="2" customFormat="1" ht="17.25" customHeight="1">
      <c r="D68" s="19" t="str">
        <f>+IF($B$3="esp","España","Spain")</f>
        <v>Spain</v>
      </c>
      <c r="F68" s="18">
        <f>+[1]INGRESOS!$AH$179</f>
        <v>30.71397717</v>
      </c>
      <c r="G68" s="26">
        <f>+[1]INGRESOS!$AI$179</f>
        <v>34.51399351000002</v>
      </c>
      <c r="H68" s="30">
        <f>IF(G68=0,"---",IF(OR(ABS((F68-G68)/ABS(G68))&gt;9,(F68*G68)&lt;0),"---",IF(G68="0","---",((F68-G68)/ABS(G68)))))</f>
        <v>-0.11010074330862381</v>
      </c>
      <c r="K68" s="18">
        <f>+[2]INGRESOS!$AH$179</f>
        <v>72.585775040000001</v>
      </c>
      <c r="L68" s="26">
        <f>+[2]INGRESOS!$AI$179</f>
        <v>60.852808519999989</v>
      </c>
      <c r="M68" s="30">
        <f>IF(L68=0,"---",IF(OR(ABS((K68-L68)/ABS(L68))&gt;9,(K68*L68)&lt;0),"---",IF(L68="0","---",((K68-L68)/ABS(L68)))))</f>
        <v>0.19280895665060119</v>
      </c>
      <c r="P68" s="18">
        <f t="shared" si="68"/>
        <v>41.871797870000002</v>
      </c>
      <c r="Q68" s="26">
        <f t="shared" si="68"/>
        <v>26.338815009999969</v>
      </c>
      <c r="R68" s="30">
        <f>IF(Q68=0,"---",IF(OR(ABS((P68-Q68)/ABS(Q68))&gt;9,(P68*Q68)&lt;0),"---",IF(Q68="0","---",((P68-Q68)/ABS(Q68)))))</f>
        <v>0.58973734597029814</v>
      </c>
      <c r="U68" s="18">
        <f>+[3]INGRESOS!$AH$179</f>
        <v>106.79424923000003</v>
      </c>
      <c r="V68" s="26">
        <f>+[3]INGRESOS!$AI$179</f>
        <v>91.665159710000012</v>
      </c>
      <c r="W68" s="30">
        <f>IF(V68=0,"---",IF(OR(ABS((U68-V68)/ABS(V68))&gt;9,(U68*V68)&lt;0),"---",IF(V68="0","---",((U68-V68)/ABS(V68)))))</f>
        <v>0.16504732624547586</v>
      </c>
      <c r="Z68" s="18">
        <f t="shared" si="71"/>
        <v>34.208474190000032</v>
      </c>
      <c r="AA68" s="26">
        <f t="shared" si="71"/>
        <v>30.812351190000022</v>
      </c>
      <c r="AB68" s="30">
        <f>IF(AA68=0,"---",IF(OR(ABS((Z68-AA68)/ABS(AA68))&gt;9,(Z68*AA68)&lt;0),"---",IF(AA68="0","---",((Z68-AA68)/ABS(AA68)))))</f>
        <v>0.11021953433732778</v>
      </c>
      <c r="AE68" s="18">
        <f>+[4]INGRESOS!$AH$179</f>
        <v>158.61859941</v>
      </c>
      <c r="AF68" s="26">
        <f>+[4]INGRESOS!$AI$179</f>
        <v>139.08034499000001</v>
      </c>
      <c r="AG68" s="30">
        <f>IF(AF68=0,"---",IF(OR(ABS((AE68-AF68)/ABS(AF68))&gt;9,(AE68*AF68)&lt;0),"---",IF(AF68="0","---",((AE68-AF68)/ABS(AF68)))))</f>
        <v>0.14048177994816452</v>
      </c>
      <c r="AJ68" s="18">
        <f t="shared" si="74"/>
        <v>51.824350179999968</v>
      </c>
      <c r="AK68" s="26">
        <f t="shared" si="74"/>
        <v>47.415185280000003</v>
      </c>
      <c r="AL68" s="30">
        <f>IF(AK68=0,"---",IF(OR(ABS((AJ68-AK68)/ABS(AK68))&gt;9,(AJ68*AK68)&lt;0),"---",IF(AK68="0","---",((AJ68-AK68)/ABS(AK68)))))</f>
        <v>9.2990565658714733E-2</v>
      </c>
    </row>
    <row r="69" spans="4:38" s="2" customFormat="1" ht="17.25" customHeight="1">
      <c r="D69" s="19" t="str">
        <f>+IF($B$3="esp","Latam","Latam")</f>
        <v>Latam</v>
      </c>
      <c r="F69" s="18">
        <f>+[1]INGRESOS!$AH$182</f>
        <v>11.695831273018909</v>
      </c>
      <c r="G69" s="26">
        <f>+[1]INGRESOS!$AI$182</f>
        <v>13.846692374959458</v>
      </c>
      <c r="H69" s="30">
        <f>IF(G69=0,"---",IF(OR(ABS((F69-G69)/ABS(G69))&gt;9,(F69*G69)&lt;0),"---",IF(G69="0","---",((F69-G69)/ABS(G69)))))</f>
        <v>-0.15533392695501744</v>
      </c>
      <c r="K69" s="18">
        <f>+[2]INGRESOS!$AH$182</f>
        <v>26.245751193007411</v>
      </c>
      <c r="L69" s="26">
        <f>+[2]INGRESOS!$AI$182</f>
        <v>22.478095251301824</v>
      </c>
      <c r="M69" s="30">
        <f>IF(L69=0,"---",IF(OR(ABS((K69-L69)/ABS(L69))&gt;9,(K69*L69)&lt;0),"---",IF(L69="0","---",((K69-L69)/ABS(L69)))))</f>
        <v>0.16761455539643125</v>
      </c>
      <c r="P69" s="18">
        <f t="shared" si="68"/>
        <v>14.549919919988502</v>
      </c>
      <c r="Q69" s="26">
        <f t="shared" si="68"/>
        <v>8.6314028763423654</v>
      </c>
      <c r="R69" s="30">
        <f>IF(Q69=0,"---",IF(OR(ABS((P69-Q69)/ABS(Q69))&gt;9,(P69*Q69)&lt;0),"---",IF(Q69="0","---",((P69-Q69)/ABS(Q69)))))</f>
        <v>0.68569583976529225</v>
      </c>
      <c r="U69" s="18">
        <f>+[3]INGRESOS!$AH$182</f>
        <v>43.397074719177837</v>
      </c>
      <c r="V69" s="26">
        <f>+[3]INGRESOS!$AI$182</f>
        <v>33.595204297656409</v>
      </c>
      <c r="W69" s="30">
        <f>IF(V69=0,"---",IF(OR(ABS((U69-V69)/ABS(V69))&gt;9,(U69*V69)&lt;0),"---",IF(V69="0","---",((U69-V69)/ABS(V69)))))</f>
        <v>0.29176397722353498</v>
      </c>
      <c r="Z69" s="18">
        <f t="shared" si="71"/>
        <v>17.151323526170426</v>
      </c>
      <c r="AA69" s="26">
        <f t="shared" si="71"/>
        <v>11.117109046354585</v>
      </c>
      <c r="AB69" s="30">
        <f>IF(AA69=0,"---",IF(OR(ABS((Z69-AA69)/ABS(AA69))&gt;9,(Z69*AA69)&lt;0),"---",IF(AA69="0","---",((Z69-AA69)/ABS(AA69)))))</f>
        <v>0.54278629944666434</v>
      </c>
      <c r="AE69" s="18">
        <f>+[4]INGRESOS!$AH$182</f>
        <v>65.277430642254984</v>
      </c>
      <c r="AF69" s="26">
        <f>+[4]INGRESOS!$AI$182</f>
        <v>50.878367304910604</v>
      </c>
      <c r="AG69" s="30">
        <f>IF(AF69=0,"---",IF(OR(ABS((AE69-AF69)/ABS(AF69))&gt;9,(AE69*AF69)&lt;0),"---",IF(AF69="0","---",((AE69-AF69)/ABS(AF69)))))</f>
        <v>0.28300954020501029</v>
      </c>
      <c r="AJ69" s="18">
        <f t="shared" si="74"/>
        <v>21.880355923077147</v>
      </c>
      <c r="AK69" s="26">
        <f t="shared" si="74"/>
        <v>17.283163007254196</v>
      </c>
      <c r="AL69" s="30">
        <f>IF(AK69=0,"---",IF(OR(ABS((AJ69-AK69)/ABS(AK69))&gt;9,(AJ69*AK69)&lt;0),"---",IF(AK69="0","---",((AJ69-AK69)/ABS(AK69)))))</f>
        <v>0.26599256825231521</v>
      </c>
    </row>
    <row r="70" spans="4:38" ht="17.25" customHeight="1">
      <c r="D70" s="20" t="s">
        <v>7</v>
      </c>
      <c r="F70" s="17">
        <f>+[1]INGRESOS!$AH$191</f>
        <v>40.01682354716818</v>
      </c>
      <c r="G70" s="25">
        <f>+[1]INGRESOS!$AI$191</f>
        <v>41.695034774625768</v>
      </c>
      <c r="H70" s="29">
        <f t="shared" ref="H70" si="76">IF(G70=0,"---",IF(OR(ABS((F70-G70)/ABS(G70))&gt;9,(F70*G70)&lt;0),"---",IF(G70="0","---",((F70-G70)/ABS(G70)))))</f>
        <v>-4.0249666094028358E-2</v>
      </c>
      <c r="K70" s="17">
        <f>+[2]INGRESOS!$AH$191</f>
        <v>87.181681341267549</v>
      </c>
      <c r="L70" s="25">
        <f>+[2]INGRESOS!$AI$191</f>
        <v>75.579894746428039</v>
      </c>
      <c r="M70" s="29">
        <f t="shared" ref="M70" si="77">IF(L70=0,"---",IF(OR(ABS((K70-L70)/ABS(L70))&gt;9,(K70*L70)&lt;0),"---",IF(L70="0","---",((K70-L70)/ABS(L70)))))</f>
        <v>0.15350360878066477</v>
      </c>
      <c r="P70" s="17">
        <f t="shared" si="68"/>
        <v>47.164857794099369</v>
      </c>
      <c r="Q70" s="25">
        <f t="shared" si="68"/>
        <v>33.884859971802271</v>
      </c>
      <c r="R70" s="29">
        <f t="shared" ref="R70" si="78">IF(Q70=0,"---",IF(OR(ABS((P70-Q70)/ABS(Q70))&gt;9,(P70*Q70)&lt;0),"---",IF(Q70="0","---",((P70-Q70)/ABS(Q70)))))</f>
        <v>0.39191538148152955</v>
      </c>
      <c r="U70" s="17">
        <f>+[3]INGRESOS!$AH$191</f>
        <v>129.56802335934611</v>
      </c>
      <c r="V70" s="25">
        <f>+[3]INGRESOS!$AI$191</f>
        <v>113.45729351523904</v>
      </c>
      <c r="W70" s="29">
        <f t="shared" ref="W70" si="79">IF(V70=0,"---",IF(OR(ABS((U70-V70)/ABS(V70))&gt;9,(U70*V70)&lt;0),"---",IF(V70="0","---",((U70-V70)/ABS(V70)))))</f>
        <v>0.14199818579264059</v>
      </c>
      <c r="Z70" s="17">
        <f t="shared" si="71"/>
        <v>42.386342018078565</v>
      </c>
      <c r="AA70" s="25">
        <f t="shared" si="71"/>
        <v>37.877398768811005</v>
      </c>
      <c r="AB70" s="29">
        <f t="shared" ref="AB70" si="80">IF(AA70=0,"---",IF(OR(ABS((Z70-AA70)/ABS(AA70))&gt;9,(Z70*AA70)&lt;0),"---",IF(AA70="0","---",((Z70-AA70)/ABS(AA70)))))</f>
        <v>0.11904046729260385</v>
      </c>
      <c r="AE70" s="17">
        <f>+[4]INGRESOS!$AH$191</f>
        <v>181.08262995132608</v>
      </c>
      <c r="AF70" s="25">
        <f>+[4]INGRESOS!$AI$191</f>
        <v>164.70120781854948</v>
      </c>
      <c r="AG70" s="29">
        <f t="shared" ref="AG70" si="81">IF(AF70=0,"---",IF(OR(ABS((AE70-AF70)/ABS(AF70))&gt;9,(AE70*AF70)&lt;0),"---",IF(AF70="0","---",((AE70-AF70)/ABS(AF70)))))</f>
        <v>9.9461457203300782E-2</v>
      </c>
      <c r="AJ70" s="17">
        <f t="shared" si="74"/>
        <v>51.51460659197997</v>
      </c>
      <c r="AK70" s="25">
        <f t="shared" si="74"/>
        <v>51.243914303310433</v>
      </c>
      <c r="AL70" s="29">
        <f t="shared" ref="AL70" si="82">IF(AK70=0,"---",IF(OR(ABS((AJ70-AK70)/ABS(AK70))&gt;9,(AJ70*AK70)&lt;0),"---",IF(AK70="0","---",((AJ70-AK70)/ABS(AK70)))))</f>
        <v>5.282428018033929E-3</v>
      </c>
    </row>
    <row r="71" spans="4:38" s="2" customFormat="1" ht="17.25" customHeight="1">
      <c r="D71" s="19" t="str">
        <f>+IF($B$3="esp","Prensa","Press")</f>
        <v>Press</v>
      </c>
      <c r="F71" s="18">
        <f>+[1]INGRESOS!$AH$192</f>
        <v>35.949911318904597</v>
      </c>
      <c r="G71" s="26">
        <f>+[1]INGRESOS!$AI$192</f>
        <v>37.170955345763545</v>
      </c>
      <c r="H71" s="30">
        <f>IF(G71=0,"---",IF(OR(ABS((F71-G71)/ABS(G71))&gt;9,(F71*G71)&lt;0),"---",IF(G71="0","---",((F71-G71)/ABS(G71)))))</f>
        <v>-3.2849412007327196E-2</v>
      </c>
      <c r="K71" s="18">
        <f>+[2]INGRESOS!$AH$192</f>
        <v>78.846984729305447</v>
      </c>
      <c r="L71" s="26">
        <f>+[2]INGRESOS!$AI$192</f>
        <v>66.499560406513496</v>
      </c>
      <c r="M71" s="30">
        <f>IF(L71=0,"---",IF(OR(ABS((K71-L71)/ABS(L71))&gt;9,(K71*L71)&lt;0),"---",IF(L71="0","---",((K71-L71)/ABS(L71)))))</f>
        <v>0.18567678112925612</v>
      </c>
      <c r="P71" s="18">
        <f t="shared" si="68"/>
        <v>42.89707341040085</v>
      </c>
      <c r="Q71" s="26">
        <f t="shared" si="68"/>
        <v>29.32860506074995</v>
      </c>
      <c r="R71" s="30">
        <f>IF(Q71=0,"---",IF(OR(ABS((P71-Q71)/ABS(Q71))&gt;9,(P71*Q71)&lt;0),"---",IF(Q71="0","---",((P71-Q71)/ABS(Q71)))))</f>
        <v>0.46263599382056481</v>
      </c>
      <c r="U71" s="18">
        <f>+[3]INGRESOS!$AH$192</f>
        <v>116.5348753455237</v>
      </c>
      <c r="V71" s="26">
        <f>+[3]INGRESOS!$AI$192</f>
        <v>100.2909038094117</v>
      </c>
      <c r="W71" s="30">
        <f>IF(V71=0,"---",IF(OR(ABS((U71-V71)/ABS(V71))&gt;9,(U71*V71)&lt;0),"---",IF(V71="0","---",((U71-V71)/ABS(V71)))))</f>
        <v>0.16196854270035604</v>
      </c>
      <c r="Z71" s="18">
        <f t="shared" si="71"/>
        <v>37.687890616218255</v>
      </c>
      <c r="AA71" s="26">
        <f t="shared" si="71"/>
        <v>33.791343402898207</v>
      </c>
      <c r="AB71" s="30">
        <f>IF(AA71=0,"---",IF(OR(ABS((Z71-AA71)/ABS(AA71))&gt;9,(Z71*AA71)&lt;0),"---",IF(AA71="0","---",((Z71-AA71)/ABS(AA71)))))</f>
        <v>0.11531199475738658</v>
      </c>
      <c r="AE71" s="18">
        <f>+[4]INGRESOS!$AH$192</f>
        <v>163.60021389089704</v>
      </c>
      <c r="AF71" s="26">
        <f>+[4]INGRESOS!$AI$192</f>
        <v>147.41261837201321</v>
      </c>
      <c r="AG71" s="30">
        <f>IF(AF71=0,"---",IF(OR(ABS((AE71-AF71)/ABS(AF71))&gt;9,(AE71*AF71)&lt;0),"---",IF(AF71="0","---",((AE71-AF71)/ABS(AF71)))))</f>
        <v>0.10981146456562157</v>
      </c>
      <c r="AJ71" s="18">
        <f t="shared" si="74"/>
        <v>47.065338545373336</v>
      </c>
      <c r="AK71" s="26">
        <f t="shared" si="74"/>
        <v>47.121714562601511</v>
      </c>
      <c r="AL71" s="30">
        <f>IF(AK71=0,"---",IF(OR(ABS((AJ71-AK71)/ABS(AK71))&gt;9,(AJ71*AK71)&lt;0),"---",IF(AK71="0","---",((AJ71-AK71)/ABS(AK71)))))</f>
        <v>-1.1963914673197797E-3</v>
      </c>
    </row>
    <row r="72" spans="4:38" s="2" customFormat="1" ht="17.25" customHeight="1">
      <c r="D72" s="19" t="str">
        <f>+IF($B$3="esp","PBS y Prisa Tecnología (incluye elim.)","PBS&amp;Prisa IT (includes interco.elim.)")</f>
        <v>PBS&amp;Prisa IT (includes interco.elim.)</v>
      </c>
      <c r="F72" s="18">
        <f>+F70-F71</f>
        <v>4.0669122282635826</v>
      </c>
      <c r="G72" s="26">
        <f>+G70-G71</f>
        <v>4.5240794288622226</v>
      </c>
      <c r="H72" s="30">
        <f>IF(G72=0,"---",IF(OR(ABS((F72-G72)/ABS(G72))&gt;9,(F72*G72)&lt;0),"---",IF(G72="0","---",((F72-G72)/ABS(G72)))))</f>
        <v>-0.1010519836769565</v>
      </c>
      <c r="K72" s="18">
        <f>+K70-K71</f>
        <v>8.3346966119621015</v>
      </c>
      <c r="L72" s="26">
        <f>+L70-L71</f>
        <v>9.0803343399145433</v>
      </c>
      <c r="M72" s="30">
        <f>IF(L72=0,"---",IF(OR(ABS((K72-L72)/ABS(L72))&gt;9,(K72*L72)&lt;0),"---",IF(L72="0","---",((K72-L72)/ABS(L72)))))</f>
        <v>-8.21156688773928E-2</v>
      </c>
      <c r="P72" s="18">
        <f t="shared" si="68"/>
        <v>4.267784383698519</v>
      </c>
      <c r="Q72" s="26">
        <f t="shared" si="68"/>
        <v>4.5562549110523207</v>
      </c>
      <c r="R72" s="30">
        <f>IF(Q72=0,"---",IF(OR(ABS((P72-Q72)/ABS(Q72))&gt;9,(P72*Q72)&lt;0),"---",IF(Q72="0","---",((P72-Q72)/ABS(Q72)))))</f>
        <v>-6.3313079049647836E-2</v>
      </c>
      <c r="U72" s="18">
        <f>+U70-U71</f>
        <v>13.033148013822412</v>
      </c>
      <c r="V72" s="26">
        <f>+V70-V71</f>
        <v>13.166389705827342</v>
      </c>
      <c r="W72" s="30">
        <f>IF(V72=0,"---",IF(OR(ABS((U72-V72)/ABS(V72))&gt;9,(U72*V72)&lt;0),"---",IF(V72="0","---",((U72-V72)/ABS(V72)))))</f>
        <v>-1.0119835048324448E-2</v>
      </c>
      <c r="Z72" s="18">
        <f t="shared" si="71"/>
        <v>4.6984514018603107</v>
      </c>
      <c r="AA72" s="26">
        <f t="shared" si="71"/>
        <v>4.0860553659127987</v>
      </c>
      <c r="AB72" s="30">
        <f>IF(AA72=0,"---",IF(OR(ABS((Z72-AA72)/ABS(AA72))&gt;9,(Z72*AA72)&lt;0),"---",IF(AA72="0","---",((Z72-AA72)/ABS(AA72)))))</f>
        <v>0.14987462995639234</v>
      </c>
      <c r="AE72" s="18">
        <f>+AE70-AE71</f>
        <v>17.482416060429046</v>
      </c>
      <c r="AF72" s="26">
        <f>+AF70-AF71</f>
        <v>17.288589446536264</v>
      </c>
      <c r="AG72" s="30">
        <f>IF(AF72=0,"---",IF(OR(ABS((AE72-AF72)/ABS(AF72))&gt;9,(AE72*AF72)&lt;0),"---",IF(AF72="0","---",((AE72-AF72)/ABS(AF72)))))</f>
        <v>1.1211245110087009E-2</v>
      </c>
      <c r="AJ72" s="18">
        <f t="shared" si="74"/>
        <v>4.4492680466066332</v>
      </c>
      <c r="AK72" s="26">
        <f t="shared" si="74"/>
        <v>4.1221997407089219</v>
      </c>
      <c r="AL72" s="30">
        <f>IF(AK72=0,"---",IF(OR(ABS((AJ72-AK72)/ABS(AK72))&gt;9,(AJ72*AK72)&lt;0),"---",IF(AK72="0","---",((AJ72-AK72)/ABS(AK72)))))</f>
        <v>7.934314843304105E-2</v>
      </c>
    </row>
    <row r="73" spans="4:38" s="9" customFormat="1" ht="17.25" customHeight="1">
      <c r="D73" s="21" t="str">
        <f>+IF($B$3="esp","Gastos de Explotación","Expenses")</f>
        <v>Expenses</v>
      </c>
      <c r="F73" s="16">
        <f t="shared" ref="F73:G79" si="83">+F66-F80</f>
        <v>85.335929404216969</v>
      </c>
      <c r="G73" s="24">
        <f t="shared" si="83"/>
        <v>90.154324507070982</v>
      </c>
      <c r="H73" s="28">
        <f t="shared" ref="H73:H74" si="84">IF(G73=0,"---",IF(OR(ABS((F73-G73)/ABS(G73))&gt;9,(F73*G73)&lt;0),"---",IF(G73="0","---",((F73-G73)/ABS(G73)))))</f>
        <v>-5.3446078479309066E-2</v>
      </c>
      <c r="K73" s="16">
        <f t="shared" ref="K73:L79" si="85">+K66-K80</f>
        <v>177.52084476270721</v>
      </c>
      <c r="L73" s="24">
        <f t="shared" si="85"/>
        <v>168.01003185604415</v>
      </c>
      <c r="M73" s="28">
        <f t="shared" ref="M73:M74" si="86">IF(L73=0,"---",IF(OR(ABS((K73-L73)/ABS(L73))&gt;9,(K73*L73)&lt;0),"---",IF(L73="0","---",((K73-L73)/ABS(L73)))))</f>
        <v>5.6608601293595386E-2</v>
      </c>
      <c r="P73" s="16">
        <f t="shared" si="68"/>
        <v>92.184915358490244</v>
      </c>
      <c r="Q73" s="24">
        <f t="shared" si="68"/>
        <v>77.855707348973169</v>
      </c>
      <c r="R73" s="28">
        <f t="shared" ref="R73:R74" si="87">IF(Q73=0,"---",IF(OR(ABS((P73-Q73)/ABS(Q73))&gt;9,(P73*Q73)&lt;0),"---",IF(Q73="0","---",((P73-Q73)/ABS(Q73)))))</f>
        <v>0.18404826694707388</v>
      </c>
      <c r="U73" s="16">
        <f t="shared" ref="U73:V79" si="88">+U66-U80</f>
        <v>265.09325802023113</v>
      </c>
      <c r="V73" s="24">
        <f t="shared" si="88"/>
        <v>247.56340392242748</v>
      </c>
      <c r="W73" s="28">
        <f t="shared" ref="W73:W74" si="89">IF(V73=0,"---",IF(OR(ABS((U73-V73)/ABS(V73))&gt;9,(U73*V73)&lt;0),"---",IF(V73="0","---",((U73-V73)/ABS(V73)))))</f>
        <v>7.080955351258833E-2</v>
      </c>
      <c r="Z73" s="16">
        <f t="shared" si="71"/>
        <v>87.57241325752392</v>
      </c>
      <c r="AA73" s="24">
        <f t="shared" si="71"/>
        <v>79.553372066383332</v>
      </c>
      <c r="AB73" s="28">
        <f t="shared" ref="AB73:AB74" si="90">IF(AA73=0,"---",IF(OR(ABS((Z73-AA73)/ABS(AA73))&gt;9,(Z73*AA73)&lt;0),"---",IF(AA73="0","---",((Z73-AA73)/ABS(AA73)))))</f>
        <v>0.10080077038656635</v>
      </c>
      <c r="AE73" s="16">
        <f t="shared" ref="AE73:AF79" si="91">+AE66-AE80</f>
        <v>374.86464415699493</v>
      </c>
      <c r="AF73" s="24">
        <f t="shared" si="91"/>
        <v>341.25323246973261</v>
      </c>
      <c r="AG73" s="28">
        <f t="shared" ref="AG73:AG74" si="92">IF(AF73=0,"---",IF(OR(ABS((AE73-AF73)/ABS(AF73))&gt;9,(AE73*AF73)&lt;0),"---",IF(AF73="0","---",((AE73-AF73)/ABS(AF73)))))</f>
        <v>9.8494046324509102E-2</v>
      </c>
      <c r="AJ73" s="16">
        <f t="shared" si="74"/>
        <v>109.77138613676379</v>
      </c>
      <c r="AK73" s="24">
        <f t="shared" si="74"/>
        <v>93.689828547305126</v>
      </c>
      <c r="AL73" s="28">
        <f t="shared" ref="AL73:AL74" si="93">IF(AK73=0,"---",IF(OR(ABS((AJ73-AK73)/ABS(AK73))&gt;9,(AJ73*AK73)&lt;0),"---",IF(AK73="0","---",((AJ73-AK73)/ABS(AK73)))))</f>
        <v>0.1716467821406984</v>
      </c>
    </row>
    <row r="74" spans="4:38" ht="17.25" customHeight="1">
      <c r="D74" s="20" t="s">
        <v>6</v>
      </c>
      <c r="F74" s="17">
        <f t="shared" si="83"/>
        <v>46.623229788773543</v>
      </c>
      <c r="G74" s="25">
        <f t="shared" si="83"/>
        <v>46.682298615856027</v>
      </c>
      <c r="H74" s="29">
        <f t="shared" si="84"/>
        <v>-1.2653367300645508E-3</v>
      </c>
      <c r="K74" s="17">
        <f t="shared" si="85"/>
        <v>99.696593582126056</v>
      </c>
      <c r="L74" s="25">
        <f t="shared" si="85"/>
        <v>86.591767701984665</v>
      </c>
      <c r="M74" s="29">
        <f t="shared" si="86"/>
        <v>0.15134032053997473</v>
      </c>
      <c r="P74" s="17">
        <f t="shared" si="68"/>
        <v>53.073363793352513</v>
      </c>
      <c r="Q74" s="25">
        <f t="shared" si="68"/>
        <v>39.909469086128638</v>
      </c>
      <c r="R74" s="29">
        <f t="shared" si="87"/>
        <v>0.32984389441049367</v>
      </c>
      <c r="U74" s="17">
        <f t="shared" si="88"/>
        <v>146.90561034595825</v>
      </c>
      <c r="V74" s="25">
        <f t="shared" si="88"/>
        <v>128.66406280304693</v>
      </c>
      <c r="W74" s="29">
        <f t="shared" si="89"/>
        <v>0.14177655473879017</v>
      </c>
      <c r="Z74" s="17">
        <f t="shared" si="71"/>
        <v>47.209016763832196</v>
      </c>
      <c r="AA74" s="25">
        <f t="shared" si="71"/>
        <v>42.072295101062267</v>
      </c>
      <c r="AB74" s="29">
        <f t="shared" si="90"/>
        <v>0.1220927370477641</v>
      </c>
      <c r="AE74" s="17">
        <f t="shared" si="91"/>
        <v>203.32480969161313</v>
      </c>
      <c r="AF74" s="25">
        <f t="shared" si="91"/>
        <v>181.41302419756374</v>
      </c>
      <c r="AG74" s="29">
        <f t="shared" si="92"/>
        <v>0.12078397122241262</v>
      </c>
      <c r="AJ74" s="17">
        <f t="shared" si="74"/>
        <v>56.419199345654874</v>
      </c>
      <c r="AK74" s="25">
        <f t="shared" si="74"/>
        <v>52.748961394516812</v>
      </c>
      <c r="AL74" s="29">
        <f t="shared" si="93"/>
        <v>6.9579340599482953E-2</v>
      </c>
    </row>
    <row r="75" spans="4:38" ht="17.25" customHeight="1">
      <c r="D75" s="19" t="str">
        <f>+IF($B$3="esp","España","Spain")</f>
        <v>Spain</v>
      </c>
      <c r="F75" s="18">
        <f t="shared" si="83"/>
        <v>34.230712769999968</v>
      </c>
      <c r="G75" s="26">
        <f t="shared" si="83"/>
        <v>33.137756689999996</v>
      </c>
      <c r="H75" s="30">
        <f>IF(G75=0,"---",IF(OR(ABS((F75-G75)/ABS(G75))&gt;9,(F75*G75)&lt;0),"---",IF(G75="0","---",((F75-G75)/ABS(G75)))))</f>
        <v>3.2982198832119322E-2</v>
      </c>
      <c r="K75" s="18">
        <f t="shared" si="85"/>
        <v>75.116220010000006</v>
      </c>
      <c r="L75" s="26">
        <f t="shared" si="85"/>
        <v>62.318450669999997</v>
      </c>
      <c r="M75" s="30">
        <f>IF(L75=0,"---",IF(OR(ABS((K75-L75)/ABS(L75))&gt;9,(K75*L75)&lt;0),"---",IF(L75="0","---",((K75-L75)/ABS(L75)))))</f>
        <v>0.20536083940483513</v>
      </c>
      <c r="P75" s="18">
        <f t="shared" si="68"/>
        <v>40.885507240000038</v>
      </c>
      <c r="Q75" s="26">
        <f t="shared" si="68"/>
        <v>29.180693980000001</v>
      </c>
      <c r="R75" s="30">
        <f>IF(Q75=0,"---",IF(OR(ABS((P75-Q75)/ABS(Q75))&gt;9,(P75*Q75)&lt;0),"---",IF(Q75="0","---",((P75-Q75)/ABS(Q75)))))</f>
        <v>0.40111497238627486</v>
      </c>
      <c r="U75" s="18">
        <f t="shared" si="88"/>
        <v>110.10504073000008</v>
      </c>
      <c r="V75" s="26">
        <f t="shared" si="88"/>
        <v>93.16476757999996</v>
      </c>
      <c r="W75" s="30">
        <f>IF(V75=0,"---",IF(OR(ABS((U75-V75)/ABS(V75))&gt;9,(U75*V75)&lt;0),"---",IF(V75="0","---",((U75-V75)/ABS(V75)))))</f>
        <v>0.18183132518903808</v>
      </c>
      <c r="Z75" s="18">
        <f t="shared" si="71"/>
        <v>34.988820720000078</v>
      </c>
      <c r="AA75" s="26">
        <f t="shared" si="71"/>
        <v>30.846316909999963</v>
      </c>
      <c r="AB75" s="30">
        <f>IF(AA75=0,"---",IF(OR(ABS((Z75-AA75)/ABS(AA75))&gt;9,(Z75*AA75)&lt;0),"---",IF(AA75="0","---",((Z75-AA75)/ABS(AA75)))))</f>
        <v>0.13429492480696034</v>
      </c>
      <c r="AE75" s="18">
        <f t="shared" si="91"/>
        <v>153.00081271999991</v>
      </c>
      <c r="AF75" s="26">
        <f t="shared" si="91"/>
        <v>132.85189879000001</v>
      </c>
      <c r="AG75" s="30">
        <f>IF(AF75=0,"---",IF(OR(ABS((AE75-AF75)/ABS(AF75))&gt;9,(AE75*AF75)&lt;0),"---",IF(AF75="0","---",((AE75-AF75)/ABS(AF75)))))</f>
        <v>0.1516644783666167</v>
      </c>
      <c r="AJ75" s="18">
        <f t="shared" si="74"/>
        <v>42.89577198999983</v>
      </c>
      <c r="AK75" s="26">
        <f t="shared" si="74"/>
        <v>39.687131210000047</v>
      </c>
      <c r="AL75" s="30">
        <f>IF(AK75=0,"---",IF(OR(ABS((AJ75-AK75)/ABS(AK75))&gt;9,(AJ75*AK75)&lt;0),"---",IF(AK75="0","---",((AJ75-AK75)/ABS(AK75)))))</f>
        <v>8.0848392972059799E-2</v>
      </c>
    </row>
    <row r="76" spans="4:38" ht="17.25" customHeight="1">
      <c r="D76" s="19" t="str">
        <f>+IF($B$3="esp","Latam","Latam")</f>
        <v>Latam</v>
      </c>
      <c r="F76" s="18">
        <f t="shared" si="83"/>
        <v>13.094378092141524</v>
      </c>
      <c r="G76" s="26">
        <f t="shared" si="83"/>
        <v>14.895898933996431</v>
      </c>
      <c r="H76" s="30">
        <f>IF(G76=0,"---",IF(OR(ABS((F76-G76)/ABS(G76))&gt;9,(F76*G76)&lt;0),"---",IF(G76="0","---",((F76-G76)/ABS(G76)))))</f>
        <v>-0.12094072669514121</v>
      </c>
      <c r="K76" s="18">
        <f t="shared" si="85"/>
        <v>25.902141739017878</v>
      </c>
      <c r="L76" s="26">
        <f t="shared" si="85"/>
        <v>26.536076005328351</v>
      </c>
      <c r="M76" s="30">
        <f>IF(L76=0,"---",IF(OR(ABS((K76-L76)/ABS(L76))&gt;9,(K76*L76)&lt;0),"---",IF(L76="0","---",((K76-L76)/ABS(L76)))))</f>
        <v>-2.3889525572024312E-2</v>
      </c>
      <c r="P76" s="18">
        <f t="shared" si="68"/>
        <v>12.807763646876355</v>
      </c>
      <c r="Q76" s="26">
        <f t="shared" si="68"/>
        <v>11.640177071331919</v>
      </c>
      <c r="R76" s="30">
        <f>IF(Q76=0,"---",IF(OR(ABS((P76-Q76)/ABS(Q76))&gt;9,(P76*Q76)&lt;0),"---",IF(Q76="0","---",((P76-Q76)/ABS(Q76)))))</f>
        <v>0.10030659915131643</v>
      </c>
      <c r="U76" s="18">
        <f t="shared" si="88"/>
        <v>38.77163900691982</v>
      </c>
      <c r="V76" s="26">
        <f t="shared" si="88"/>
        <v>38.638505116342621</v>
      </c>
      <c r="W76" s="30">
        <f>IF(V76=0,"---",IF(OR(ABS((U76-V76)/ABS(V76))&gt;9,(U76*V76)&lt;0),"---",IF(V76="0","---",((U76-V76)/ABS(V76)))))</f>
        <v>3.4456273651458638E-3</v>
      </c>
      <c r="Z76" s="18">
        <f t="shared" si="71"/>
        <v>12.869497267901941</v>
      </c>
      <c r="AA76" s="26">
        <f t="shared" si="71"/>
        <v>12.102429111014271</v>
      </c>
      <c r="AB76" s="30">
        <f>IF(AA76=0,"---",IF(OR(ABS((Z76-AA76)/ABS(AA76))&gt;9,(Z76*AA76)&lt;0),"---",IF(AA76="0","---",((Z76-AA76)/ABS(AA76)))))</f>
        <v>6.3381338560336759E-2</v>
      </c>
      <c r="AE76" s="18">
        <f t="shared" si="91"/>
        <v>52.817070524591315</v>
      </c>
      <c r="AF76" s="26">
        <f t="shared" si="91"/>
        <v>52.552569660579223</v>
      </c>
      <c r="AG76" s="30">
        <f>IF(AF76=0,"---",IF(OR(ABS((AE76-AF76)/ABS(AF76))&gt;9,(AE76*AF76)&lt;0),"---",IF(AF76="0","---",((AE76-AF76)/ABS(AF76)))))</f>
        <v>5.0330719453001299E-3</v>
      </c>
      <c r="AJ76" s="18">
        <f t="shared" si="74"/>
        <v>14.045431517671496</v>
      </c>
      <c r="AK76" s="26">
        <f t="shared" si="74"/>
        <v>13.914064544236602</v>
      </c>
      <c r="AL76" s="30">
        <f>IF(AK76=0,"---",IF(OR(ABS((AJ76-AK76)/ABS(AK76))&gt;9,(AJ76*AK76)&lt;0),"---",IF(AK76="0","---",((AJ76-AK76)/ABS(AK76)))))</f>
        <v>9.4413083263515159E-3</v>
      </c>
    </row>
    <row r="77" spans="4:38" ht="17.25" customHeight="1">
      <c r="D77" s="20" t="s">
        <v>7</v>
      </c>
      <c r="F77" s="17">
        <f t="shared" si="83"/>
        <v>42.948162893668432</v>
      </c>
      <c r="G77" s="25">
        <f t="shared" si="83"/>
        <v>47.66206852836109</v>
      </c>
      <c r="H77" s="29">
        <f t="shared" ref="H77" si="94">IF(G77=0,"---",IF(OR(ABS((F77-G77)/ABS(G77))&gt;9,(F77*G77)&lt;0),"---",IF(G77="0","---",((F77-G77)/ABS(G77)))))</f>
        <v>-9.8902665793610497E-2</v>
      </c>
      <c r="K77" s="17">
        <f t="shared" si="85"/>
        <v>86.183499120789776</v>
      </c>
      <c r="L77" s="25">
        <f t="shared" si="85"/>
        <v>89.218954313508746</v>
      </c>
      <c r="M77" s="29">
        <f t="shared" ref="M77" si="95">IF(L77=0,"---",IF(OR(ABS((K77-L77)/ABS(L77))&gt;9,(K77*L77)&lt;0),"---",IF(L77="0","---",((K77-L77)/ABS(L77)))))</f>
        <v>-3.4022537207201595E-2</v>
      </c>
      <c r="P77" s="17">
        <f t="shared" si="68"/>
        <v>43.235336227121344</v>
      </c>
      <c r="Q77" s="25">
        <f t="shared" si="68"/>
        <v>41.556885785147657</v>
      </c>
      <c r="R77" s="29">
        <f t="shared" ref="R77" si="96">IF(Q77=0,"---",IF(OR(ABS((P77-Q77)/ABS(Q77))&gt;9,(P77*Q77)&lt;0),"---",IF(Q77="0","---",((P77-Q77)/ABS(Q77)))))</f>
        <v>4.0389225762763055E-2</v>
      </c>
      <c r="U77" s="17">
        <f t="shared" si="88"/>
        <v>130.30260458669818</v>
      </c>
      <c r="V77" s="25">
        <f t="shared" si="88"/>
        <v>130.43854489013719</v>
      </c>
      <c r="W77" s="29">
        <f t="shared" ref="W77" si="97">IF(V77=0,"---",IF(OR(ABS((U77-V77)/ABS(V77))&gt;9,(U77*V77)&lt;0),"---",IF(V77="0","---",((U77-V77)/ABS(V77)))))</f>
        <v>-1.0421789322589484E-3</v>
      </c>
      <c r="Z77" s="17">
        <f t="shared" si="71"/>
        <v>44.119105465908405</v>
      </c>
      <c r="AA77" s="25">
        <f t="shared" si="71"/>
        <v>41.219590576628448</v>
      </c>
      <c r="AB77" s="29">
        <f t="shared" ref="AB77" si="98">IF(AA77=0,"---",IF(OR(ABS((Z77-AA77)/ABS(AA77))&gt;9,(Z77*AA77)&lt;0),"---",IF(AA77="0","---",((Z77-AA77)/ABS(AA77)))))</f>
        <v>7.0343126865602207E-2</v>
      </c>
      <c r="AE77" s="17">
        <f t="shared" si="91"/>
        <v>186.68672532656444</v>
      </c>
      <c r="AF77" s="25">
        <f t="shared" si="91"/>
        <v>174.94976052748007</v>
      </c>
      <c r="AG77" s="29">
        <f t="shared" ref="AG77" si="99">IF(AF77=0,"---",IF(OR(ABS((AE77-AF77)/ABS(AF77))&gt;9,(AE77*AF77)&lt;0),"---",IF(AF77="0","---",((AE77-AF77)/ABS(AF77)))))</f>
        <v>6.7087629978440602E-2</v>
      </c>
      <c r="AJ77" s="17">
        <f t="shared" si="74"/>
        <v>56.384120739866262</v>
      </c>
      <c r="AK77" s="25">
        <f t="shared" si="74"/>
        <v>44.511215637342872</v>
      </c>
      <c r="AL77" s="29">
        <f t="shared" ref="AL77" si="100">IF(AK77=0,"---",IF(OR(ABS((AJ77-AK77)/ABS(AK77))&gt;9,(AJ77*AK77)&lt;0),"---",IF(AK77="0","---",((AJ77-AK77)/ABS(AK77)))))</f>
        <v>0.26673962803573864</v>
      </c>
    </row>
    <row r="78" spans="4:38" ht="17.25" customHeight="1">
      <c r="D78" s="19" t="str">
        <f>+IF($B$3="esp","Prensa","Press")</f>
        <v>Press</v>
      </c>
      <c r="F78" s="18">
        <f t="shared" si="83"/>
        <v>38.641770374676966</v>
      </c>
      <c r="G78" s="26">
        <f t="shared" si="83"/>
        <v>42.714467854391238</v>
      </c>
      <c r="H78" s="30">
        <f>IF(G78=0,"---",IF(OR(ABS((F78-G78)/ABS(G78))&gt;9,(F78*G78)&lt;0),"---",IF(G78="0","---",((F78-G78)/ABS(G78)))))</f>
        <v>-9.5347026061465501E-2</v>
      </c>
      <c r="K78" s="18">
        <f t="shared" si="85"/>
        <v>77.882977510014243</v>
      </c>
      <c r="L78" s="26">
        <f t="shared" si="85"/>
        <v>79.788417363813963</v>
      </c>
      <c r="M78" s="30">
        <f>IF(L78=0,"---",IF(OR(ABS((K78-L78)/ABS(L78))&gt;9,(K78*L78)&lt;0),"---",IF(L78="0","---",((K78-L78)/ABS(L78)))))</f>
        <v>-2.3881158653785813E-2</v>
      </c>
      <c r="P78" s="18">
        <f t="shared" si="68"/>
        <v>39.241207135337277</v>
      </c>
      <c r="Q78" s="26">
        <f t="shared" si="68"/>
        <v>37.073949509422725</v>
      </c>
      <c r="R78" s="30">
        <f>IF(Q78=0,"---",IF(OR(ABS((P78-Q78)/ABS(Q78))&gt;9,(P78*Q78)&lt;0),"---",IF(Q78="0","---",((P78-Q78)/ABS(Q78)))))</f>
        <v>5.8457694812464496E-2</v>
      </c>
      <c r="U78" s="18">
        <f t="shared" si="88"/>
        <v>118.04768315216722</v>
      </c>
      <c r="V78" s="26">
        <f t="shared" si="88"/>
        <v>117.19936176709302</v>
      </c>
      <c r="W78" s="30">
        <f>IF(V78=0,"---",IF(OR(ABS((U78-V78)/ABS(V78))&gt;9,(U78*V78)&lt;0),"---",IF(V78="0","---",((U78-V78)/ABS(V78)))))</f>
        <v>7.2382764913007415E-3</v>
      </c>
      <c r="Z78" s="18">
        <f t="shared" si="71"/>
        <v>40.164705642152981</v>
      </c>
      <c r="AA78" s="26">
        <f t="shared" si="71"/>
        <v>37.410944403279061</v>
      </c>
      <c r="AB78" s="30">
        <f>IF(AA78=0,"---",IF(OR(ABS((Z78-AA78)/ABS(AA78))&gt;9,(Z78*AA78)&lt;0),"---",IF(AA78="0","---",((Z78-AA78)/ABS(AA78)))))</f>
        <v>7.360843953013263E-2</v>
      </c>
      <c r="AE78" s="18">
        <f t="shared" si="91"/>
        <v>169.97707601464893</v>
      </c>
      <c r="AF78" s="26">
        <f t="shared" si="91"/>
        <v>157.78850315239359</v>
      </c>
      <c r="AG78" s="30">
        <f>IF(AF78=0,"---",IF(OR(ABS((AE78-AF78)/ABS(AF78))&gt;9,(AE78*AF78)&lt;0),"---",IF(AF78="0","---",((AE78-AF78)/ABS(AF78)))))</f>
        <v>7.7246267115440637E-2</v>
      </c>
      <c r="AJ78" s="18">
        <f t="shared" si="74"/>
        <v>51.929392862481706</v>
      </c>
      <c r="AK78" s="26">
        <f t="shared" si="74"/>
        <v>40.589141385300564</v>
      </c>
      <c r="AL78" s="30">
        <f>IF(AK78=0,"---",IF(OR(ABS((AJ78-AK78)/ABS(AK78))&gt;9,(AJ78*AK78)&lt;0),"---",IF(AK78="0","---",((AJ78-AK78)/ABS(AK78)))))</f>
        <v>0.27939126303588269</v>
      </c>
    </row>
    <row r="79" spans="4:38" ht="17.25" customHeight="1">
      <c r="D79" s="19" t="str">
        <f>+IF($B$3="esp","PBS y Prisa Tecnología (incluye elim.)","PBS&amp;Prisa IT (includes interco.elim.)")</f>
        <v>PBS&amp;Prisa IT (includes interco.elim.)</v>
      </c>
      <c r="F79" s="18">
        <f t="shared" si="83"/>
        <v>4.3063925189914674</v>
      </c>
      <c r="G79" s="26">
        <f t="shared" si="83"/>
        <v>4.9476006739698501</v>
      </c>
      <c r="H79" s="30">
        <f>IF(G79=0,"---",IF(OR(ABS((F79-G79)/ABS(G79))&gt;9,(F79*G79)&lt;0),"---",IF(G79="0","---",((F79-G79)/ABS(G79)))))</f>
        <v>-0.12959981963618963</v>
      </c>
      <c r="K79" s="18">
        <f t="shared" si="85"/>
        <v>8.3005216107755349</v>
      </c>
      <c r="L79" s="26">
        <f t="shared" si="85"/>
        <v>9.4305369496947797</v>
      </c>
      <c r="M79" s="30">
        <f>IF(L79=0,"---",IF(OR(ABS((K79-L79)/ABS(L79))&gt;9,(K79*L79)&lt;0),"---",IF(L79="0","---",((K79-L79)/ABS(L79)))))</f>
        <v>-0.11982513243382371</v>
      </c>
      <c r="P79" s="18">
        <f t="shared" si="68"/>
        <v>3.9941290917840675</v>
      </c>
      <c r="Q79" s="26">
        <f t="shared" si="68"/>
        <v>4.4829362757249296</v>
      </c>
      <c r="R79" s="30">
        <f>IF(Q79=0,"---",IF(OR(ABS((P79-Q79)/ABS(Q79))&gt;9,(P79*Q79)&lt;0),"---",IF(Q79="0","---",((P79-Q79)/ABS(Q79)))))</f>
        <v>-0.10903728134342434</v>
      </c>
      <c r="U79" s="18">
        <f t="shared" si="88"/>
        <v>12.254921434530953</v>
      </c>
      <c r="V79" s="26">
        <f t="shared" si="88"/>
        <v>13.239183123044189</v>
      </c>
      <c r="W79" s="30">
        <f>IF(V79=0,"---",IF(OR(ABS((U79-V79)/ABS(V79))&gt;9,(U79*V79)&lt;0),"---",IF(V79="0","---",((U79-V79)/ABS(V79)))))</f>
        <v>-7.434459357239534E-2</v>
      </c>
      <c r="Z79" s="18">
        <f t="shared" si="71"/>
        <v>3.9543998237554181</v>
      </c>
      <c r="AA79" s="26">
        <f t="shared" si="71"/>
        <v>3.808646173349409</v>
      </c>
      <c r="AB79" s="30">
        <f>IF(AA79=0,"---",IF(OR(ABS((Z79-AA79)/ABS(AA79))&gt;9,(Z79*AA79)&lt;0),"---",IF(AA79="0","---",((Z79-AA79)/ABS(AA79)))))</f>
        <v>3.8269149658979748E-2</v>
      </c>
      <c r="AE79" s="18">
        <f t="shared" si="91"/>
        <v>16.709649311915523</v>
      </c>
      <c r="AF79" s="26">
        <f t="shared" si="91"/>
        <v>17.161257375086464</v>
      </c>
      <c r="AG79" s="30">
        <f>IF(AF79=0,"---",IF(OR(ABS((AE79-AF79)/ABS(AF79))&gt;9,(AE79*AF79)&lt;0),"---",IF(AF79="0","---",((AE79-AF79)/ABS(AF79)))))</f>
        <v>-2.6315557962935415E-2</v>
      </c>
      <c r="AJ79" s="18">
        <f t="shared" si="74"/>
        <v>4.4547278773845704</v>
      </c>
      <c r="AK79" s="26">
        <f t="shared" si="74"/>
        <v>3.9220742520422753</v>
      </c>
      <c r="AL79" s="30">
        <f>IF(AK79=0,"---",IF(OR(ABS((AJ79-AK79)/ABS(AK79))&gt;9,(AJ79*AK79)&lt;0),"---",IF(AK79="0","---",((AJ79-AK79)/ABS(AK79)))))</f>
        <v>0.13580916400675877</v>
      </c>
    </row>
    <row r="80" spans="4:38" s="9" customFormat="1" ht="17.25" customHeight="1">
      <c r="D80" s="21" t="str">
        <f>+IF($B$3="esp","EBITDA","EBITDA")</f>
        <v>EBITDA</v>
      </c>
      <c r="F80" s="16">
        <f>+[1]EBITDA!$AH$177</f>
        <v>-7.7969257298248307</v>
      </c>
      <c r="G80" s="24">
        <f>+[1]EBITDA!$AI$177</f>
        <v>-5.2946700227722374</v>
      </c>
      <c r="H80" s="28">
        <f t="shared" ref="H80:H81" si="101">IF(G80=0,"---",IF(OR(ABS((F80-G80)/ABS(G80))&gt;9,(F80*G80)&lt;0),"---",IF(G80="0","---",((F80-G80)/ABS(G80)))))</f>
        <v>-0.47259899036020314</v>
      </c>
      <c r="K80" s="16">
        <f>+[2]EBITDA!$AH$177</f>
        <v>-1.5145004597350091</v>
      </c>
      <c r="L80" s="24">
        <f>+[2]EBITDA!$AI$177</f>
        <v>-18.821808011107301</v>
      </c>
      <c r="M80" s="28">
        <f t="shared" ref="M80:M81" si="102">IF(L80=0,"---",IF(OR(ABS((K80-L80)/ABS(L80))&gt;9,(K80*L80)&lt;0),"---",IF(L80="0","---",((K80-L80)/ABS(L80)))))</f>
        <v>0.91953480458193704</v>
      </c>
      <c r="P80" s="16">
        <f t="shared" si="68"/>
        <v>6.2824252700898215</v>
      </c>
      <c r="Q80" s="24">
        <f t="shared" si="68"/>
        <v>-13.527137988335063</v>
      </c>
      <c r="R80" s="28" t="str">
        <f t="shared" ref="R80:R81" si="103">IF(Q80=0,"---",IF(OR(ABS((P80-Q80)/ABS(Q80))&gt;9,(P80*Q80)&lt;0),"---",IF(Q80="0","---",((P80-Q80)/ABS(Q80)))))</f>
        <v>---</v>
      </c>
      <c r="U80" s="16">
        <f>+[3]EBITDA!$AH$177</f>
        <v>-0.32628374929594306</v>
      </c>
      <c r="V80" s="24">
        <f>+[3]EBITDA!$AI$177</f>
        <v>-23.184547633584298</v>
      </c>
      <c r="W80" s="28">
        <f t="shared" ref="W80:W81" si="104">IF(V80=0,"---",IF(OR(ABS((U80-V80)/ABS(V80))&gt;9,(U80*V80)&lt;0),"---",IF(V80="0","---",((U80-V80)/ABS(V80)))))</f>
        <v>0.98592667174479176</v>
      </c>
      <c r="Z80" s="16">
        <f t="shared" si="71"/>
        <v>1.188216710439066</v>
      </c>
      <c r="AA80" s="24">
        <f t="shared" si="71"/>
        <v>-4.3627396224769974</v>
      </c>
      <c r="AB80" s="28" t="str">
        <f t="shared" ref="AB80:AB81" si="105">IF(AA80=0,"---",IF(OR(ABS((Z80-AA80)/ABS(AA80))&gt;9,(Z80*AA80)&lt;0),"---",IF(AA80="0","---",((Z80-AA80)/ABS(AA80)))))</f>
        <v>---</v>
      </c>
      <c r="AE80" s="16">
        <f>+[4]EBITDA!$AH$177</f>
        <v>10.282361358223802</v>
      </c>
      <c r="AF80" s="24">
        <f>+[4]EBITDA!$AI$177</f>
        <v>-5.3748760945990499</v>
      </c>
      <c r="AG80" s="28" t="str">
        <f t="shared" ref="AG80:AG81" si="106">IF(AF80=0,"---",IF(OR(ABS((AE80-AF80)/ABS(AF80))&gt;9,(AE80*AF80)&lt;0),"---",IF(AF80="0","---",((AE80-AF80)/ABS(AF80)))))</f>
        <v>---</v>
      </c>
      <c r="AJ80" s="16">
        <f t="shared" si="74"/>
        <v>10.608645107519745</v>
      </c>
      <c r="AK80" s="24">
        <f t="shared" si="74"/>
        <v>17.809671538985249</v>
      </c>
      <c r="AL80" s="28">
        <f t="shared" ref="AL80:AL81" si="107">IF(AK80=0,"---",IF(OR(ABS((AJ80-AK80)/ABS(AK80))&gt;9,(AJ80*AK80)&lt;0),"---",IF(AK80="0","---",((AJ80-AK80)/ABS(AK80)))))</f>
        <v>-0.40433235479399532</v>
      </c>
    </row>
    <row r="81" spans="4:38" ht="17.25" customHeight="1">
      <c r="D81" s="20" t="s">
        <v>6</v>
      </c>
      <c r="F81" s="17">
        <f>+[1]EBITDA!$AH$178</f>
        <v>-4.8655863833245627</v>
      </c>
      <c r="G81" s="25">
        <f>+[1]EBITDA!$AI$178</f>
        <v>0.67236373096305901</v>
      </c>
      <c r="H81" s="29" t="str">
        <f t="shared" si="101"/>
        <v>---</v>
      </c>
      <c r="K81" s="17">
        <f>+[2]EBITDA!$AH$178</f>
        <v>-2.3393956402126661</v>
      </c>
      <c r="L81" s="25">
        <f>+[2]EBITDA!$AI$178</f>
        <v>-5.1827484440266032</v>
      </c>
      <c r="M81" s="29">
        <f t="shared" si="102"/>
        <v>0.54861871737013479</v>
      </c>
      <c r="P81" s="17">
        <f t="shared" si="68"/>
        <v>2.5261907431118966</v>
      </c>
      <c r="Q81" s="25">
        <f t="shared" si="68"/>
        <v>-5.855112174989662</v>
      </c>
      <c r="R81" s="29" t="str">
        <f t="shared" si="103"/>
        <v>---</v>
      </c>
      <c r="U81" s="17">
        <f>+[3]EBITDA!$AH$178</f>
        <v>1.0480165380559454</v>
      </c>
      <c r="V81" s="25">
        <f>+[3]EBITDA!$AI$178</f>
        <v>-6.2032962586861302</v>
      </c>
      <c r="W81" s="29" t="str">
        <f t="shared" si="104"/>
        <v>---</v>
      </c>
      <c r="Z81" s="17">
        <f t="shared" si="71"/>
        <v>3.3874121782686117</v>
      </c>
      <c r="AA81" s="25">
        <f t="shared" si="71"/>
        <v>-1.020547814659527</v>
      </c>
      <c r="AB81" s="29" t="str">
        <f t="shared" si="105"/>
        <v>---</v>
      </c>
      <c r="AE81" s="17">
        <f>+[4]EBITDA!$AH$178</f>
        <v>17.644619683461652</v>
      </c>
      <c r="AF81" s="25">
        <f>+[4]EBITDA!$AI$178</f>
        <v>4.873676614331468</v>
      </c>
      <c r="AG81" s="29">
        <f t="shared" si="106"/>
        <v>2.6203919709354779</v>
      </c>
      <c r="AJ81" s="17">
        <f t="shared" si="74"/>
        <v>16.596603145405705</v>
      </c>
      <c r="AK81" s="25">
        <f t="shared" si="74"/>
        <v>11.076972873017599</v>
      </c>
      <c r="AL81" s="29">
        <f t="shared" si="107"/>
        <v>0.4982977150583599</v>
      </c>
    </row>
    <row r="82" spans="4:38" ht="17.25" customHeight="1">
      <c r="D82" s="19" t="str">
        <f>+IF($B$3="esp","España","Spain")</f>
        <v>Spain</v>
      </c>
      <c r="F82" s="18">
        <f>+[1]EBITDA!$AH$179</f>
        <v>-3.5167355999999654</v>
      </c>
      <c r="G82" s="26">
        <f>+[1]EBITDA!$AI$179</f>
        <v>1.3762368200000226</v>
      </c>
      <c r="H82" s="30" t="str">
        <f>IF(G82=0,"---",IF(OR(ABS((F82-G82)/ABS(G82))&gt;9,(F82*G82)&lt;0),"---",IF(G82="0","---",((F82-G82)/ABS(G82)))))</f>
        <v>---</v>
      </c>
      <c r="K82" s="18">
        <f>+[2]EBITDA!$AH$179</f>
        <v>-2.5304449700000076</v>
      </c>
      <c r="L82" s="26">
        <f>+[2]EBITDA!$AI$179</f>
        <v>-1.4656421500000092</v>
      </c>
      <c r="M82" s="30">
        <f>IF(L82=0,"---",IF(OR(ABS((K82-L82)/ABS(L82))&gt;9,(K82*L82)&lt;0),"---",IF(L82="0","---",((K82-L82)/ABS(L82)))))</f>
        <v>-0.7265094143205364</v>
      </c>
      <c r="P82" s="18">
        <f t="shared" si="68"/>
        <v>0.98629062999995787</v>
      </c>
      <c r="Q82" s="26">
        <f t="shared" si="68"/>
        <v>-2.8418789700000318</v>
      </c>
      <c r="R82" s="30" t="str">
        <f>IF(Q82=0,"---",IF(OR(ABS((P82-Q82)/ABS(Q82))&gt;9,(P82*Q82)&lt;0),"---",IF(Q82="0","---",((P82-Q82)/ABS(Q82)))))</f>
        <v>---</v>
      </c>
      <c r="U82" s="18">
        <f>+[3]EBITDA!$AH$179</f>
        <v>-3.310791500000053</v>
      </c>
      <c r="V82" s="26">
        <f>+[3]EBITDA!$AI$179</f>
        <v>-1.4996078699999476</v>
      </c>
      <c r="W82" s="30">
        <f>IF(V82=0,"---",IF(OR(ABS((U82-V82)/ABS(V82))&gt;9,(U82*V82)&lt;0),"---",IF(V82="0","---",((U82-V82)/ABS(V82)))))</f>
        <v>-1.2077714889560887</v>
      </c>
      <c r="Z82" s="18">
        <f t="shared" si="71"/>
        <v>-0.78034653000004539</v>
      </c>
      <c r="AA82" s="26">
        <f t="shared" si="71"/>
        <v>-3.396571999993836E-2</v>
      </c>
      <c r="AB82" s="30" t="str">
        <f>IF(AA82=0,"---",IF(OR(ABS((Z82-AA82)/ABS(AA82))&gt;9,(Z82*AA82)&lt;0),"---",IF(AA82="0","---",((Z82-AA82)/ABS(AA82)))))</f>
        <v>---</v>
      </c>
      <c r="AE82" s="18">
        <f>+[4]EBITDA!$AH$179</f>
        <v>5.6177866900000843</v>
      </c>
      <c r="AF82" s="26">
        <f>+[4]EBITDA!$AI$179</f>
        <v>6.2284462000000147</v>
      </c>
      <c r="AG82" s="30">
        <f>IF(AF82=0,"---",IF(OR(ABS((AE82-AF82)/ABS(AF82))&gt;9,(AE82*AF82)&lt;0),"---",IF(AF82="0","---",((AE82-AF82)/ABS(AF82)))))</f>
        <v>-9.8043635666296494E-2</v>
      </c>
      <c r="AJ82" s="18">
        <f t="shared" si="74"/>
        <v>8.9285781900001382</v>
      </c>
      <c r="AK82" s="26">
        <f t="shared" si="74"/>
        <v>7.7280540699999625</v>
      </c>
      <c r="AL82" s="30">
        <f>IF(AK82=0,"---",IF(OR(ABS((AJ82-AK82)/ABS(AK82))&gt;9,(AJ82*AK82)&lt;0),"---",IF(AK82="0","---",((AJ82-AK82)/ABS(AK82)))))</f>
        <v>0.15534623711557205</v>
      </c>
    </row>
    <row r="83" spans="4:38" ht="17.25" customHeight="1">
      <c r="D83" s="19" t="str">
        <f>+IF($B$3="esp","Latam","Latam")</f>
        <v>Latam</v>
      </c>
      <c r="F83" s="18">
        <f>+[1]EBITDA!$AH$182</f>
        <v>-1.3985468191226142</v>
      </c>
      <c r="G83" s="26">
        <f>+[1]EBITDA!$AI$182</f>
        <v>-1.0492065590369735</v>
      </c>
      <c r="H83" s="30">
        <f>IF(G83=0,"---",IF(OR(ABS((F83-G83)/ABS(G83))&gt;9,(F83*G83)&lt;0),"---",IF(G83="0","---",((F83-G83)/ABS(G83)))))</f>
        <v>-0.33295661095207679</v>
      </c>
      <c r="K83" s="18">
        <f>+[2]EBITDA!$AH$182</f>
        <v>0.34360945398953319</v>
      </c>
      <c r="L83" s="26">
        <f>+[2]EBITDA!$AI$182</f>
        <v>-4.057980754026528</v>
      </c>
      <c r="M83" s="30" t="str">
        <f>IF(L83=0,"---",IF(OR(ABS((K83-L83)/ABS(L83))&gt;9,(K83*L83)&lt;0),"---",IF(L83="0","---",((K83-L83)/ABS(L83)))))</f>
        <v>---</v>
      </c>
      <c r="P83" s="18">
        <f t="shared" si="68"/>
        <v>1.7421562731121474</v>
      </c>
      <c r="Q83" s="26">
        <f t="shared" si="68"/>
        <v>-3.0087741949895546</v>
      </c>
      <c r="R83" s="30" t="str">
        <f>IF(Q83=0,"---",IF(OR(ABS((P83-Q83)/ABS(Q83))&gt;9,(P83*Q83)&lt;0),"---",IF(Q83="0","---",((P83-Q83)/ABS(Q83)))))</f>
        <v>---</v>
      </c>
      <c r="U83" s="18">
        <f>+[3]EBITDA!$AH$182</f>
        <v>4.6254357122580201</v>
      </c>
      <c r="V83" s="26">
        <f>+[3]EBITDA!$AI$182</f>
        <v>-5.0433008186862125</v>
      </c>
      <c r="W83" s="30" t="str">
        <f>IF(V83=0,"---",IF(OR(ABS((U83-V83)/ABS(V83))&gt;9,(U83*V83)&lt;0),"---",IF(V83="0","---",((U83-V83)/ABS(V83)))))</f>
        <v>---</v>
      </c>
      <c r="Z83" s="18">
        <f t="shared" si="71"/>
        <v>4.2818262582684872</v>
      </c>
      <c r="AA83" s="26">
        <f t="shared" si="71"/>
        <v>-0.98532006465968447</v>
      </c>
      <c r="AB83" s="30" t="str">
        <f>IF(AA83=0,"---",IF(OR(ABS((Z83-AA83)/ABS(AA83))&gt;9,(Z83*AA83)&lt;0),"---",IF(AA83="0","---",((Z83-AA83)/ABS(AA83)))))</f>
        <v>---</v>
      </c>
      <c r="AE83" s="18">
        <f>+[4]EBITDA!$AH$182</f>
        <v>12.460360117663669</v>
      </c>
      <c r="AF83" s="26">
        <f>+[4]EBITDA!$AI$182</f>
        <v>-1.6742023556686212</v>
      </c>
      <c r="AG83" s="30" t="str">
        <f>IF(AF83=0,"---",IF(OR(ABS((AE83-AF83)/ABS(AF83))&gt;9,(AE83*AF83)&lt;0),"---",IF(AF83="0","---",((AE83-AF83)/ABS(AF83)))))</f>
        <v>---</v>
      </c>
      <c r="AJ83" s="18">
        <f t="shared" si="74"/>
        <v>7.8349244054056486</v>
      </c>
      <c r="AK83" s="26">
        <f t="shared" si="74"/>
        <v>3.3690984630175915</v>
      </c>
      <c r="AL83" s="30">
        <f>IF(AK83=0,"---",IF(OR(ABS((AJ83-AK83)/ABS(AK83))&gt;9,(AJ83*AK83)&lt;0),"---",IF(AK83="0","---",((AJ83-AK83)/ABS(AK83)))))</f>
        <v>1.3255255052380281</v>
      </c>
    </row>
    <row r="84" spans="4:38" ht="17.25" customHeight="1">
      <c r="D84" s="20" t="s">
        <v>7</v>
      </c>
      <c r="F84" s="17">
        <f>+[1]EBITDA!$AH$191</f>
        <v>-2.9313393465002533</v>
      </c>
      <c r="G84" s="25">
        <f>+[1]EBITDA!$AI$191</f>
        <v>-5.967033753735322</v>
      </c>
      <c r="H84" s="29">
        <f t="shared" ref="H84" si="108">IF(G84=0,"---",IF(OR(ABS((F84-G84)/ABS(G84))&gt;9,(F84*G84)&lt;0),"---",IF(G84="0","---",((F84-G84)/ABS(G84)))))</f>
        <v>0.50874429951644651</v>
      </c>
      <c r="K84" s="17">
        <f>+[2]EBITDA!$AH$191</f>
        <v>0.99818222047776894</v>
      </c>
      <c r="L84" s="25">
        <f>+[2]EBITDA!$AI$191</f>
        <v>-13.639059567080702</v>
      </c>
      <c r="M84" s="29" t="str">
        <f t="shared" ref="M84" si="109">IF(L84=0,"---",IF(OR(ABS((K84-L84)/ABS(L84))&gt;9,(K84*L84)&lt;0),"---",IF(L84="0","---",((K84-L84)/ABS(L84)))))</f>
        <v>---</v>
      </c>
      <c r="P84" s="17">
        <f t="shared" si="68"/>
        <v>3.9295215669780221</v>
      </c>
      <c r="Q84" s="25">
        <f t="shared" si="68"/>
        <v>-7.67202581334538</v>
      </c>
      <c r="R84" s="29" t="str">
        <f t="shared" ref="R84" si="110">IF(Q84=0,"---",IF(OR(ABS((P84-Q84)/ABS(Q84))&gt;9,(P84*Q84)&lt;0),"---",IF(Q84="0","---",((P84-Q84)/ABS(Q84)))))</f>
        <v>---</v>
      </c>
      <c r="U84" s="17">
        <f>+[3]EBITDA!$AH$191</f>
        <v>-0.73458122735206166</v>
      </c>
      <c r="V84" s="25">
        <f>+[3]EBITDA!$AI$191</f>
        <v>-16.981251374898161</v>
      </c>
      <c r="W84" s="29">
        <f t="shared" ref="W84" si="111">IF(V84=0,"---",IF(OR(ABS((U84-V84)/ABS(V84))&gt;9,(U84*V84)&lt;0),"---",IF(V84="0","---",((U84-V84)/ABS(V84)))))</f>
        <v>0.95674163163040338</v>
      </c>
      <c r="Z84" s="17">
        <f t="shared" si="71"/>
        <v>-1.7327634478298306</v>
      </c>
      <c r="AA84" s="25">
        <f t="shared" si="71"/>
        <v>-3.3421918078174588</v>
      </c>
      <c r="AB84" s="29">
        <f t="shared" ref="AB84" si="112">IF(AA84=0,"---",IF(OR(ABS((Z84-AA84)/ABS(AA84))&gt;9,(Z84*AA84)&lt;0),"---",IF(AA84="0","---",((Z84-AA84)/ABS(AA84)))))</f>
        <v>0.48154877174408139</v>
      </c>
      <c r="AE84" s="17">
        <f>+[4]EBITDA!$AH$191</f>
        <v>-5.6040953752383711</v>
      </c>
      <c r="AF84" s="25">
        <f>+[4]EBITDA!$AI$191</f>
        <v>-10.248552708930587</v>
      </c>
      <c r="AG84" s="29">
        <f t="shared" ref="AG84" si="113">IF(AF84=0,"---",IF(OR(ABS((AE84-AF84)/ABS(AF84))&gt;9,(AE84*AF84)&lt;0),"---",IF(AF84="0","---",((AE84-AF84)/ABS(AF84)))))</f>
        <v>0.45318177752503891</v>
      </c>
      <c r="AJ84" s="17">
        <f t="shared" si="74"/>
        <v>-4.8695141478863091</v>
      </c>
      <c r="AK84" s="25">
        <f t="shared" si="74"/>
        <v>6.7326986659675736</v>
      </c>
      <c r="AL84" s="29" t="str">
        <f t="shared" ref="AL84" si="114">IF(AK84=0,"---",IF(OR(ABS((AJ84-AK84)/ABS(AK84))&gt;9,(AJ84*AK84)&lt;0),"---",IF(AK84="0","---",((AJ84-AK84)/ABS(AK84)))))</f>
        <v>---</v>
      </c>
    </row>
    <row r="85" spans="4:38" s="2" customFormat="1" ht="17.25" customHeight="1">
      <c r="D85" s="19" t="str">
        <f>+IF($B$3="esp","Prensa","Press")</f>
        <v>Press</v>
      </c>
      <c r="F85" s="18">
        <f>+[1]EBITDA!$AH$192</f>
        <v>-2.6918590557723685</v>
      </c>
      <c r="G85" s="26">
        <f>+[1]EBITDA!$AI$192</f>
        <v>-5.5435125086276944</v>
      </c>
      <c r="H85" s="30">
        <f>IF(G85=0,"---",IF(OR(ABS((F85-G85)/ABS(G85))&gt;9,(F85*G85)&lt;0),"---",IF(G85="0","---",((F85-G85)/ABS(G85)))))</f>
        <v>0.51441273892989869</v>
      </c>
      <c r="K85" s="18">
        <f>+[2]EBITDA!$AH$192</f>
        <v>0.96400721929120292</v>
      </c>
      <c r="L85" s="26">
        <f>+[2]EBITDA!$AI$192</f>
        <v>-13.288856957300466</v>
      </c>
      <c r="M85" s="30" t="str">
        <f>IF(L85=0,"---",IF(OR(ABS((K85-L85)/ABS(L85))&gt;9,(K85*L85)&lt;0),"---",IF(L85="0","---",((K85-L85)/ABS(L85)))))</f>
        <v>---</v>
      </c>
      <c r="P85" s="18">
        <f t="shared" si="68"/>
        <v>3.6558662750635715</v>
      </c>
      <c r="Q85" s="26">
        <f t="shared" si="68"/>
        <v>-7.7453444486727712</v>
      </c>
      <c r="R85" s="30" t="str">
        <f>IF(Q85=0,"---",IF(OR(ABS((P85-Q85)/ABS(Q85))&gt;9,(P85*Q85)&lt;0),"---",IF(Q85="0","---",((P85-Q85)/ABS(Q85)))))</f>
        <v>---</v>
      </c>
      <c r="U85" s="18">
        <f>+[3]EBITDA!$AH$192</f>
        <v>-1.5128078066435213</v>
      </c>
      <c r="V85" s="26">
        <f>+[3]EBITDA!$AI$192</f>
        <v>-16.908457957681314</v>
      </c>
      <c r="W85" s="30">
        <f>IF(V85=0,"---",IF(OR(ABS((U85-V85)/ABS(V85))&gt;9,(U85*V85)&lt;0),"---",IF(V85="0","---",((U85-V85)/ABS(V85)))))</f>
        <v>0.91052952253660302</v>
      </c>
      <c r="Z85" s="18">
        <f t="shared" si="71"/>
        <v>-2.4768150259347244</v>
      </c>
      <c r="AA85" s="26">
        <f t="shared" si="71"/>
        <v>-3.6196010003808485</v>
      </c>
      <c r="AB85" s="30">
        <f>IF(AA85=0,"---",IF(OR(ABS((Z85-AA85)/ABS(AA85))&gt;9,(Z85*AA85)&lt;0),"---",IF(AA85="0","---",((Z85-AA85)/ABS(AA85)))))</f>
        <v>0.31572153238047013</v>
      </c>
      <c r="AE85" s="18">
        <f>+[4]EBITDA!$AH$192</f>
        <v>-6.3768621237518932</v>
      </c>
      <c r="AF85" s="26">
        <f>+[4]EBITDA!$AI$192</f>
        <v>-10.375884780380385</v>
      </c>
      <c r="AG85" s="30">
        <f>IF(AF85=0,"---",IF(OR(ABS((AE85-AF85)/ABS(AF85))&gt;9,(AE85*AF85)&lt;0),"---",IF(AF85="0","---",((AE85-AF85)/ABS(AF85)))))</f>
        <v>0.38541509869020402</v>
      </c>
      <c r="AJ85" s="18">
        <f t="shared" si="74"/>
        <v>-4.8640543171083719</v>
      </c>
      <c r="AK85" s="26">
        <f t="shared" si="74"/>
        <v>6.5325731773009288</v>
      </c>
      <c r="AL85" s="30" t="str">
        <f>IF(AK85=0,"---",IF(OR(ABS((AJ85-AK85)/ABS(AK85))&gt;9,(AJ85*AK85)&lt;0),"---",IF(AK85="0","---",((AJ85-AK85)/ABS(AK85)))))</f>
        <v>---</v>
      </c>
    </row>
    <row r="86" spans="4:38" s="2" customFormat="1" ht="17.25" customHeight="1">
      <c r="D86" s="19" t="str">
        <f>+IF($B$3="esp","PBS y Prisa Tecnología (incluye elim.)","PBS&amp;Prisa IT (includes interco.elim.)")</f>
        <v>PBS&amp;Prisa IT (includes interco.elim.)</v>
      </c>
      <c r="F86" s="18">
        <f>+F84-F85</f>
        <v>-0.23948029072788479</v>
      </c>
      <c r="G86" s="26">
        <f>+G84-G85</f>
        <v>-0.42352124510762756</v>
      </c>
      <c r="H86" s="30">
        <f>IF(G86=0,"---",IF(OR(ABS((F86-G86)/ABS(G86))&gt;9,(F86*G86)&lt;0),"---",IF(G86="0","---",((F86-G86)/ABS(G86)))))</f>
        <v>0.43454952143657699</v>
      </c>
      <c r="K86" s="18">
        <f>+K84-K85</f>
        <v>3.4175001186566023E-2</v>
      </c>
      <c r="L86" s="26">
        <f>+L84-L85</f>
        <v>-0.35020260978023643</v>
      </c>
      <c r="M86" s="30" t="str">
        <f>IF(L86=0,"---",IF(OR(ABS((K86-L86)/ABS(L86))&gt;9,(K86*L86)&lt;0),"---",IF(L86="0","---",((K86-L86)/ABS(L86)))))</f>
        <v>---</v>
      </c>
      <c r="P86" s="18">
        <f t="shared" si="68"/>
        <v>0.27365529191445082</v>
      </c>
      <c r="Q86" s="26">
        <f t="shared" si="68"/>
        <v>7.3318635327391135E-2</v>
      </c>
      <c r="R86" s="30">
        <f>IF(Q86=0,"---",IF(OR(ABS((P86-Q86)/ABS(Q86))&gt;9,(P86*Q86)&lt;0),"---",IF(Q86="0","---",((P86-Q86)/ABS(Q86)))))</f>
        <v>2.732411148850391</v>
      </c>
      <c r="U86" s="18">
        <f>+U84-U85</f>
        <v>0.77822657929145966</v>
      </c>
      <c r="V86" s="26">
        <f>+V84-V85</f>
        <v>-7.2793417216846734E-2</v>
      </c>
      <c r="W86" s="30" t="str">
        <f>IF(V86=0,"---",IF(OR(ABS((U86-V86)/ABS(V86))&gt;9,(U86*V86)&lt;0),"---",IF(V86="0","---",((U86-V86)/ABS(V86)))))</f>
        <v>---</v>
      </c>
      <c r="Z86" s="18">
        <f t="shared" si="71"/>
        <v>0.74405157810489364</v>
      </c>
      <c r="AA86" s="26">
        <f t="shared" si="71"/>
        <v>0.27740919256338969</v>
      </c>
      <c r="AB86" s="30">
        <f>IF(AA86=0,"---",IF(OR(ABS((Z86-AA86)/ABS(AA86))&gt;9,(Z86*AA86)&lt;0),"---",IF(AA86="0","---",((Z86-AA86)/ABS(AA86)))))</f>
        <v>1.6821446370594706</v>
      </c>
      <c r="AE86" s="18">
        <f>+AE84-AE85</f>
        <v>0.77276674851352212</v>
      </c>
      <c r="AF86" s="26">
        <f>+AF84-AF85</f>
        <v>0.12733207144979808</v>
      </c>
      <c r="AG86" s="30">
        <f>IF(AF86=0,"---",IF(OR(ABS((AE86-AF86)/ABS(AF86))&gt;9,(AE86*AF86)&lt;0),"---",IF(AF86="0","---",((AE86-AF86)/ABS(AF86)))))</f>
        <v>5.0689089536895899</v>
      </c>
      <c r="AJ86" s="18">
        <f t="shared" si="74"/>
        <v>-5.4598307779375466E-3</v>
      </c>
      <c r="AK86" s="26">
        <f t="shared" si="74"/>
        <v>0.20012548866664481</v>
      </c>
      <c r="AL86" s="30" t="str">
        <f>IF(AK86=0,"---",IF(OR(ABS((AJ86-AK86)/ABS(AK86))&gt;9,(AJ86*AK86)&lt;0),"---",IF(AK86="0","---",((AJ86-AK86)/ABS(AK86)))))</f>
        <v>---</v>
      </c>
    </row>
    <row r="87" spans="4:38" s="15" customFormat="1" ht="17.25" customHeight="1">
      <c r="D87" s="22" t="str">
        <f>+IF($B$3="esp","Margen EBITDA ","EBITDA Margin")</f>
        <v>EBITDA Margin</v>
      </c>
      <c r="F87" s="23">
        <f>+F80/F66</f>
        <v>-0.10055488670664757</v>
      </c>
      <c r="G87" s="27">
        <f>+G80/G66</f>
        <v>-6.2393254544206161E-2</v>
      </c>
      <c r="H87" s="31">
        <f t="shared" ref="H87:H89" si="115">IF(G87=0,"---",IF(OR(ABS((F87-G87)/ABS(G87))&gt;9,(F87*G87)&lt;0),"---",IF(G87="0","---",((F87-G87)/ABS(G87)))))</f>
        <v>-0.61163073542515023</v>
      </c>
      <c r="K87" s="23">
        <f>+K80/K66</f>
        <v>-8.6048060695357222E-3</v>
      </c>
      <c r="L87" s="27">
        <f>+L80/L66</f>
        <v>-0.12616148598075877</v>
      </c>
      <c r="M87" s="31">
        <f t="shared" ref="M87:M89" si="116">IF(L87=0,"---",IF(OR(ABS((K87-L87)/ABS(L87))&gt;9,(K87*L87)&lt;0),"---",IF(L87="0","---",((K87-L87)/ABS(L87)))))</f>
        <v>0.93179530184950377</v>
      </c>
      <c r="P87" s="23">
        <f>+P80/P66</f>
        <v>6.3802121901384554E-2</v>
      </c>
      <c r="Q87" s="27">
        <f>+Q80/Q66</f>
        <v>-0.2102819652726827</v>
      </c>
      <c r="R87" s="31" t="str">
        <f t="shared" ref="R87:R89" si="117">IF(Q87=0,"---",IF(OR(ABS((P87-Q87)/ABS(Q87))&gt;9,(P87*Q87)&lt;0),"---",IF(Q87="0","---",((P87-Q87)/ABS(Q87)))))</f>
        <v>---</v>
      </c>
      <c r="U87" s="23">
        <f>+U80/U66</f>
        <v>-1.2323430827972449E-3</v>
      </c>
      <c r="V87" s="27">
        <f>+V80/V66</f>
        <v>-0.10332768433287136</v>
      </c>
      <c r="W87" s="31">
        <f t="shared" ref="W87:W89" si="118">IF(V87=0,"---",IF(OR(ABS((U87-V87)/ABS(V87))&gt;9,(U87*V87)&lt;0),"---",IF(V87="0","---",((U87-V87)/ABS(V87)))))</f>
        <v>0.98807344720097245</v>
      </c>
      <c r="Z87" s="23">
        <f>+Z80/Z66</f>
        <v>1.3386753911818084E-2</v>
      </c>
      <c r="AA87" s="27">
        <f>+AA80/AA66</f>
        <v>-5.8022382319123135E-2</v>
      </c>
      <c r="AB87" s="31" t="str">
        <f t="shared" ref="AB87:AB89" si="119">IF(AA87=0,"---",IF(OR(ABS((Z87-AA87)/ABS(AA87))&gt;9,(Z87*AA87)&lt;0),"---",IF(AA87="0","---",((Z87-AA87)/ABS(AA87)))))</f>
        <v>---</v>
      </c>
      <c r="AE87" s="23">
        <f>+AE80/AE66</f>
        <v>2.6697238225879195E-2</v>
      </c>
      <c r="AF87" s="27">
        <f>+AF80/AF66</f>
        <v>-1.6002448483450345E-2</v>
      </c>
      <c r="AG87" s="31" t="str">
        <f t="shared" ref="AG87:AG89" si="120">IF(AF87=0,"---",IF(OR(ABS((AE87-AF87)/ABS(AF87))&gt;9,(AE87*AF87)&lt;0),"---",IF(AF87="0","---",((AE87-AF87)/ABS(AF87)))))</f>
        <v>---</v>
      </c>
      <c r="AJ87" s="23">
        <f>+AJ80/AJ66</f>
        <v>8.8126286377114685E-2</v>
      </c>
      <c r="AK87" s="27">
        <f>+AK80/AK66</f>
        <v>0.15972871201397498</v>
      </c>
      <c r="AL87" s="31">
        <f t="shared" ref="AL87:AL89" si="121">IF(AK87=0,"---",IF(OR(ABS((AJ87-AK87)/ABS(AK87))&gt;9,(AJ87*AK87)&lt;0),"---",IF(AK87="0","---",((AJ87-AK87)/ABS(AK87)))))</f>
        <v>-0.44827523326298191</v>
      </c>
    </row>
    <row r="88" spans="4:38" s="9" customFormat="1" ht="17.25" customHeight="1">
      <c r="D88" s="21" t="str">
        <f>+IF($B$3="esp","EBITDA sin indemnizaciones","EBITDA ex severance expenses")</f>
        <v>EBITDA ex severance expenses</v>
      </c>
      <c r="F88" s="16">
        <f>+'[1]EBITDA SIN INDEM'!$AH$177</f>
        <v>-5.0732878681571911</v>
      </c>
      <c r="G88" s="24">
        <f>+'[1]EBITDA SIN INDEM'!$AI$177</f>
        <v>-4.2626351804906513</v>
      </c>
      <c r="H88" s="28">
        <f t="shared" si="115"/>
        <v>-0.19017641748389774</v>
      </c>
      <c r="K88" s="16">
        <f>+'[2]EBITDA SIN INDEM'!$AH$177</f>
        <v>8.1772208572063079</v>
      </c>
      <c r="L88" s="24">
        <f>+'[2]EBITDA SIN INDEM'!$AI$177</f>
        <v>-17.137273298492364</v>
      </c>
      <c r="M88" s="28" t="str">
        <f t="shared" si="116"/>
        <v>---</v>
      </c>
      <c r="P88" s="16">
        <f t="shared" ref="P88:Q94" si="122">+K88-F88</f>
        <v>13.250508725363499</v>
      </c>
      <c r="Q88" s="24">
        <f t="shared" si="122"/>
        <v>-12.874638118001712</v>
      </c>
      <c r="R88" s="28" t="str">
        <f t="shared" si="117"/>
        <v>---</v>
      </c>
      <c r="U88" s="16">
        <f>+'[3]EBITDA SIN INDEM'!$AH$177</f>
        <v>14.707253721874007</v>
      </c>
      <c r="V88" s="24">
        <f>+'[3]EBITDA SIN INDEM'!$AI$177</f>
        <v>-21.130151913356457</v>
      </c>
      <c r="W88" s="28" t="str">
        <f t="shared" si="118"/>
        <v>---</v>
      </c>
      <c r="Z88" s="16">
        <f t="shared" ref="Z88:AA94" si="123">+U88-K88</f>
        <v>6.5300328646676995</v>
      </c>
      <c r="AA88" s="24">
        <f t="shared" si="123"/>
        <v>-3.9928786148640931</v>
      </c>
      <c r="AB88" s="28" t="str">
        <f t="shared" si="119"/>
        <v>---</v>
      </c>
      <c r="AE88" s="16">
        <f>+'[4]EBITDA SIN INDEM'!$AH$177</f>
        <v>42.258507939631471</v>
      </c>
      <c r="AF88" s="24">
        <f>+'[4]EBITDA SIN INDEM'!$AI$177</f>
        <v>-0.77382043717008486</v>
      </c>
      <c r="AG88" s="28" t="str">
        <f t="shared" si="120"/>
        <v>---</v>
      </c>
      <c r="AJ88" s="16">
        <f t="shared" ref="AJ88:AK94" si="124">+AE88-U88</f>
        <v>27.551254217757464</v>
      </c>
      <c r="AK88" s="24">
        <f t="shared" si="124"/>
        <v>20.356331476186373</v>
      </c>
      <c r="AL88" s="28">
        <f t="shared" si="121"/>
        <v>0.3534488888623174</v>
      </c>
    </row>
    <row r="89" spans="4:38" ht="17.25" customHeight="1">
      <c r="D89" s="20" t="s">
        <v>6</v>
      </c>
      <c r="F89" s="17">
        <f>+'[1]EBITDA SIN INDEM'!$AH$178</f>
        <v>-3.6923697906013029</v>
      </c>
      <c r="G89" s="25">
        <f>+'[1]EBITDA SIN INDEM'!$AI$178</f>
        <v>0.89070439190165562</v>
      </c>
      <c r="H89" s="29" t="str">
        <f t="shared" si="115"/>
        <v>---</v>
      </c>
      <c r="K89" s="17">
        <f>+'[2]EBITDA SIN INDEM'!$AH$178</f>
        <v>4.7414666907706557</v>
      </c>
      <c r="L89" s="25">
        <f>+'[2]EBITDA SIN INDEM'!$AI$178</f>
        <v>-4.8860160727546562</v>
      </c>
      <c r="M89" s="29" t="str">
        <f t="shared" si="116"/>
        <v>---</v>
      </c>
      <c r="P89" s="17">
        <f t="shared" si="122"/>
        <v>8.4338364813719586</v>
      </c>
      <c r="Q89" s="25">
        <f t="shared" si="122"/>
        <v>-5.7767204646563117</v>
      </c>
      <c r="R89" s="29" t="str">
        <f t="shared" si="117"/>
        <v>---</v>
      </c>
      <c r="U89" s="17">
        <f>+'[3]EBITDA SIN INDEM'!$AH$178</f>
        <v>10.465586823267893</v>
      </c>
      <c r="V89" s="25">
        <f>+'[3]EBITDA SIN INDEM'!$AI$178</f>
        <v>-5.709391028921547</v>
      </c>
      <c r="W89" s="29" t="str">
        <f t="shared" si="118"/>
        <v>---</v>
      </c>
      <c r="Z89" s="17">
        <f t="shared" si="123"/>
        <v>5.7241201324972373</v>
      </c>
      <c r="AA89" s="25">
        <f t="shared" si="123"/>
        <v>-0.82337495616689083</v>
      </c>
      <c r="AB89" s="29" t="str">
        <f t="shared" si="119"/>
        <v>---</v>
      </c>
      <c r="AE89" s="17">
        <f>+'[4]EBITDA SIN INDEM'!$AH$178</f>
        <v>30.608089320648062</v>
      </c>
      <c r="AF89" s="25">
        <f>+'[4]EBITDA SIN INDEM'!$AI$178</f>
        <v>7.5692164007814737</v>
      </c>
      <c r="AG89" s="29">
        <f t="shared" si="120"/>
        <v>3.0437593140404826</v>
      </c>
      <c r="AJ89" s="17">
        <f t="shared" si="124"/>
        <v>20.142502497380171</v>
      </c>
      <c r="AK89" s="25">
        <f t="shared" si="124"/>
        <v>13.278607429703021</v>
      </c>
      <c r="AL89" s="29">
        <f t="shared" si="121"/>
        <v>0.51691377307557496</v>
      </c>
    </row>
    <row r="90" spans="4:38" ht="17.25" customHeight="1">
      <c r="D90" s="19" t="str">
        <f>+IF($B$3="esp","España","Spain")</f>
        <v>Spain</v>
      </c>
      <c r="F90" s="18">
        <f>+'[1]EBITDA SIN INDEM'!$AH$179</f>
        <v>-2.5359095199999655</v>
      </c>
      <c r="G90" s="26">
        <f>+'[1]EBITDA SIN INDEM'!$AI$179</f>
        <v>1.5343508300000226</v>
      </c>
      <c r="H90" s="30" t="str">
        <f>IF(G90=0,"---",IF(OR(ABS((F90-G90)/ABS(G90))&gt;9,(F90*G90)&lt;0),"---",IF(G90="0","---",((F90-G90)/ABS(G90)))))</f>
        <v>---</v>
      </c>
      <c r="K90" s="18">
        <f>+'[2]EBITDA SIN INDEM'!$AH$179</f>
        <v>4.2773922999999918</v>
      </c>
      <c r="L90" s="26">
        <f>+'[2]EBITDA SIN INDEM'!$AI$179</f>
        <v>-1.2498838300000092</v>
      </c>
      <c r="M90" s="30" t="str">
        <f>IF(L90=0,"---",IF(OR(ABS((K90-L90)/ABS(L90))&gt;9,(K90*L90)&lt;0),"---",IF(L90="0","---",((K90-L90)/ABS(L90)))))</f>
        <v>---</v>
      </c>
      <c r="P90" s="18">
        <f t="shared" si="122"/>
        <v>6.8133018199999569</v>
      </c>
      <c r="Q90" s="26">
        <f t="shared" si="122"/>
        <v>-2.7842346600000321</v>
      </c>
      <c r="R90" s="30" t="str">
        <f>IF(Q90=0,"---",IF(OR(ABS((P90-Q90)/ABS(Q90))&gt;9,(P90*Q90)&lt;0),"---",IF(Q90="0","---",((P90-Q90)/ABS(Q90)))))</f>
        <v>---</v>
      </c>
      <c r="U90" s="18">
        <f>+'[3]EBITDA SIN INDEM'!$AH$179</f>
        <v>5.7930345299999475</v>
      </c>
      <c r="V90" s="26">
        <f>+'[3]EBITDA SIN INDEM'!$AI$179</f>
        <v>-1.1209903599999476</v>
      </c>
      <c r="W90" s="30" t="str">
        <f>IF(V90=0,"---",IF(OR(ABS((U90-V90)/ABS(V90))&gt;9,(U90*V90)&lt;0),"---",IF(V90="0","---",((U90-V90)/ABS(V90)))))</f>
        <v>---</v>
      </c>
      <c r="Z90" s="18">
        <f t="shared" si="123"/>
        <v>1.5156422299999557</v>
      </c>
      <c r="AA90" s="26">
        <f t="shared" si="123"/>
        <v>0.12889347000006168</v>
      </c>
      <c r="AB90" s="30" t="str">
        <f>IF(AA90=0,"---",IF(OR(ABS((Z90-AA90)/ABS(AA90))&gt;9,(Z90*AA90)&lt;0),"---",IF(AA90="0","---",((Z90-AA90)/ABS(AA90)))))</f>
        <v>---</v>
      </c>
      <c r="AE90" s="18">
        <f>+'[4]EBITDA SIN INDEM'!$AH$179</f>
        <v>18.162204210000084</v>
      </c>
      <c r="AF90" s="26">
        <f>+'[4]EBITDA SIN INDEM'!$AI$179</f>
        <v>8.6220625400000159</v>
      </c>
      <c r="AG90" s="30">
        <f>IF(AF90=0,"---",IF(OR(ABS((AE90-AF90)/ABS(AF90))&gt;9,(AE90*AF90)&lt;0),"---",IF(AF90="0","---",((AE90-AF90)/ABS(AF90)))))</f>
        <v>1.1064802216106462</v>
      </c>
      <c r="AJ90" s="18">
        <f t="shared" si="124"/>
        <v>12.369169680000137</v>
      </c>
      <c r="AK90" s="26">
        <f t="shared" si="124"/>
        <v>9.743052899999963</v>
      </c>
      <c r="AL90" s="30">
        <f>IF(AK90=0,"---",IF(OR(ABS((AJ90-AK90)/ABS(AK90))&gt;9,(AJ90*AK90)&lt;0),"---",IF(AK90="0","---",((AJ90-AK90)/ABS(AK90)))))</f>
        <v>0.26953736236002418</v>
      </c>
    </row>
    <row r="91" spans="4:38" ht="17.25" customHeight="1">
      <c r="D91" s="19" t="str">
        <f>+IF($B$3="esp","Latam","Latam")</f>
        <v>Latam</v>
      </c>
      <c r="F91" s="18">
        <f>+'[1]EBITDA SIN INDEM'!$AH$182</f>
        <v>-1.2061563063993546</v>
      </c>
      <c r="G91" s="26">
        <f>+'[1]EBITDA SIN INDEM'!$AI$182</f>
        <v>-0.98897990809837677</v>
      </c>
      <c r="H91" s="30">
        <f>IF(G91=0,"---",IF(OR(ABS((F91-G91)/ABS(G91))&gt;9,(F91*G91)&lt;0),"---",IF(G91="0","---",((F91-G91)/ABS(G91)))))</f>
        <v>-0.21959637048498523</v>
      </c>
      <c r="K91" s="18">
        <f>+'[2]EBITDA SIN INDEM'!$AH$182</f>
        <v>0.61663451497285393</v>
      </c>
      <c r="L91" s="26">
        <f>+'[2]EBITDA SIN INDEM'!$AI$182</f>
        <v>-3.977006702754581</v>
      </c>
      <c r="M91" s="30" t="str">
        <f>IF(L91=0,"---",IF(OR(ABS((K91-L91)/ABS(L91))&gt;9,(K91*L91)&lt;0),"---",IF(L91="0","---",((K91-L91)/ABS(L91)))))</f>
        <v>---</v>
      </c>
      <c r="P91" s="18">
        <f t="shared" si="122"/>
        <v>1.8227908213722084</v>
      </c>
      <c r="Q91" s="26">
        <f t="shared" si="122"/>
        <v>-2.9880267946562045</v>
      </c>
      <c r="R91" s="30" t="str">
        <f>IF(Q91=0,"---",IF(OR(ABS((P91-Q91)/ABS(Q91))&gt;9,(P91*Q91)&lt;0),"---",IF(Q91="0","---",((P91-Q91)/ABS(Q91)))))</f>
        <v>---</v>
      </c>
      <c r="U91" s="18">
        <f>+'[3]EBITDA SIN INDEM'!$AH$182</f>
        <v>4.939179967469971</v>
      </c>
      <c r="V91" s="26">
        <f>+'[3]EBITDA SIN INDEM'!$AI$182</f>
        <v>-4.92801309892163</v>
      </c>
      <c r="W91" s="30" t="str">
        <f>IF(V91=0,"---",IF(OR(ABS((U91-V91)/ABS(V91))&gt;9,(U91*V91)&lt;0),"---",IF(V91="0","---",((U91-V91)/ABS(V91)))))</f>
        <v>---</v>
      </c>
      <c r="Z91" s="18">
        <f t="shared" si="123"/>
        <v>4.322545452497117</v>
      </c>
      <c r="AA91" s="26">
        <f t="shared" si="123"/>
        <v>-0.95100639616704896</v>
      </c>
      <c r="AB91" s="30" t="str">
        <f>IF(AA91=0,"---",IF(OR(ABS((Z91-AA91)/ABS(AA91))&gt;9,(Z91*AA91)&lt;0),"---",IF(AA91="0","---",((Z91-AA91)/ABS(AA91)))))</f>
        <v>---</v>
      </c>
      <c r="AE91" s="18">
        <f>+'[4]EBITDA SIN INDEM'!$AH$182</f>
        <v>12.879412234850076</v>
      </c>
      <c r="AF91" s="26">
        <f>+'[4]EBITDA SIN INDEM'!$AI$182</f>
        <v>-1.3722789092186152</v>
      </c>
      <c r="AG91" s="30" t="str">
        <f>IF(AF91=0,"---",IF(OR(ABS((AE91-AF91)/ABS(AF91))&gt;9,(AE91*AF91)&lt;0),"---",IF(AF91="0","---",((AE91-AF91)/ABS(AF91)))))</f>
        <v>---</v>
      </c>
      <c r="AJ91" s="18">
        <f t="shared" si="124"/>
        <v>7.9402322673801047</v>
      </c>
      <c r="AK91" s="26">
        <f t="shared" si="124"/>
        <v>3.5557341897030148</v>
      </c>
      <c r="AL91" s="30">
        <f>IF(AK91=0,"---",IF(OR(ABS((AJ91-AK91)/ABS(AK91))&gt;9,(AJ91*AK91)&lt;0),"---",IF(AK91="0","---",((AJ91-AK91)/ABS(AK91)))))</f>
        <v>1.2330781334482419</v>
      </c>
    </row>
    <row r="92" spans="4:38" ht="17.25" customHeight="1">
      <c r="D92" s="20" t="s">
        <v>7</v>
      </c>
      <c r="F92" s="17">
        <f>+'[1]EBITDA SIN INDEM'!$AH$191</f>
        <v>-1.1312743075558749</v>
      </c>
      <c r="G92" s="25">
        <f>+'[1]EBITDA SIN INDEM'!$AI$191</f>
        <v>-5.1533395723923316</v>
      </c>
      <c r="H92" s="29">
        <f t="shared" ref="H92" si="125">IF(G92=0,"---",IF(OR(ABS((F92-G92)/ABS(G92))&gt;9,(F92*G92)&lt;0),"---",IF(G92="0","---",((F92-G92)/ABS(G92)))))</f>
        <v>0.78047743765685818</v>
      </c>
      <c r="K92" s="17">
        <f>+'[2]EBITDA SIN INDEM'!$AH$191</f>
        <v>3.8664349964357663</v>
      </c>
      <c r="L92" s="25">
        <f>+'[2]EBITDA SIN INDEM'!$AI$191</f>
        <v>-12.251257225737712</v>
      </c>
      <c r="M92" s="29" t="str">
        <f t="shared" ref="M92" si="126">IF(L92=0,"---",IF(OR(ABS((K92-L92)/ABS(L92))&gt;9,(K92*L92)&lt;0),"---",IF(L92="0","---",((K92-L92)/ABS(L92)))))</f>
        <v>---</v>
      </c>
      <c r="P92" s="17">
        <f t="shared" si="122"/>
        <v>4.9977093039916411</v>
      </c>
      <c r="Q92" s="25">
        <f t="shared" si="122"/>
        <v>-7.0979176533453803</v>
      </c>
      <c r="R92" s="29" t="str">
        <f t="shared" ref="R92" si="127">IF(Q92=0,"---",IF(OR(ABS((P92-Q92)/ABS(Q92))&gt;9,(P92*Q92)&lt;0),"---",IF(Q92="0","---",((P92-Q92)/ABS(Q92)))))</f>
        <v>---</v>
      </c>
      <c r="U92" s="17">
        <f>+'[3]EBITDA SIN INDEM'!$AH$191</f>
        <v>5.1807642686059356</v>
      </c>
      <c r="V92" s="25">
        <f>+'[3]EBITDA SIN INDEM'!$AI$191</f>
        <v>-15.420760884434904</v>
      </c>
      <c r="W92" s="29" t="str">
        <f t="shared" ref="W92" si="128">IF(V92=0,"---",IF(OR(ABS((U92-V92)/ABS(V92))&gt;9,(U92*V92)&lt;0),"---",IF(V92="0","---",((U92-V92)/ABS(V92)))))</f>
        <v>---</v>
      </c>
      <c r="Z92" s="17">
        <f t="shared" si="123"/>
        <v>1.3143292721701694</v>
      </c>
      <c r="AA92" s="25">
        <f t="shared" si="123"/>
        <v>-3.1695036586971916</v>
      </c>
      <c r="AB92" s="29" t="str">
        <f t="shared" ref="AB92" si="129">IF(AA92=0,"---",IF(OR(ABS((Z92-AA92)/ABS(AA92))&gt;9,(Z92*AA92)&lt;0),"---",IF(AA92="0","---",((Z92-AA92)/ABS(AA92)))))</f>
        <v>---</v>
      </c>
      <c r="AE92" s="17">
        <f>+'[4]EBITDA SIN INDEM'!$AH$191</f>
        <v>13.116826968982885</v>
      </c>
      <c r="AF92" s="25">
        <f>+'[4]EBITDA SIN INDEM'!$AI$191</f>
        <v>-8.3430368379516278</v>
      </c>
      <c r="AG92" s="29" t="str">
        <f t="shared" ref="AG92" si="130">IF(AF92=0,"---",IF(OR(ABS((AE92-AF92)/ABS(AF92))&gt;9,(AE92*AF92)&lt;0),"---",IF(AF92="0","---",((AE92-AF92)/ABS(AF92)))))</f>
        <v>---</v>
      </c>
      <c r="AJ92" s="17">
        <f t="shared" si="124"/>
        <v>7.9360627003769491</v>
      </c>
      <c r="AK92" s="25">
        <f t="shared" si="124"/>
        <v>7.0777240464832758</v>
      </c>
      <c r="AL92" s="29">
        <f t="shared" ref="AL92" si="131">IF(AK92=0,"---",IF(OR(ABS((AJ92-AK92)/ABS(AK92))&gt;9,(AJ92*AK92)&lt;0),"---",IF(AK92="0","---",((AJ92-AK92)/ABS(AK92)))))</f>
        <v>0.12127325793666084</v>
      </c>
    </row>
    <row r="93" spans="4:38" ht="17.25" customHeight="1">
      <c r="D93" s="19" t="str">
        <f>+IF($B$3="esp","Prensa","Press")</f>
        <v>Press</v>
      </c>
      <c r="F93" s="18">
        <f>+'[1]EBITDA SIN INDEM'!$AH$192</f>
        <v>-1.2127436937941456</v>
      </c>
      <c r="G93" s="26">
        <f>+'[1]EBITDA SIN INDEM'!$AI$192</f>
        <v>-4.729818327284705</v>
      </c>
      <c r="H93" s="30">
        <f>IF(G93=0,"---",IF(OR(ABS((F93-G93)/ABS(G93))&gt;9,(F93*G93)&lt;0),"---",IF(G93="0","---",((F93-G93)/ABS(G93)))))</f>
        <v>0.74359613628323917</v>
      </c>
      <c r="K93" s="18">
        <f>+'[2]EBITDA SIN INDEM'!$AH$192</f>
        <v>3.4879744352349276</v>
      </c>
      <c r="L93" s="26">
        <f>+'[2]EBITDA SIN INDEM'!$AI$192</f>
        <v>-11.939054615957478</v>
      </c>
      <c r="M93" s="30" t="str">
        <f>IF(L93=0,"---",IF(OR(ABS((K93-L93)/ABS(L93))&gt;9,(K93*L93)&lt;0),"---",IF(L93="0","---",((K93-L93)/ABS(L93)))))</f>
        <v>---</v>
      </c>
      <c r="P93" s="18">
        <f t="shared" si="122"/>
        <v>4.7007181290290729</v>
      </c>
      <c r="Q93" s="26">
        <f t="shared" si="122"/>
        <v>-7.2092362886727726</v>
      </c>
      <c r="R93" s="30" t="str">
        <f>IF(Q93=0,"---",IF(OR(ABS((P93-Q93)/ABS(Q93))&gt;9,(P93*Q93)&lt;0),"---",IF(Q93="0","---",((P93-Q93)/ABS(Q93)))))</f>
        <v>---</v>
      </c>
      <c r="U93" s="18">
        <f>+'[3]EBITDA SIN INDEM'!$AH$192</f>
        <v>3.4179099393002037</v>
      </c>
      <c r="V93" s="26">
        <f>+'[3]EBITDA SIN INDEM'!$AI$192</f>
        <v>-15.408371266338325</v>
      </c>
      <c r="W93" s="30" t="str">
        <f>IF(V93=0,"---",IF(OR(ABS((U93-V93)/ABS(V93))&gt;9,(U93*V93)&lt;0),"---",IF(V93="0","---",((U93-V93)/ABS(V93)))))</f>
        <v>---</v>
      </c>
      <c r="Z93" s="18">
        <f t="shared" si="123"/>
        <v>-7.0064495934723858E-2</v>
      </c>
      <c r="AA93" s="26">
        <f t="shared" si="123"/>
        <v>-3.469316650380847</v>
      </c>
      <c r="AB93" s="30">
        <f>IF(AA93=0,"---",IF(OR(ABS((Z93-AA93)/ABS(AA93))&gt;9,(Z93*AA93)&lt;0),"---",IF(AA93="0","---",((Z93-AA93)/ABS(AA93)))))</f>
        <v>0.97980452550301733</v>
      </c>
      <c r="AE93" s="18">
        <f>+'[4]EBITDA SIN INDEM'!$AH$192</f>
        <v>10.423822368085705</v>
      </c>
      <c r="AF93" s="26">
        <f>+'[4]EBITDA SIN INDEM'!$AI$192</f>
        <v>-8.5307727085216936</v>
      </c>
      <c r="AG93" s="30" t="str">
        <f>IF(AF93=0,"---",IF(OR(ABS((AE93-AF93)/ABS(AF93))&gt;9,(AE93*AF93)&lt;0),"---",IF(AF93="0","---",((AE93-AF93)/ABS(AF93)))))</f>
        <v>---</v>
      </c>
      <c r="AJ93" s="18">
        <f t="shared" si="124"/>
        <v>7.0059124287855017</v>
      </c>
      <c r="AK93" s="26">
        <f t="shared" si="124"/>
        <v>6.877598557816631</v>
      </c>
      <c r="AL93" s="30">
        <f>IF(AK93=0,"---",IF(OR(ABS((AJ93-AK93)/ABS(AK93))&gt;9,(AJ93*AK93)&lt;0),"---",IF(AK93="0","---",((AJ93-AK93)/ABS(AK93)))))</f>
        <v>1.8656784034455965E-2</v>
      </c>
    </row>
    <row r="94" spans="4:38" ht="17.25" customHeight="1">
      <c r="D94" s="19" t="str">
        <f>+IF($B$3="esp","PBS y Prisa Tecnología (incluye elim.)","PBS&amp;Prisa IT (includes interco.elim.)")</f>
        <v>PBS&amp;Prisa IT (includes interco.elim.)</v>
      </c>
      <c r="F94" s="18">
        <f>+F92-F93</f>
        <v>8.1469386238270713E-2</v>
      </c>
      <c r="G94" s="26">
        <f>+G92-G93</f>
        <v>-0.42352124510762668</v>
      </c>
      <c r="H94" s="30" t="str">
        <f>IF(G94=0,"---",IF(OR(ABS((F94-G94)/ABS(G94))&gt;9,(F94*G94)&lt;0),"---",IF(G94="0","---",((F94-G94)/ABS(G94)))))</f>
        <v>---</v>
      </c>
      <c r="K94" s="18">
        <f>+K92-K93</f>
        <v>0.37846056120083871</v>
      </c>
      <c r="L94" s="26">
        <f>+L92-L93</f>
        <v>-0.3122026097802344</v>
      </c>
      <c r="M94" s="30" t="str">
        <f>IF(L94=0,"---",IF(OR(ABS((K94-L94)/ABS(L94))&gt;9,(K94*L94)&lt;0),"---",IF(L94="0","---",((K94-L94)/ABS(L94)))))</f>
        <v>---</v>
      </c>
      <c r="P94" s="18">
        <f t="shared" si="122"/>
        <v>0.29699117496256799</v>
      </c>
      <c r="Q94" s="26">
        <f t="shared" si="122"/>
        <v>0.11131863532739228</v>
      </c>
      <c r="R94" s="30">
        <f>IF(Q94=0,"---",IF(OR(ABS((P94-Q94)/ABS(Q94))&gt;9,(P94*Q94)&lt;0),"---",IF(Q94="0","---",((P94-Q94)/ABS(Q94)))))</f>
        <v>1.667937619690592</v>
      </c>
      <c r="U94" s="18">
        <f>+U92-U93</f>
        <v>1.7628543293057319</v>
      </c>
      <c r="V94" s="26">
        <f>+V92-V93</f>
        <v>-1.2389618096579014E-2</v>
      </c>
      <c r="W94" s="30" t="str">
        <f>IF(V94=0,"---",IF(OR(ABS((U94-V94)/ABS(V94))&gt;9,(U94*V94)&lt;0),"---",IF(V94="0","---",((U94-V94)/ABS(V94)))))</f>
        <v>---</v>
      </c>
      <c r="Z94" s="18">
        <f t="shared" si="123"/>
        <v>1.3843937681048932</v>
      </c>
      <c r="AA94" s="26">
        <f t="shared" si="123"/>
        <v>0.29981299168365538</v>
      </c>
      <c r="AB94" s="30">
        <f>IF(AA94=0,"---",IF(OR(ABS((Z94-AA94)/ABS(AA94))&gt;9,(Z94*AA94)&lt;0),"---",IF(AA94="0","---",((Z94-AA94)/ABS(AA94)))))</f>
        <v>3.6175242784863113</v>
      </c>
      <c r="AE94" s="18">
        <f>+AE92-AE93</f>
        <v>2.6930046008971793</v>
      </c>
      <c r="AF94" s="26">
        <f>+AF92-AF93</f>
        <v>0.1877358705700658</v>
      </c>
      <c r="AG94" s="30" t="str">
        <f>IF(AF94=0,"---",IF(OR(ABS((AE94-AF94)/ABS(AF94))&gt;9,(AE94*AF94)&lt;0),"---",IF(AF94="0","---",((AE94-AF94)/ABS(AF94)))))</f>
        <v>---</v>
      </c>
      <c r="AJ94" s="18">
        <f t="shared" si="124"/>
        <v>0.93015027159144736</v>
      </c>
      <c r="AK94" s="26">
        <f t="shared" si="124"/>
        <v>0.20012548866664481</v>
      </c>
      <c r="AL94" s="30">
        <f>IF(AK94=0,"---",IF(OR(ABS((AJ94-AK94)/ABS(AK94))&gt;9,(AJ94*AK94)&lt;0),"---",IF(AK94="0","---",((AJ94-AK94)/ABS(AK94)))))</f>
        <v>3.6478351048068012</v>
      </c>
    </row>
    <row r="95" spans="4:38" s="15" customFormat="1" ht="17.25" customHeight="1">
      <c r="D95" s="22" t="str">
        <f>+IF($B$3="esp","Margen EBITDA sin indemnizaciones ","EBITDA ex severance expenses Margin")</f>
        <v>EBITDA ex severance expenses Margin</v>
      </c>
      <c r="F95" s="23">
        <f>+F88/F66</f>
        <v>-6.5428850355897517E-2</v>
      </c>
      <c r="G95" s="27">
        <f>+G88/G66</f>
        <v>-5.0231587747972158E-2</v>
      </c>
      <c r="H95" s="31">
        <f t="shared" ref="H95:H97" si="132">IF(G95=0,"---",IF(OR(ABS((F95-G95)/ABS(G95))&gt;9,(F95*G95)&lt;0),"---",IF(G95="0","---",((F95-G95)/ABS(G95)))))</f>
        <v>-0.30254394275121971</v>
      </c>
      <c r="K95" s="23">
        <f>+K88/K66</f>
        <v>4.6459807398364444E-2</v>
      </c>
      <c r="L95" s="27">
        <f>+L88/L66</f>
        <v>-0.11487014763514103</v>
      </c>
      <c r="M95" s="31" t="str">
        <f t="shared" ref="M95:M97" si="133">IF(L95=0,"---",IF(OR(ABS((K95-L95)/ABS(L95))&gt;9,(K95*L95)&lt;0),"---",IF(L95="0","---",((K95-L95)/ABS(L95)))))</f>
        <v>---</v>
      </c>
      <c r="P95" s="23">
        <f>+P88/P66</f>
        <v>0.1345675494105662</v>
      </c>
      <c r="Q95" s="27">
        <f>+Q88/Q66</f>
        <v>-0.20013872912086789</v>
      </c>
      <c r="R95" s="31" t="str">
        <f t="shared" ref="R95:R97" si="134">IF(Q95=0,"---",IF(OR(ABS((P95-Q95)/ABS(Q95))&gt;9,(P95*Q95)&lt;0),"---",IF(Q95="0","---",((P95-Q95)/ABS(Q95)))))</f>
        <v>---</v>
      </c>
      <c r="U95" s="23">
        <f>+U88/U66</f>
        <v>5.5547916285148623E-2</v>
      </c>
      <c r="V95" s="27">
        <f>+V88/V66</f>
        <v>-9.4171760489569406E-2</v>
      </c>
      <c r="W95" s="31" t="str">
        <f t="shared" ref="W95:W97" si="135">IF(V95=0,"---",IF(OR(ABS((U95-V95)/ABS(V95))&gt;9,(U95*V95)&lt;0),"---",IF(V95="0","---",((U95-V95)/ABS(V95)))))</f>
        <v>---</v>
      </c>
      <c r="Z95" s="23">
        <f>+Z88/Z66</f>
        <v>7.356902341752905E-2</v>
      </c>
      <c r="AA95" s="27">
        <f>+AA88/AA66</f>
        <v>-5.3103405106252534E-2</v>
      </c>
      <c r="AB95" s="31" t="str">
        <f t="shared" ref="AB95:AB97" si="136">IF(AA95=0,"---",IF(OR(ABS((Z95-AA95)/ABS(AA95))&gt;9,(Z95*AA95)&lt;0),"---",IF(AA95="0","---",((Z95-AA95)/ABS(AA95)))))</f>
        <v>---</v>
      </c>
      <c r="AE95" s="23">
        <f>+AE88/AE66</f>
        <v>0.10972046344512386</v>
      </c>
      <c r="AF95" s="27">
        <f>+AF88/AF66</f>
        <v>-2.3038710964329765E-3</v>
      </c>
      <c r="AG95" s="31" t="str">
        <f t="shared" ref="AG95:AG97" si="137">IF(AF95=0,"---",IF(OR(ABS((AE95-AF95)/ABS(AF95))&gt;9,(AE95*AF95)&lt;0),"---",IF(AF95="0","---",((AE95-AF95)/ABS(AF95)))))</f>
        <v>---</v>
      </c>
      <c r="AJ95" s="23">
        <f>+AJ88/AJ66</f>
        <v>0.22886897380719681</v>
      </c>
      <c r="AK95" s="27">
        <f>+AK88/AK66</f>
        <v>0.18256881385506166</v>
      </c>
      <c r="AL95" s="31">
        <f t="shared" ref="AL95:AL97" si="138">IF(AK95=0,"---",IF(OR(ABS((AJ95-AK95)/ABS(AK95))&gt;9,(AJ95*AK95)&lt;0),"---",IF(AK95="0","---",((AJ95-AK95)/ABS(AK95)))))</f>
        <v>0.25360388214436275</v>
      </c>
    </row>
    <row r="96" spans="4:38" s="9" customFormat="1" ht="17.25" customHeight="1">
      <c r="D96" s="21" t="str">
        <f>+IF($B$3="esp","EBIT","EBIT")</f>
        <v>EBIT</v>
      </c>
      <c r="F96" s="16">
        <f>+[1]EBIT!$AH$177</f>
        <v>-14.186928663495779</v>
      </c>
      <c r="G96" s="24">
        <f>+[1]EBIT!$AI$177</f>
        <v>-12.501998686527141</v>
      </c>
      <c r="H96" s="28">
        <f t="shared" si="132"/>
        <v>-0.13477284866334321</v>
      </c>
      <c r="K96" s="16">
        <f>+[2]EBIT!$AH$177</f>
        <v>-14.172800279621763</v>
      </c>
      <c r="L96" s="24">
        <f>+[2]EBIT!$AI$177</f>
        <v>-53.993538359779912</v>
      </c>
      <c r="M96" s="28">
        <f t="shared" si="133"/>
        <v>0.73750932592743057</v>
      </c>
      <c r="P96" s="16">
        <f t="shared" ref="P96:Q102" si="139">+K96-F96</f>
        <v>1.4128383874016492E-2</v>
      </c>
      <c r="Q96" s="24">
        <f t="shared" si="139"/>
        <v>-41.491539673252774</v>
      </c>
      <c r="R96" s="28" t="str">
        <f t="shared" si="134"/>
        <v>---</v>
      </c>
      <c r="U96" s="16">
        <f>+[3]EBIT!$AH$177</f>
        <v>-18.824909827047776</v>
      </c>
      <c r="V96" s="24">
        <f>+[3]EBIT!$AI$177</f>
        <v>-65.251344931951905</v>
      </c>
      <c r="W96" s="28">
        <f t="shared" si="135"/>
        <v>0.71150158135928776</v>
      </c>
      <c r="Z96" s="16">
        <f t="shared" ref="Z96:AA102" si="140">+U96-K96</f>
        <v>-4.6521095474260132</v>
      </c>
      <c r="AA96" s="24">
        <f t="shared" si="140"/>
        <v>-11.257806572171994</v>
      </c>
      <c r="AB96" s="28">
        <f t="shared" si="136"/>
        <v>0.58676590172321008</v>
      </c>
      <c r="AE96" s="16">
        <f>+[4]EBIT!$AH$177</f>
        <v>-28.796227235135447</v>
      </c>
      <c r="AF96" s="24">
        <f>+[4]EBIT!$AI$177</f>
        <v>-54.101963586562654</v>
      </c>
      <c r="AG96" s="28">
        <f t="shared" si="137"/>
        <v>0.46774155083924557</v>
      </c>
      <c r="AJ96" s="16">
        <f t="shared" ref="AJ96:AK102" si="141">+AE96-U96</f>
        <v>-9.9713174080876712</v>
      </c>
      <c r="AK96" s="24">
        <f t="shared" si="141"/>
        <v>11.149381345389251</v>
      </c>
      <c r="AL96" s="28" t="str">
        <f t="shared" si="138"/>
        <v>---</v>
      </c>
    </row>
    <row r="97" spans="4:52" ht="17.25" customHeight="1">
      <c r="D97" s="20" t="s">
        <v>6</v>
      </c>
      <c r="F97" s="17">
        <f>+[1]EBIT!$AH$178</f>
        <v>-8.8553222633558129</v>
      </c>
      <c r="G97" s="25">
        <f>+[1]EBIT!$AI$178</f>
        <v>-4.0749751270621779</v>
      </c>
      <c r="H97" s="29">
        <f t="shared" si="132"/>
        <v>-1.173098482134783</v>
      </c>
      <c r="K97" s="17">
        <f>+[2]EBIT!$AH$178</f>
        <v>-10.124402803545532</v>
      </c>
      <c r="L97" s="25">
        <f>+[2]EBIT!$AI$178</f>
        <v>-33.808912967646762</v>
      </c>
      <c r="M97" s="29">
        <f t="shared" si="133"/>
        <v>0.70054042218884649</v>
      </c>
      <c r="P97" s="17">
        <f t="shared" si="139"/>
        <v>-1.2690805401897194</v>
      </c>
      <c r="Q97" s="25">
        <f t="shared" si="139"/>
        <v>-29.733937840584584</v>
      </c>
      <c r="R97" s="29">
        <f t="shared" si="134"/>
        <v>0.95731878680201177</v>
      </c>
      <c r="U97" s="17">
        <f>+[3]EBIT!$AH$178</f>
        <v>-10.033514464793035</v>
      </c>
      <c r="V97" s="25">
        <f>+[3]EBIT!$AI$178</f>
        <v>-39.210839711195341</v>
      </c>
      <c r="W97" s="29">
        <f t="shared" si="135"/>
        <v>0.74411375684136893</v>
      </c>
      <c r="Z97" s="17">
        <f t="shared" si="140"/>
        <v>9.0888338752497688E-2</v>
      </c>
      <c r="AA97" s="25">
        <f t="shared" si="140"/>
        <v>-5.4019267435485787</v>
      </c>
      <c r="AB97" s="29" t="str">
        <f t="shared" si="136"/>
        <v>---</v>
      </c>
      <c r="AE97" s="17">
        <f>+[4]EBIT!$AH$178</f>
        <v>2.4054156852035815</v>
      </c>
      <c r="AF97" s="25">
        <f>+[4]EBIT!$AI$178</f>
        <v>-32.522418674203713</v>
      </c>
      <c r="AG97" s="29" t="str">
        <f t="shared" si="137"/>
        <v>---</v>
      </c>
      <c r="AJ97" s="17">
        <f t="shared" si="141"/>
        <v>12.438930149996615</v>
      </c>
      <c r="AK97" s="25">
        <f t="shared" si="141"/>
        <v>6.6884210369916275</v>
      </c>
      <c r="AL97" s="29">
        <f t="shared" si="138"/>
        <v>0.8597708010905214</v>
      </c>
    </row>
    <row r="98" spans="4:52" ht="17.25" customHeight="1">
      <c r="D98" s="19" t="str">
        <f>+IF($B$3="esp","España","Spain")</f>
        <v>Spain</v>
      </c>
      <c r="F98" s="18">
        <f>+[1]EBIT!$AH$179</f>
        <v>-6.014404749999974</v>
      </c>
      <c r="G98" s="26">
        <f>+[1]EBIT!$AI$179</f>
        <v>-1.6456389699999667</v>
      </c>
      <c r="H98" s="30">
        <f>IF(G98=0,"---",IF(OR(ABS((F98-G98)/ABS(G98))&gt;9,(F98*G98)&lt;0),"---",IF(G98="0","---",((F98-G98)/ABS(G98)))))</f>
        <v>-2.6547534785227502</v>
      </c>
      <c r="K98" s="18">
        <f>+[2]EBIT!$AH$179</f>
        <v>-7.3825766799999943</v>
      </c>
      <c r="L98" s="26">
        <f>+[2]EBIT!$AI$179</f>
        <v>-7.3570408900000235</v>
      </c>
      <c r="M98" s="30">
        <f>IF(L98=0,"---",IF(OR(ABS((K98-L98)/ABS(L98))&gt;9,(K98*L98)&lt;0),"---",IF(L98="0","---",((K98-L98)/ABS(L98)))))</f>
        <v>-3.4709321834380585E-3</v>
      </c>
      <c r="P98" s="18">
        <f t="shared" si="139"/>
        <v>-1.3681719300000204</v>
      </c>
      <c r="Q98" s="26">
        <f t="shared" si="139"/>
        <v>-5.711401920000057</v>
      </c>
      <c r="R98" s="30">
        <f>IF(Q98=0,"---",IF(OR(ABS((P98-Q98)/ABS(Q98))&gt;9,(P98*Q98)&lt;0),"---",IF(Q98="0","---",((P98-Q98)/ABS(Q98)))))</f>
        <v>0.7604490194939727</v>
      </c>
      <c r="U98" s="18">
        <f>+[3]EBIT!$AH$179</f>
        <v>-10.132385910000073</v>
      </c>
      <c r="V98" s="26">
        <f>+[3]EBIT!$AI$179</f>
        <v>-10.282283130000017</v>
      </c>
      <c r="W98" s="30">
        <f>IF(V98=0,"---",IF(OR(ABS((U98-V98)/ABS(V98))&gt;9,(U98*V98)&lt;0),"---",IF(V98="0","---",((U98-V98)/ABS(V98)))))</f>
        <v>1.457820389740079E-2</v>
      </c>
      <c r="Z98" s="18">
        <f t="shared" si="140"/>
        <v>-2.7498092300000785</v>
      </c>
      <c r="AA98" s="26">
        <f t="shared" si="140"/>
        <v>-2.925242239999994</v>
      </c>
      <c r="AB98" s="30">
        <f>IF(AA98=0,"---",IF(OR(ABS((Z98-AA98)/ABS(AA98))&gt;9,(Z98*AA98)&lt;0),"---",IF(AA98="0","---",((Z98-AA98)/ABS(AA98)))))</f>
        <v>5.9972130718280572E-2</v>
      </c>
      <c r="AE98" s="18">
        <f>+[4]EBIT!$AH$179</f>
        <v>-4.0614956399998317</v>
      </c>
      <c r="AF98" s="26">
        <f>+[4]EBIT!$AI$179</f>
        <v>-5.2802538199999836</v>
      </c>
      <c r="AG98" s="30">
        <f>IF(AF98=0,"---",IF(OR(ABS((AE98-AF98)/ABS(AF98))&gt;9,(AE98*AF98)&lt;0),"---",IF(AF98="0","---",((AE98-AF98)/ABS(AF98)))))</f>
        <v>0.23081431717995626</v>
      </c>
      <c r="AJ98" s="18">
        <f t="shared" si="141"/>
        <v>6.0708902700002412</v>
      </c>
      <c r="AK98" s="26">
        <f t="shared" si="141"/>
        <v>5.0020293100000339</v>
      </c>
      <c r="AL98" s="30">
        <f>IF(AK98=0,"---",IF(OR(ABS((AJ98-AK98)/ABS(AK98))&gt;9,(AJ98*AK98)&lt;0),"---",IF(AK98="0","---",((AJ98-AK98)/ABS(AK98)))))</f>
        <v>0.21368546518976714</v>
      </c>
    </row>
    <row r="99" spans="4:52" ht="17.25" customHeight="1">
      <c r="D99" s="19" t="str">
        <f>+IF($B$3="esp","Latam","Latam")</f>
        <v>Latam</v>
      </c>
      <c r="F99" s="18">
        <f>+[1]EBIT!$AH$182</f>
        <v>-2.8911617033558312</v>
      </c>
      <c r="G99" s="26">
        <f>+[1]EBIT!$AI$182</f>
        <v>-2.774669627062142</v>
      </c>
      <c r="H99" s="30">
        <f>IF(G99=0,"---",IF(OR(ABS((F99-G99)/ABS(G99))&gt;9,(F99*G99)&lt;0),"---",IF(G99="0","---",((F99-G99)/ABS(G99)))))</f>
        <v>-4.1984124941401614E-2</v>
      </c>
      <c r="K99" s="18">
        <f>+[2]EBIT!$AH$182</f>
        <v>-2.5436812435454788</v>
      </c>
      <c r="L99" s="26">
        <f>+[2]EBIT!$AI$182</f>
        <v>-23.234746537646647</v>
      </c>
      <c r="M99" s="30">
        <f>IF(L99=0,"---",IF(OR(ABS((K99-L99)/ABS(L99))&gt;9,(K99*L99)&lt;0),"---",IF(L99="0","---",((K99-L99)/ABS(L99)))))</f>
        <v>0.8905225310108712</v>
      </c>
      <c r="P99" s="18">
        <f t="shared" si="139"/>
        <v>0.34748045981035247</v>
      </c>
      <c r="Q99" s="26">
        <f t="shared" si="139"/>
        <v>-20.460076910584505</v>
      </c>
      <c r="R99" s="30" t="str">
        <f>IF(Q99=0,"---",IF(OR(ABS((P99-Q99)/ABS(Q99))&gt;9,(P99*Q99)&lt;0),"---",IF(Q99="0","---",((P99-Q99)/ABS(Q99)))))</f>
        <v>---</v>
      </c>
      <c r="U99" s="18">
        <f>+[3]EBIT!$AH$182</f>
        <v>0.37452582520719524</v>
      </c>
      <c r="V99" s="26">
        <f>+[3]EBIT!$AI$182</f>
        <v>-25.710169011195216</v>
      </c>
      <c r="W99" s="30" t="str">
        <f>IF(V99=0,"---",IF(OR(ABS((U99-V99)/ABS(V99))&gt;9,(U99*V99)&lt;0),"---",IF(V99="0","---",((U99-V99)/ABS(V99)))))</f>
        <v>---</v>
      </c>
      <c r="Z99" s="18">
        <f t="shared" si="140"/>
        <v>2.918207068752674</v>
      </c>
      <c r="AA99" s="26">
        <f t="shared" si="140"/>
        <v>-2.4754224735485693</v>
      </c>
      <c r="AB99" s="30" t="str">
        <f>IF(AA99=0,"---",IF(OR(ABS((Z99-AA99)/ABS(AA99))&gt;9,(Z99*AA99)&lt;0),"---",IF(AA99="0","---",((Z99-AA99)/ABS(AA99)))))</f>
        <v>---</v>
      </c>
      <c r="AE99" s="18">
        <f>+[4]EBIT!$AH$182</f>
        <v>6.9141400852036323</v>
      </c>
      <c r="AF99" s="26">
        <f>+[4]EBIT!$AI$182</f>
        <v>-24.003597624203927</v>
      </c>
      <c r="AG99" s="30" t="str">
        <f>IF(AF99=0,"---",IF(OR(ABS((AE99-AF99)/ABS(AF99))&gt;9,(AE99*AF99)&lt;0),"---",IF(AF99="0","---",((AE99-AF99)/ABS(AF99)))))</f>
        <v>---</v>
      </c>
      <c r="AJ99" s="18">
        <f t="shared" si="141"/>
        <v>6.5396142599964371</v>
      </c>
      <c r="AK99" s="26">
        <f t="shared" si="141"/>
        <v>1.7065713869912891</v>
      </c>
      <c r="AL99" s="30">
        <f>IF(AK99=0,"---",IF(OR(ABS((AJ99-AK99)/ABS(AK99))&gt;9,(AJ99*AK99)&lt;0),"---",IF(AK99="0","---",((AJ99-AK99)/ABS(AK99)))))</f>
        <v>2.8320191641826802</v>
      </c>
    </row>
    <row r="100" spans="4:52" ht="17.25" customHeight="1">
      <c r="D100" s="20" t="s">
        <v>7</v>
      </c>
      <c r="F100" s="17">
        <f>+[1]EBIT!$AH$191</f>
        <v>-5.3316064001399397</v>
      </c>
      <c r="G100" s="25">
        <f>+[1]EBIT!$AI$191</f>
        <v>-8.4270235594650256</v>
      </c>
      <c r="H100" s="29">
        <f t="shared" ref="H100" si="142">IF(G100=0,"---",IF(OR(ABS((F100-G100)/ABS(G100))&gt;9,(F100*G100)&lt;0),"---",IF(G100="0","---",((F100-G100)/ABS(G100)))))</f>
        <v>0.36732034003255981</v>
      </c>
      <c r="K100" s="17">
        <f>+[2]EBIT!$AH$191</f>
        <v>-3.8619527160760616</v>
      </c>
      <c r="L100" s="25">
        <f>+[2]EBIT!$AI$191</f>
        <v>-20.184625392133121</v>
      </c>
      <c r="M100" s="29">
        <f t="shared" ref="M100" si="143">IF(L100=0,"---",IF(OR(ABS((K100-L100)/ABS(L100))&gt;9,(K100*L100)&lt;0),"---",IF(L100="0","---",((K100-L100)/ABS(L100)))))</f>
        <v>0.8086685959710086</v>
      </c>
      <c r="P100" s="17">
        <f t="shared" si="139"/>
        <v>1.4696536840638781</v>
      </c>
      <c r="Q100" s="25">
        <f t="shared" si="139"/>
        <v>-11.757601832668096</v>
      </c>
      <c r="R100" s="29" t="str">
        <f t="shared" ref="R100" si="144">IF(Q100=0,"---",IF(OR(ABS((P100-Q100)/ABS(Q100))&gt;9,(P100*Q100)&lt;0),"---",IF(Q100="0","---",((P100-Q100)/ABS(Q100)))))</f>
        <v>---</v>
      </c>
      <c r="U100" s="17">
        <f>+[3]EBIT!$AH$191</f>
        <v>-8.093859282255135</v>
      </c>
      <c r="V100" s="25">
        <f>+[3]EBIT!$AI$191</f>
        <v>-26.040505220756621</v>
      </c>
      <c r="W100" s="29">
        <f t="shared" ref="W100" si="145">IF(V100=0,"---",IF(OR(ABS((U100-V100)/ABS(V100))&gt;9,(U100*V100)&lt;0),"---",IF(V100="0","---",((U100-V100)/ABS(V100)))))</f>
        <v>0.68918194122425847</v>
      </c>
      <c r="Z100" s="17">
        <f t="shared" si="140"/>
        <v>-4.2319065661790738</v>
      </c>
      <c r="AA100" s="25">
        <f t="shared" si="140"/>
        <v>-5.8558798286235003</v>
      </c>
      <c r="AB100" s="29">
        <f t="shared" ref="AB100" si="146">IF(AA100=0,"---",IF(OR(ABS((Z100-AA100)/ABS(AA100))&gt;9,(Z100*AA100)&lt;0),"---",IF(AA100="0","---",((Z100-AA100)/ABS(AA100)))))</f>
        <v>0.27732352950729222</v>
      </c>
      <c r="AE100" s="17">
        <f>+[4]EBIT!$AH$191</f>
        <v>-29.330445770339384</v>
      </c>
      <c r="AF100" s="25">
        <f>+[4]EBIT!$AI$191</f>
        <v>-21.579544912359061</v>
      </c>
      <c r="AG100" s="29">
        <f t="shared" ref="AG100" si="147">IF(AF100=0,"---",IF(OR(ABS((AE100-AF100)/ABS(AF100))&gt;9,(AE100*AF100)&lt;0),"---",IF(AF100="0","---",((AE100-AF100)/ABS(AF100)))))</f>
        <v>-0.35917814251686181</v>
      </c>
      <c r="AJ100" s="17">
        <f t="shared" si="141"/>
        <v>-21.236586488084249</v>
      </c>
      <c r="AK100" s="25">
        <f t="shared" si="141"/>
        <v>4.46096030839756</v>
      </c>
      <c r="AL100" s="29" t="str">
        <f t="shared" ref="AL100" si="148">IF(AK100=0,"---",IF(OR(ABS((AJ100-AK100)/ABS(AK100))&gt;9,(AJ100*AK100)&lt;0),"---",IF(AK100="0","---",((AJ100-AK100)/ABS(AK100)))))</f>
        <v>---</v>
      </c>
    </row>
    <row r="101" spans="4:52" ht="17.25" customHeight="1">
      <c r="D101" s="19" t="str">
        <f>+IF($B$3="esp","Prensa","Press")</f>
        <v>Press</v>
      </c>
      <c r="F101" s="18">
        <f>+[1]EBIT!$AH$192</f>
        <v>-4.6797363634902931</v>
      </c>
      <c r="G101" s="26">
        <f>+[1]EBIT!$AI$192</f>
        <v>-7.5163011050523094</v>
      </c>
      <c r="H101" s="30">
        <f>IF(G101=0,"---",IF(OR(ABS((F101-G101)/ABS(G101))&gt;9,(F101*G101)&lt;0),"---",IF(G101="0","---",((F101-G101)/ABS(G101)))))</f>
        <v>0.3773883858451777</v>
      </c>
      <c r="K101" s="18">
        <f>+[2]EBIT!$AH$192</f>
        <v>-3.0720580799572739</v>
      </c>
      <c r="L101" s="26">
        <f>+[2]EBIT!$AI$192</f>
        <v>-18.881597389141671</v>
      </c>
      <c r="M101" s="30">
        <f>IF(L101=0,"---",IF(OR(ABS((K101-L101)/ABS(L101))&gt;9,(K101*L101)&lt;0),"---",IF(L101="0","---",((K101-L101)/ABS(L101)))))</f>
        <v>0.83729882506000597</v>
      </c>
      <c r="P101" s="18">
        <f t="shared" si="139"/>
        <v>1.6076782835330192</v>
      </c>
      <c r="Q101" s="26">
        <f t="shared" si="139"/>
        <v>-11.365296284089361</v>
      </c>
      <c r="R101" s="30" t="str">
        <f>IF(Q101=0,"---",IF(OR(ABS((P101-Q101)/ABS(Q101))&gt;9,(P101*Q101)&lt;0),"---",IF(Q101="0","---",((P101-Q101)/ABS(Q101)))))</f>
        <v>---</v>
      </c>
      <c r="U101" s="18">
        <f>+[3]EBIT!$AH$192</f>
        <v>-7.6579550692062179</v>
      </c>
      <c r="V101" s="26">
        <f>+[3]EBIT!$AI$192</f>
        <v>-24.541660193273319</v>
      </c>
      <c r="W101" s="30">
        <f>IF(V101=0,"---",IF(OR(ABS((U101-V101)/ABS(V101))&gt;9,(U101*V101)&lt;0),"---",IF(V101="0","---",((U101-V101)/ABS(V101)))))</f>
        <v>0.68796100146047967</v>
      </c>
      <c r="Z101" s="18">
        <f t="shared" si="140"/>
        <v>-4.5858969892489441</v>
      </c>
      <c r="AA101" s="26">
        <f t="shared" si="140"/>
        <v>-5.6600628041316483</v>
      </c>
      <c r="AB101" s="30">
        <f>IF(AA101=0,"---",IF(OR(ABS((Z101-AA101)/ABS(AA101))&gt;9,(Z101*AA101)&lt;0),"---",IF(AA101="0","---",((Z101-AA101)/ABS(AA101)))))</f>
        <v>0.18977984026936956</v>
      </c>
      <c r="AE101" s="18">
        <f>+[4]EBIT!$AH$192</f>
        <v>-28.323315035509236</v>
      </c>
      <c r="AF101" s="26">
        <f>+[4]EBIT!$AI$192</f>
        <v>-19.85165801205617</v>
      </c>
      <c r="AG101" s="30">
        <f>IF(AF101=0,"---",IF(OR(ABS((AE101-AF101)/ABS(AF101))&gt;9,(AE101*AF101)&lt;0),"---",IF(AF101="0","---",((AE101-AF101)/ABS(AF101)))))</f>
        <v>-0.42674808413020809</v>
      </c>
      <c r="AJ101" s="18">
        <f t="shared" si="141"/>
        <v>-20.665359966303019</v>
      </c>
      <c r="AK101" s="26">
        <f t="shared" si="141"/>
        <v>4.6900021812171495</v>
      </c>
      <c r="AL101" s="30" t="str">
        <f>IF(AK101=0,"---",IF(OR(ABS((AJ101-AK101)/ABS(AK101))&gt;9,(AJ101*AK101)&lt;0),"---",IF(AK101="0","---",((AJ101-AK101)/ABS(AK101)))))</f>
        <v>---</v>
      </c>
    </row>
    <row r="102" spans="4:52" ht="17.25" customHeight="1">
      <c r="D102" s="19" t="str">
        <f>+IF($B$3="esp","PBS y Prisa Tecnología (incluye elim.)","PBS&amp;Prisa IT (includes interco.elim.)")</f>
        <v>PBS&amp;Prisa IT (includes interco.elim.)</v>
      </c>
      <c r="F102" s="18">
        <f>+F100-F101</f>
        <v>-0.6518700366496466</v>
      </c>
      <c r="G102" s="26">
        <f>+G100-G101</f>
        <v>-0.91072245441271615</v>
      </c>
      <c r="H102" s="30">
        <f>IF(G102=0,"---",IF(OR(ABS((F102-G102)/ABS(G102))&gt;9,(F102*G102)&lt;0),"---",IF(G102="0","---",((F102-G102)/ABS(G102)))))</f>
        <v>0.28422755638543229</v>
      </c>
      <c r="K102" s="18">
        <f>+K100-K101</f>
        <v>-0.78989463611878774</v>
      </c>
      <c r="L102" s="26">
        <f>+L100-L101</f>
        <v>-1.3030280029914501</v>
      </c>
      <c r="M102" s="30">
        <f>IF(L102=0,"---",IF(OR(ABS((K102-L102)/ABS(L102))&gt;9,(K102*L102)&lt;0),"---",IF(L102="0","---",((K102-L102)/ABS(L102)))))</f>
        <v>0.39380072085529022</v>
      </c>
      <c r="P102" s="18">
        <f t="shared" si="139"/>
        <v>-0.13802459946914114</v>
      </c>
      <c r="Q102" s="26">
        <f t="shared" si="139"/>
        <v>-0.3923055485787339</v>
      </c>
      <c r="R102" s="30">
        <f>IF(Q102=0,"---",IF(OR(ABS((P102-Q102)/ABS(Q102))&gt;9,(P102*Q102)&lt;0),"---",IF(Q102="0","---",((P102-Q102)/ABS(Q102)))))</f>
        <v>0.64817066704974158</v>
      </c>
      <c r="U102" s="18">
        <f>+U100-U101</f>
        <v>-0.43590421304891702</v>
      </c>
      <c r="V102" s="26">
        <f>+V100-V101</f>
        <v>-1.4988450274833021</v>
      </c>
      <c r="W102" s="30">
        <f>IF(V102=0,"---",IF(OR(ABS((U102-V102)/ABS(V102))&gt;9,(U102*V102)&lt;0),"---",IF(V102="0","---",((U102-V102)/ABS(V102)))))</f>
        <v>0.70917326003953851</v>
      </c>
      <c r="Z102" s="18">
        <f t="shared" si="140"/>
        <v>0.35399042306987072</v>
      </c>
      <c r="AA102" s="26">
        <f t="shared" si="140"/>
        <v>-0.19581702449185201</v>
      </c>
      <c r="AB102" s="30" t="str">
        <f>IF(AA102=0,"---",IF(OR(ABS((Z102-AA102)/ABS(AA102))&gt;9,(Z102*AA102)&lt;0),"---",IF(AA102="0","---",((Z102-AA102)/ABS(AA102)))))</f>
        <v>---</v>
      </c>
      <c r="AE102" s="18">
        <f>+AE100-AE101</f>
        <v>-1.0071307348301488</v>
      </c>
      <c r="AF102" s="26">
        <f>+AF100-AF101</f>
        <v>-1.7278869003028916</v>
      </c>
      <c r="AG102" s="30">
        <f>IF(AF102=0,"---",IF(OR(ABS((AE102-AF102)/ABS(AF102))&gt;9,(AE102*AF102)&lt;0),"---",IF(AF102="0","---",((AE102-AF102)/ABS(AF102)))))</f>
        <v>0.41713156419346492</v>
      </c>
      <c r="AJ102" s="18">
        <f t="shared" si="141"/>
        <v>-0.57122652178123179</v>
      </c>
      <c r="AK102" s="26">
        <f t="shared" si="141"/>
        <v>-0.22904187281958954</v>
      </c>
      <c r="AL102" s="30">
        <f>IF(AK102=0,"---",IF(OR(ABS((AJ102-AK102)/ABS(AK102))&gt;9,(AJ102*AK102)&lt;0),"---",IF(AK102="0","---",((AJ102-AK102)/ABS(AK102)))))</f>
        <v>-1.4939829331170915</v>
      </c>
    </row>
    <row r="103" spans="4:52" s="15" customFormat="1" ht="17.25" customHeight="1">
      <c r="D103" s="22" t="str">
        <f>+IF($B$3="esp","Margen EBIT ","EBIT Margin")</f>
        <v>EBIT Margin</v>
      </c>
      <c r="F103" s="23">
        <f>+F96/F66</f>
        <v>-0.1829650626292626</v>
      </c>
      <c r="G103" s="27">
        <f>+G96/G66</f>
        <v>-0.14732559026433861</v>
      </c>
      <c r="H103" s="31">
        <f t="shared" ref="H103" si="149">IF(G103=0,"---",IF(OR(ABS((F103-G103)/ABS(G103))&gt;9,(F103*G103)&lt;0),"---",IF(G103="0","---",((F103-G103)/ABS(G103)))))</f>
        <v>-0.24190958475698582</v>
      </c>
      <c r="K103" s="23">
        <f>+K96/K66</f>
        <v>-8.0524371639837694E-2</v>
      </c>
      <c r="L103" s="27">
        <f>+L96/L66</f>
        <v>-0.36191555183269475</v>
      </c>
      <c r="M103" s="31">
        <f t="shared" ref="M103" si="150">IF(L103=0,"---",IF(OR(ABS((K103-L103)/ABS(L103))&gt;9,(K103*L103)&lt;0),"---",IF(L103="0","---",((K103-L103)/ABS(L103)))))</f>
        <v>0.77750508030928089</v>
      </c>
      <c r="P103" s="23">
        <f>+P96/P66</f>
        <v>1.4348294352041981E-4</v>
      </c>
      <c r="Q103" s="27">
        <f>+Q96/Q66</f>
        <v>-0.64499397523739976</v>
      </c>
      <c r="R103" s="31" t="str">
        <f t="shared" ref="R103" si="151">IF(Q103=0,"---",IF(OR(ABS((P103-Q103)/ABS(Q103))&gt;9,(P103*Q103)&lt;0),"---",IF(Q103="0","---",((P103-Q103)/ABS(Q103)))))</f>
        <v>---</v>
      </c>
      <c r="U103" s="23">
        <f>+U96/U66</f>
        <v>-7.1099916743333352E-2</v>
      </c>
      <c r="V103" s="27">
        <f>+V96/V66</f>
        <v>-0.29080879549521266</v>
      </c>
      <c r="W103" s="31">
        <f t="shared" ref="W103" si="152">IF(V103=0,"---",IF(OR(ABS((U103-V103)/ABS(V103))&gt;9,(U103*V103)&lt;0),"---",IF(V103="0","---",((U103-V103)/ABS(V103)))))</f>
        <v>0.75550974439318908</v>
      </c>
      <c r="Z103" s="23">
        <f>+Z96/Z66</f>
        <v>-5.2411858152709517E-2</v>
      </c>
      <c r="AA103" s="27">
        <f>+AA96/AA66</f>
        <v>-0.14972352547467313</v>
      </c>
      <c r="AB103" s="31">
        <f t="shared" ref="AB103" si="153">IF(AA103=0,"---",IF(OR(ABS((Z103-AA103)/ABS(AA103))&gt;9,(Z103*AA103)&lt;0),"---",IF(AA103="0","---",((Z103-AA103)/ABS(AA103)))))</f>
        <v>0.64994239892130123</v>
      </c>
      <c r="AE103" s="23">
        <f>+AE96/AE66</f>
        <v>-7.4766847003299858E-2</v>
      </c>
      <c r="AF103" s="27">
        <f>+AF96/AF66</f>
        <v>-0.16107606387753554</v>
      </c>
      <c r="AG103" s="31">
        <f t="shared" ref="AG103" si="154">IF(AF103=0,"---",IF(OR(ABS((AE103-AF103)/ABS(AF103))&gt;9,(AE103*AF103)&lt;0),"---",IF(AF103="0","---",((AE103-AF103)/ABS(AF103)))))</f>
        <v>0.53582894190818864</v>
      </c>
      <c r="AJ103" s="23">
        <f>+AJ96/AJ66</f>
        <v>-8.2831988869093903E-2</v>
      </c>
      <c r="AK103" s="27">
        <f>+AK96/AK66</f>
        <v>9.9994899858390912E-2</v>
      </c>
      <c r="AL103" s="31" t="str">
        <f t="shared" ref="AL103" si="155">IF(AK103=0,"---",IF(OR(ABS((AJ103-AK103)/ABS(AK103))&gt;9,(AJ103*AK103)&lt;0),"---",IF(AK103="0","---",((AJ103-AK103)/ABS(AK103)))))</f>
        <v>---</v>
      </c>
    </row>
    <row r="106" spans="4:52">
      <c r="D106" s="66" t="str">
        <f>+IF($B$3="esp","Detalle Publicidad","Advertising revenue breakdown")</f>
        <v>Advertising revenue breakdown</v>
      </c>
      <c r="E106" s="2"/>
      <c r="F106" s="6" t="str">
        <f>+$F$6</f>
        <v>JANUARY - MARCH</v>
      </c>
      <c r="G106" s="7"/>
      <c r="H106" s="7"/>
      <c r="K106" s="6" t="str">
        <f>+$K$6</f>
        <v>JANUARY - JUNE</v>
      </c>
      <c r="L106" s="7"/>
      <c r="M106" s="7"/>
      <c r="P106" s="6" t="str">
        <f>+$P$6</f>
        <v>APRIL - JUNE</v>
      </c>
      <c r="Q106" s="7"/>
      <c r="R106" s="7"/>
      <c r="U106" s="6" t="str">
        <f>+$U$6</f>
        <v>JANUARY - SEPTEMBER</v>
      </c>
      <c r="V106" s="7"/>
      <c r="W106" s="7"/>
      <c r="Z106" s="6" t="str">
        <f>+$Z$6</f>
        <v>JULY - SEPTEMBER</v>
      </c>
      <c r="AA106" s="7"/>
      <c r="AB106" s="7"/>
      <c r="AE106" s="6" t="str">
        <f>+$AE$6</f>
        <v>JANUARY - DECEMBER</v>
      </c>
      <c r="AF106" s="7"/>
      <c r="AG106" s="7"/>
      <c r="AJ106" s="6" t="str">
        <f>+$AJ$6</f>
        <v>OCTOBER - DECEMBER</v>
      </c>
      <c r="AK106" s="7"/>
      <c r="AL106" s="7"/>
    </row>
    <row r="107" spans="4:52">
      <c r="D107" s="67"/>
      <c r="E107" s="2"/>
      <c r="F107" s="2"/>
      <c r="G107" s="2"/>
      <c r="H107" s="2"/>
      <c r="K107" s="2"/>
      <c r="L107" s="2"/>
      <c r="M107" s="2"/>
      <c r="P107" s="2"/>
      <c r="Q107" s="2"/>
      <c r="R107" s="2"/>
      <c r="U107" s="2"/>
      <c r="V107" s="2"/>
      <c r="W107" s="2"/>
      <c r="Z107" s="2"/>
      <c r="AA107" s="2"/>
      <c r="AB107" s="2"/>
      <c r="AE107" s="2"/>
      <c r="AF107" s="2"/>
      <c r="AG107" s="2"/>
      <c r="AJ107" s="2"/>
      <c r="AK107" s="2"/>
      <c r="AL107" s="2"/>
    </row>
    <row r="108" spans="4:52">
      <c r="D108" s="4" t="str">
        <f>+IF($B$3="esp","Millones de €","€ Millions")</f>
        <v>€ Millions</v>
      </c>
      <c r="E108" s="2"/>
      <c r="F108" s="8">
        <v>2021</v>
      </c>
      <c r="G108" s="8">
        <v>2020</v>
      </c>
      <c r="H108" s="8" t="str">
        <f>+IF($B$3="esp","Var.","Chg.")</f>
        <v>Chg.</v>
      </c>
      <c r="K108" s="8">
        <v>2021</v>
      </c>
      <c r="L108" s="8">
        <v>2020</v>
      </c>
      <c r="M108" s="8" t="str">
        <f>+IF($B$3="esp","Var.","Chg.")</f>
        <v>Chg.</v>
      </c>
      <c r="P108" s="8">
        <v>2021</v>
      </c>
      <c r="Q108" s="8">
        <v>2020</v>
      </c>
      <c r="R108" s="8" t="str">
        <f>+IF($B$3="esp","Var.","Chg.")</f>
        <v>Chg.</v>
      </c>
      <c r="U108" s="8">
        <v>2021</v>
      </c>
      <c r="V108" s="8">
        <v>2020</v>
      </c>
      <c r="W108" s="8" t="str">
        <f>+IF($B$3="esp","Var.","Chg.")</f>
        <v>Chg.</v>
      </c>
      <c r="Z108" s="8">
        <v>2021</v>
      </c>
      <c r="AA108" s="8">
        <v>2020</v>
      </c>
      <c r="AB108" s="8" t="str">
        <f>+IF($B$3="esp","Var.","Chg.")</f>
        <v>Chg.</v>
      </c>
      <c r="AE108" s="8">
        <v>2021</v>
      </c>
      <c r="AF108" s="8">
        <v>2020</v>
      </c>
      <c r="AG108" s="8" t="str">
        <f>+IF($B$3="esp","Var.","Chg.")</f>
        <v>Chg.</v>
      </c>
      <c r="AJ108" s="8">
        <v>2021</v>
      </c>
      <c r="AK108" s="8">
        <v>2020</v>
      </c>
      <c r="AL108" s="8" t="str">
        <f>+IF($B$3="esp","Var.","Chg.")</f>
        <v>Chg.</v>
      </c>
    </row>
    <row r="109" spans="4:52" ht="15">
      <c r="D109" s="10" t="str">
        <f>+IF($B$3="esp","Resultados Reportados","Reported Results")</f>
        <v>Reported Results</v>
      </c>
      <c r="F109" s="11"/>
      <c r="G109" s="11"/>
      <c r="H109" s="11"/>
      <c r="K109" s="11"/>
      <c r="L109" s="11"/>
      <c r="M109" s="11"/>
      <c r="P109" s="11"/>
      <c r="Q109" s="11"/>
      <c r="R109" s="11"/>
      <c r="U109" s="11"/>
      <c r="V109" s="11"/>
      <c r="W109" s="11"/>
      <c r="Z109" s="11"/>
      <c r="AA109" s="11"/>
      <c r="AB109" s="11"/>
      <c r="AE109" s="11"/>
      <c r="AF109" s="11"/>
      <c r="AG109" s="11"/>
      <c r="AJ109" s="11"/>
      <c r="AK109" s="11"/>
      <c r="AL109" s="11"/>
    </row>
    <row r="110" spans="4:52" s="9" customFormat="1" ht="17.25" customHeight="1">
      <c r="D110" s="21" t="s">
        <v>14</v>
      </c>
      <c r="F110" s="16">
        <f>+[1]PUBLICIDAD!$Z$177</f>
        <v>56.1162430953474</v>
      </c>
      <c r="G110" s="24">
        <f>+[1]PUBLICIDAD!$AI$177</f>
        <v>62.575943603986119</v>
      </c>
      <c r="H110" s="28">
        <f>IF(G110=0,"---",IF(OR(ABS((F110-G110)/ABS(G110))&gt;9,(F110*G110)&lt;0),"---",IF(G110="0","---",((F110-G110)/ABS(G110)))))</f>
        <v>-0.1032297738811442</v>
      </c>
      <c r="K110" s="16">
        <f>+[2]PUBLICIDAD!$Z$177</f>
        <v>132.95843766354579</v>
      </c>
      <c r="L110" s="24">
        <f>+[2]PUBLICIDAD!$AI$177</f>
        <v>110.41257458592547</v>
      </c>
      <c r="M110" s="28">
        <f>IF(L110=0,"---",IF(OR(ABS((K110-L110)/ABS(L110))&gt;9,(K110*L110)&lt;0),"---",IF(L110="0","---",((K110-L110)/ABS(L110)))))</f>
        <v>0.20419651622265764</v>
      </c>
      <c r="P110" s="16">
        <f>+K110-F110</f>
        <v>76.842194568198394</v>
      </c>
      <c r="Q110" s="24">
        <f>+L110-G110</f>
        <v>47.836630981939351</v>
      </c>
      <c r="R110" s="28">
        <f>IF(Q110=0,"---",IF(OR(ABS((P110-Q110)/ABS(Q110))&gt;9,(P110*Q110)&lt;0),"---",IF(Q110="0","---",((P110-Q110)/ABS(Q110)))))</f>
        <v>0.60634628716244776</v>
      </c>
      <c r="U110" s="16">
        <f>+[3]PUBLICIDAD!$Z$177</f>
        <v>200.75849908392277</v>
      </c>
      <c r="V110" s="24">
        <f>+[3]PUBLICIDAD!$AI$177</f>
        <v>166.07758424692909</v>
      </c>
      <c r="W110" s="28">
        <f>IF(V110=0,"---",IF(OR(ABS((U110-V110)/ABS(V110))&gt;9,(U110*V110)&lt;0),"---",IF(V110="0","---",((U110-V110)/ABS(V110)))))</f>
        <v>0.20882357480241923</v>
      </c>
      <c r="Z110" s="16">
        <f t="shared" ref="Z110:AA125" si="156">+U110-K110</f>
        <v>67.800061420376977</v>
      </c>
      <c r="AA110" s="24">
        <f t="shared" si="156"/>
        <v>55.665009661003623</v>
      </c>
      <c r="AB110" s="28">
        <f>IF(AA110=0,"---",IF(OR(ABS((Z110-AA110)/ABS(AA110))&gt;9,(Z110*AA110)&lt;0),"---",IF(AA110="0","---",((Z110-AA110)/ABS(AA110)))))</f>
        <v>0.21800143093974203</v>
      </c>
      <c r="AE110" s="16">
        <f>+[4]PUBLICIDAD!$Z$177</f>
        <v>298.41495465788995</v>
      </c>
      <c r="AF110" s="24">
        <f>+[4]PUBLICIDAD!$AI$177</f>
        <v>255.64247520357483</v>
      </c>
      <c r="AG110" s="28">
        <f>IF(AF110=0,"---",IF(OR(ABS((AE110-AF110)/ABS(AF110))&gt;9,(AE110*AF110)&lt;0),"---",IF(AF110="0","---",((AE110-AF110)/ABS(AF110)))))</f>
        <v>0.16731366499348072</v>
      </c>
      <c r="AJ110" s="16">
        <f t="shared" ref="AJ110:AK125" si="157">+AE110-U110</f>
        <v>97.656455573967179</v>
      </c>
      <c r="AK110" s="24">
        <f t="shared" si="157"/>
        <v>89.564890956645741</v>
      </c>
      <c r="AL110" s="28">
        <f>IF(AK110=0,"---",IF(OR(ABS((AJ110-AK110)/ABS(AK110))&gt;9,(AJ110*AK110)&lt;0),"---",IF(AK110="0","---",((AJ110-AK110)/ABS(AK110)))))</f>
        <v>9.0343041016353098E-2</v>
      </c>
      <c r="AN110" s="16">
        <f t="shared" ref="AN110:AN125" si="158">+U110+AF110-V110</f>
        <v>290.32339004056848</v>
      </c>
      <c r="AO110" s="24">
        <f t="shared" ref="AO110:AO125" si="159">+V110+AZ110-AY110</f>
        <v>267.19486734198028</v>
      </c>
      <c r="AP110" s="28">
        <f>IF(AO110=0,"---",IF(OR(ABS((AN110-AO110)/ABS(AO110))&gt;9,(AN110*AO110)&lt;0),"---",IF(AO110="0","---",((AN110-AO110)/ABS(AO110)))))</f>
        <v>8.6560505179862648E-2</v>
      </c>
      <c r="AY110" s="24">
        <f>+[3]PUBLICIDAD!$AO$177</f>
        <v>251.25314554938726</v>
      </c>
      <c r="AZ110" s="24">
        <f>+[2]PUBLICIDAD!$AU$177</f>
        <v>352.37042864443839</v>
      </c>
    </row>
    <row r="111" spans="4:52" s="9" customFormat="1" ht="17.25" customHeight="1">
      <c r="D111" s="42" t="s">
        <v>6</v>
      </c>
      <c r="F111" s="16">
        <f>+[1]PUBLICIDAD!$Z$178</f>
        <v>38.551780018024964</v>
      </c>
      <c r="G111" s="24">
        <f>+[1]PUBLICIDAD!$AI$178</f>
        <v>43.948128679937646</v>
      </c>
      <c r="H111" s="28">
        <f>IF(G111=0,"---",IF(OR(ABS((F111-G111)/ABS(G111))&gt;9,(F111*G111)&lt;0),"---",IF(G111="0","---",((F111-G111)/ABS(G111)))))</f>
        <v>-0.12278904299231562</v>
      </c>
      <c r="K111" s="16">
        <f>+[2]PUBLICIDAD!$Z$178</f>
        <v>91.226389463810108</v>
      </c>
      <c r="L111" s="24">
        <f>+[2]PUBLICIDAD!$AI$178</f>
        <v>76.415148780426861</v>
      </c>
      <c r="M111" s="28">
        <f>IF(L111=0,"---",IF(OR(ABS((K111-L111)/ABS(L111))&gt;9,(K111*L111)&lt;0),"---",IF(L111="0","---",((K111-L111)/ABS(L111)))))</f>
        <v>0.19382597455829373</v>
      </c>
      <c r="P111" s="16">
        <f>+K111-F111</f>
        <v>52.674609445785144</v>
      </c>
      <c r="Q111" s="24">
        <f>+L111-G111</f>
        <v>32.467020100489215</v>
      </c>
      <c r="R111" s="28">
        <f>IF(Q111=0,"---",IF(OR(ABS((P111-Q111)/ABS(Q111))&gt;9,(P111*Q111)&lt;0),"---",IF(Q111="0","---",((P111-Q111)/ABS(Q111)))))</f>
        <v>0.62240357392674417</v>
      </c>
      <c r="U111" s="16">
        <f>+[3]PUBLICIDAD!$Z$178</f>
        <v>139.20026854883781</v>
      </c>
      <c r="V111" s="24">
        <f>+[3]PUBLICIDAD!$AI$178</f>
        <v>115.78563249082038</v>
      </c>
      <c r="W111" s="28">
        <f>IF(V111=0,"---",IF(OR(ABS((U111-V111)/ABS(V111))&gt;9,(U111*V111)&lt;0),"---",IF(V111="0","---",((U111-V111)/ABS(V111)))))</f>
        <v>0.20222401997824538</v>
      </c>
      <c r="Z111" s="16">
        <f t="shared" si="156"/>
        <v>47.973879085027704</v>
      </c>
      <c r="AA111" s="24">
        <f t="shared" si="156"/>
        <v>39.370483710393515</v>
      </c>
      <c r="AB111" s="28">
        <f>IF(AA111=0,"---",IF(OR(ABS((Z111-AA111)/ABS(AA111))&gt;9,(Z111*AA111)&lt;0),"---",IF(AA111="0","---",((Z111-AA111)/ABS(AA111)))))</f>
        <v>0.21852399472457984</v>
      </c>
      <c r="AE111" s="16">
        <f>+[4]PUBLICIDAD!$Z$178</f>
        <v>208.0806247953947</v>
      </c>
      <c r="AF111" s="24">
        <f>+[4]PUBLICIDAD!$AI$178</f>
        <v>176.48080940514484</v>
      </c>
      <c r="AG111" s="28">
        <f>IF(AF111=0,"---",IF(OR(ABS((AE111-AF111)/ABS(AF111))&gt;9,(AE111*AF111)&lt;0),"---",IF(AF111="0","---",((AE111-AF111)/ABS(AF111)))))</f>
        <v>0.17905524967140504</v>
      </c>
      <c r="AJ111" s="16">
        <f t="shared" si="157"/>
        <v>68.880356246556886</v>
      </c>
      <c r="AK111" s="24">
        <f t="shared" si="157"/>
        <v>60.695176914324463</v>
      </c>
      <c r="AL111" s="28">
        <f>IF(AK111=0,"---",IF(OR(ABS((AJ111-AK111)/ABS(AK111))&gt;9,(AJ111*AK111)&lt;0),"---",IF(AK111="0","---",((AJ111-AK111)/ABS(AK111)))))</f>
        <v>0.1348571624362572</v>
      </c>
      <c r="AN111" s="16">
        <f t="shared" si="158"/>
        <v>199.89544546316228</v>
      </c>
      <c r="AO111" s="24">
        <f t="shared" si="159"/>
        <v>184.30796950221023</v>
      </c>
      <c r="AP111" s="28">
        <f>IF(AO111=0,"---",IF(OR(ABS((AN111-AO111)/ABS(AO111))&gt;9,(AN111*AO111)&lt;0),"---",IF(AO111="0","---",((AN111-AO111)/ABS(AO111)))))</f>
        <v>8.4572989453747541E-2</v>
      </c>
      <c r="AY111" s="24">
        <f>+[3]PUBLICIDAD!$AO$178</f>
        <v>181.13950660322516</v>
      </c>
      <c r="AZ111" s="24">
        <f>+[2]PUBLICIDAD!$AU$178</f>
        <v>249.66184361461498</v>
      </c>
    </row>
    <row r="112" spans="4:52" ht="17.25" customHeight="1">
      <c r="D112" s="43" t="str">
        <f>+IF($B$3="esp","España","Spain")</f>
        <v>Spain</v>
      </c>
      <c r="F112" s="17">
        <f>+[1]PUBLICIDAD!$Z$179</f>
        <v>28.199481469999995</v>
      </c>
      <c r="G112" s="25">
        <f>+[1]PUBLICIDAD!$AI$179</f>
        <v>31.862111480000017</v>
      </c>
      <c r="H112" s="29">
        <f t="shared" ref="H112" si="160">IF(G112=0,"---",IF(OR(ABS((F112-G112)/ABS(G112))&gt;9,(F112*G112)&lt;0),"---",IF(G112="0","---",((F112-G112)/ABS(G112)))))</f>
        <v>-0.11495252008954493</v>
      </c>
      <c r="K112" s="17">
        <f>+[2]PUBLICIDAD!$Z$179</f>
        <v>67.39536471000001</v>
      </c>
      <c r="L112" s="25">
        <f>+[2]PUBLICIDAD!$AI$179</f>
        <v>56.096148259999985</v>
      </c>
      <c r="M112" s="29">
        <f t="shared" ref="M112" si="161">IF(L112=0,"---",IF(OR(ABS((K112-L112)/ABS(L112))&gt;9,(K112*L112)&lt;0),"---",IF(L112="0","---",((K112-L112)/ABS(L112)))))</f>
        <v>0.20142588752492055</v>
      </c>
      <c r="P112" s="17">
        <f t="shared" ref="P112:Q120" si="162">+K112-F112</f>
        <v>39.195883240000015</v>
      </c>
      <c r="Q112" s="25">
        <f t="shared" si="162"/>
        <v>24.234036779999968</v>
      </c>
      <c r="R112" s="29">
        <f t="shared" ref="R112" si="163">IF(Q112=0,"---",IF(OR(ABS((P112-Q112)/ABS(Q112))&gt;9,(P112*Q112)&lt;0),"---",IF(Q112="0","---",((P112-Q112)/ABS(Q112)))))</f>
        <v>0.6173897727326989</v>
      </c>
      <c r="U112" s="17">
        <f>+[3]PUBLICIDAD!$Z$179</f>
        <v>99.239186619999998</v>
      </c>
      <c r="V112" s="25">
        <f>+[3]PUBLICIDAD!$AI$179</f>
        <v>84.80040588</v>
      </c>
      <c r="W112" s="29">
        <f t="shared" ref="W112" si="164">IF(V112=0,"---",IF(OR(ABS((U112-V112)/ABS(V112))&gt;9,(U112*V112)&lt;0),"---",IF(V112="0","---",((U112-V112)/ABS(V112)))))</f>
        <v>0.17026782584545808</v>
      </c>
      <c r="Z112" s="17">
        <f t="shared" si="156"/>
        <v>31.843821909999988</v>
      </c>
      <c r="AA112" s="25">
        <f t="shared" si="156"/>
        <v>28.704257620000014</v>
      </c>
      <c r="AB112" s="29">
        <f t="shared" ref="AB112" si="165">IF(AA112=0,"---",IF(OR(ABS((Z112-AA112)/ABS(AA112))&gt;9,(Z112*AA112)&lt;0),"---",IF(AA112="0","---",((Z112-AA112)/ABS(AA112)))))</f>
        <v>0.1093762580995109</v>
      </c>
      <c r="AE112" s="17">
        <f>+[4]PUBLICIDAD!$Z$179</f>
        <v>147.27222913000003</v>
      </c>
      <c r="AF112" s="25">
        <f>+[4]PUBLICIDAD!$AI$179</f>
        <v>128.87630937999998</v>
      </c>
      <c r="AG112" s="29">
        <f t="shared" ref="AG112" si="166">IF(AF112=0,"---",IF(OR(ABS((AE112-AF112)/ABS(AF112))&gt;9,(AE112*AF112)&lt;0),"---",IF(AF112="0","---",((AE112-AF112)/ABS(AF112)))))</f>
        <v>0.14274089503726017</v>
      </c>
      <c r="AJ112" s="17">
        <f t="shared" si="157"/>
        <v>48.03304251000003</v>
      </c>
      <c r="AK112" s="25">
        <f t="shared" si="157"/>
        <v>44.075903499999981</v>
      </c>
      <c r="AL112" s="29">
        <f t="shared" ref="AL112" si="167">IF(AK112=0,"---",IF(OR(ABS((AJ112-AK112)/ABS(AK112))&gt;9,(AJ112*AK112)&lt;0),"---",IF(AK112="0","---",((AJ112-AK112)/ABS(AK112)))))</f>
        <v>8.9780099686443182E-2</v>
      </c>
      <c r="AN112" s="17">
        <f t="shared" si="158"/>
        <v>143.31509011999998</v>
      </c>
      <c r="AO112" s="25">
        <f t="shared" si="159"/>
        <v>131.85990241999997</v>
      </c>
      <c r="AP112" s="29">
        <f t="shared" ref="AP112" si="168">IF(AO112=0,"---",IF(OR(ABS((AN112-AO112)/ABS(AO112))&gt;9,(AN112*AO112)&lt;0),"---",IF(AO112="0","---",((AN112-AO112)/ABS(AO112)))))</f>
        <v>8.6873928235688833E-2</v>
      </c>
      <c r="AY112" s="25">
        <f>+[3]PUBLICIDAD!$AO$179</f>
        <v>123.57022859999999</v>
      </c>
      <c r="AZ112" s="25">
        <f>+[2]PUBLICIDAD!$AU$179</f>
        <v>170.62972513999998</v>
      </c>
    </row>
    <row r="113" spans="4:52" s="2" customFormat="1" ht="17.25" customHeight="1">
      <c r="D113" s="19" t="str">
        <f>+IF($B$3="esp","Cadena","National")</f>
        <v>National</v>
      </c>
      <c r="F113" s="18">
        <f>+[1]PUBLICIDAD!$Z$307</f>
        <v>13.37220791</v>
      </c>
      <c r="G113" s="26">
        <f>+[1]PUBLICIDAD!$AI$307</f>
        <v>14.48192523</v>
      </c>
      <c r="H113" s="30">
        <f>IF(G113=0,"---",IF(OR(ABS((F113-G113)/ABS(G113))&gt;9,(F113*G113)&lt;0),"---",IF(G113="0","---",((F113-G113)/ABS(G113)))))</f>
        <v>-7.662774820168021E-2</v>
      </c>
      <c r="K113" s="18">
        <f>+[2]PUBLICIDAD!$Z$307</f>
        <v>31.245039160000001</v>
      </c>
      <c r="L113" s="26">
        <f>+[2]PUBLICIDAD!$AI$307</f>
        <v>25.477054030000001</v>
      </c>
      <c r="M113" s="30">
        <f>IF(L113=0,"---",IF(OR(ABS((K113-L113)/ABS(L113))&gt;9,(K113*L113)&lt;0),"---",IF(L113="0","---",((K113-L113)/ABS(L113)))))</f>
        <v>0.22639921881109262</v>
      </c>
      <c r="P113" s="18">
        <f t="shared" si="162"/>
        <v>17.872831250000001</v>
      </c>
      <c r="Q113" s="26">
        <f t="shared" si="162"/>
        <v>10.995128800000002</v>
      </c>
      <c r="R113" s="30">
        <f>IF(Q113=0,"---",IF(OR(ABS((P113-Q113)/ABS(Q113))&gt;9,(P113*Q113)&lt;0),"---",IF(Q113="0","---",((P113-Q113)/ABS(Q113)))))</f>
        <v>0.62552268146235801</v>
      </c>
      <c r="U113" s="18">
        <f>+[3]PUBLICIDAD!$Z$307</f>
        <v>45.81349436</v>
      </c>
      <c r="V113" s="26">
        <f>+[3]PUBLICIDAD!$AI$307</f>
        <v>38.320855480000006</v>
      </c>
      <c r="W113" s="30">
        <f>IF(V113=0,"---",IF(OR(ABS((U113-V113)/ABS(V113))&gt;9,(U113*V113)&lt;0),"---",IF(V113="0","---",((U113-V113)/ABS(V113)))))</f>
        <v>0.19552378949135071</v>
      </c>
      <c r="Z113" s="18">
        <f t="shared" si="156"/>
        <v>14.568455199999999</v>
      </c>
      <c r="AA113" s="26">
        <f t="shared" si="156"/>
        <v>12.843801450000004</v>
      </c>
      <c r="AB113" s="30">
        <f>IF(AA113=0,"---",IF(OR(ABS((Z113-AA113)/ABS(AA113))&gt;9,(Z113*AA113)&lt;0),"---",IF(AA113="0","---",((Z113-AA113)/ABS(AA113)))))</f>
        <v>0.13427907280519305</v>
      </c>
      <c r="AE113" s="18">
        <f>+[4]PUBLICIDAD!$Z$307</f>
        <v>68.088336490000003</v>
      </c>
      <c r="AF113" s="26">
        <f>+[4]PUBLICIDAD!$AI$307</f>
        <v>59.411014120000004</v>
      </c>
      <c r="AG113" s="30">
        <f>IF(AF113=0,"---",IF(OR(ABS((AE113-AF113)/ABS(AF113))&gt;9,(AE113*AF113)&lt;0),"---",IF(AF113="0","---",((AE113-AF113)/ABS(AF113)))))</f>
        <v>0.14605578609503794</v>
      </c>
      <c r="AJ113" s="18">
        <f t="shared" si="157"/>
        <v>22.274842130000003</v>
      </c>
      <c r="AK113" s="26">
        <f t="shared" si="157"/>
        <v>21.090158639999999</v>
      </c>
      <c r="AL113" s="30">
        <f>IF(AK113=0,"---",IF(OR(ABS((AJ113-AK113)/ABS(AK113))&gt;9,(AJ113*AK113)&lt;0),"---",IF(AK113="0","---",((AJ113-AK113)/ABS(AK113)))))</f>
        <v>5.6172336596516222E-2</v>
      </c>
      <c r="AN113" s="18">
        <f t="shared" si="158"/>
        <v>66.903652999999991</v>
      </c>
      <c r="AO113" s="26" t="e">
        <f t="shared" si="159"/>
        <v>#REF!</v>
      </c>
      <c r="AP113" s="30" t="e">
        <f>IF(AO113=0,"---",IF(OR(ABS((AN113-AO113)/ABS(AO113))&gt;9,(AN113*AO113)&lt;0),"---",IF(AO113="0","---",((AN113-AO113)/ABS(AO113)))))</f>
        <v>#REF!</v>
      </c>
      <c r="AY113" s="26" t="e">
        <f>+#REF!</f>
        <v>#REF!</v>
      </c>
      <c r="AZ113" s="26">
        <f>+[5]PUBLICIDAD!$AF$303</f>
        <v>79.197948129999986</v>
      </c>
    </row>
    <row r="114" spans="4:52" s="2" customFormat="1" ht="17.25" customHeight="1">
      <c r="D114" s="19" t="s">
        <v>8</v>
      </c>
      <c r="F114" s="18">
        <f>+[1]PUBLICIDAD!$Z$308</f>
        <v>14.781287890000002</v>
      </c>
      <c r="G114" s="26">
        <f>+[1]PUBLICIDAD!$AI$308</f>
        <v>16.939606230000003</v>
      </c>
      <c r="H114" s="30">
        <f>IF(G114=0,"---",IF(OR(ABS((F114-G114)/ABS(G114))&gt;9,(F114*G114)&lt;0),"---",IF(G114="0","---",((F114-G114)/ABS(G114)))))</f>
        <v>-0.12741254493729756</v>
      </c>
      <c r="K114" s="18">
        <f>+[2]PUBLICIDAD!$Z$308</f>
        <v>35.505427529999999</v>
      </c>
      <c r="L114" s="26">
        <f>+[2]PUBLICIDAD!$AI$308</f>
        <v>29.87263823</v>
      </c>
      <c r="M114" s="30">
        <f>IF(L114=0,"---",IF(OR(ABS((K114-L114)/ABS(L114))&gt;9,(K114*L114)&lt;0),"---",IF(L114="0","---",((K114-L114)/ABS(L114)))))</f>
        <v>0.18856015517046615</v>
      </c>
      <c r="P114" s="18">
        <f t="shared" si="162"/>
        <v>20.724139639999997</v>
      </c>
      <c r="Q114" s="26">
        <f t="shared" si="162"/>
        <v>12.933031999999997</v>
      </c>
      <c r="R114" s="30">
        <f>IF(Q114=0,"---",IF(OR(ABS((P114-Q114)/ABS(Q114))&gt;9,(P114*Q114)&lt;0),"---",IF(Q114="0","---",((P114-Q114)/ABS(Q114)))))</f>
        <v>0.60241926564474613</v>
      </c>
      <c r="U114" s="18">
        <f>+[3]PUBLICIDAD!$Z$308</f>
        <v>52.205505109999997</v>
      </c>
      <c r="V114" s="26">
        <f>+[3]PUBLICIDAD!$AI$308</f>
        <v>45.142070679999996</v>
      </c>
      <c r="W114" s="30">
        <f>IF(V114=0,"---",IF(OR(ABS((U114-V114)/ABS(V114))&gt;9,(U114*V114)&lt;0),"---",IF(V114="0","---",((U114-V114)/ABS(V114)))))</f>
        <v>0.15647121019482665</v>
      </c>
      <c r="Z114" s="18">
        <f t="shared" si="156"/>
        <v>16.700077579999999</v>
      </c>
      <c r="AA114" s="26">
        <f t="shared" si="156"/>
        <v>15.269432449999996</v>
      </c>
      <c r="AB114" s="30">
        <f>IF(AA114=0,"---",IF(OR(ABS((Z114-AA114)/ABS(AA114))&gt;9,(Z114*AA114)&lt;0),"---",IF(AA114="0","---",((Z114-AA114)/ABS(AA114)))))</f>
        <v>9.3693405742791863E-2</v>
      </c>
      <c r="AE114" s="18">
        <f>+[4]PUBLICIDAD!$Z$308</f>
        <v>76.930992899999993</v>
      </c>
      <c r="AF114" s="26">
        <f>+[4]PUBLICIDAD!$AI$308</f>
        <v>67.086967079999994</v>
      </c>
      <c r="AG114" s="30">
        <f>IF(AF114=0,"---",IF(OR(ABS((AE114-AF114)/ABS(AF114))&gt;9,(AE114*AF114)&lt;0),"---",IF(AF114="0","---",((AE114-AF114)/ABS(AF114)))))</f>
        <v>0.14673529373091462</v>
      </c>
      <c r="AJ114" s="18">
        <f t="shared" si="157"/>
        <v>24.725487789999995</v>
      </c>
      <c r="AK114" s="26">
        <f t="shared" si="157"/>
        <v>21.944896399999998</v>
      </c>
      <c r="AL114" s="30">
        <f>IF(AK114=0,"---",IF(OR(ABS((AJ114-AK114)/ABS(AK114))&gt;9,(AJ114*AK114)&lt;0),"---",IF(AK114="0","---",((AJ114-AK114)/ABS(AK114)))))</f>
        <v>0.12670788411650913</v>
      </c>
      <c r="AN114" s="18">
        <f t="shared" si="158"/>
        <v>74.150401509999995</v>
      </c>
      <c r="AO114" s="26" t="e">
        <f t="shared" si="159"/>
        <v>#REF!</v>
      </c>
      <c r="AP114" s="30" t="e">
        <f>IF(AO114=0,"---",IF(OR(ABS((AN114-AO114)/ABS(AO114))&gt;9,(AN114*AO114)&lt;0),"---",IF(AO114="0","---",((AN114-AO114)/ABS(AO114)))))</f>
        <v>#REF!</v>
      </c>
      <c r="AY114" s="26" t="e">
        <f>+#REF!</f>
        <v>#REF!</v>
      </c>
      <c r="AZ114" s="26">
        <f>+[5]PUBLICIDAD!$AF$304</f>
        <v>90.066688589999984</v>
      </c>
    </row>
    <row r="115" spans="4:52" s="2" customFormat="1" ht="17.25" customHeight="1">
      <c r="D115" s="19" t="str">
        <f>+IF($B$3="esp","Otros (incluye rappel)","Other (includes volume discount)")</f>
        <v>Other (includes volume discount)</v>
      </c>
      <c r="F115" s="18">
        <f>+F112-F113-F114</f>
        <v>4.5985669999993206E-2</v>
      </c>
      <c r="G115" s="26">
        <f>+G112-G113-G114</f>
        <v>0.44058002000001295</v>
      </c>
      <c r="H115" s="30">
        <f>IF(G115=0,"---",IF(OR(ABS((F115-G115)/ABS(G115))&gt;9,(F115*G115)&lt;0),"---",IF(G115="0","---",((F115-G115)/ABS(G115)))))</f>
        <v>-0.89562470399817073</v>
      </c>
      <c r="K115" s="18">
        <f>+K112-K113-K114</f>
        <v>0.64489802000000651</v>
      </c>
      <c r="L115" s="26">
        <f>+L112-L113-L114</f>
        <v>0.74645599999998424</v>
      </c>
      <c r="M115" s="30">
        <f>IF(L115=0,"---",IF(OR(ABS((K115-L115)/ABS(L115))&gt;9,(K115*L115)&lt;0),"---",IF(L115="0","---",((K115-L115)/ABS(L115)))))</f>
        <v>-0.13605353831971326</v>
      </c>
      <c r="P115" s="18">
        <f t="shared" si="162"/>
        <v>0.5989123500000133</v>
      </c>
      <c r="Q115" s="26">
        <f t="shared" si="162"/>
        <v>0.30587597999997129</v>
      </c>
      <c r="R115" s="30">
        <f>IF(Q115=0,"---",IF(OR(ABS((P115-Q115)/ABS(Q115))&gt;9,(P115*Q115)&lt;0),"---",IF(Q115="0","---",((P115-Q115)/ABS(Q115)))))</f>
        <v>0.95802347735859972</v>
      </c>
      <c r="U115" s="18">
        <f>+U112-U113-U114</f>
        <v>1.220187150000001</v>
      </c>
      <c r="V115" s="26">
        <f>+V112-V113-V114</f>
        <v>1.3374797199999975</v>
      </c>
      <c r="W115" s="30">
        <f>IF(V115=0,"---",IF(OR(ABS((U115-V115)/ABS(V115))&gt;9,(U115*V115)&lt;0),"---",IF(V115="0","---",((U115-V115)/ABS(V115)))))</f>
        <v>-8.7696709150847318E-2</v>
      </c>
      <c r="Z115" s="18">
        <f t="shared" si="156"/>
        <v>0.57528912999999449</v>
      </c>
      <c r="AA115" s="26">
        <f t="shared" si="156"/>
        <v>0.59102372000001324</v>
      </c>
      <c r="AB115" s="30">
        <f>IF(AA115=0,"---",IF(OR(ABS((Z115-AA115)/ABS(AA115))&gt;9,(Z115*AA115)&lt;0),"---",IF(AA115="0","---",((Z115-AA115)/ABS(AA115)))))</f>
        <v>-2.6622603234974059E-2</v>
      </c>
      <c r="AE115" s="18">
        <f>+AE112-AE113-AE114</f>
        <v>2.2528997400000321</v>
      </c>
      <c r="AF115" s="26">
        <f>+AF112-AF113-AF114</f>
        <v>2.3783281799999827</v>
      </c>
      <c r="AG115" s="30">
        <f>IF(AF115=0,"---",IF(OR(ABS((AE115-AF115)/ABS(AF115))&gt;9,(AE115*AF115)&lt;0),"---",IF(AF115="0","---",((AE115-AF115)/ABS(AF115)))))</f>
        <v>-5.2738070824166698E-2</v>
      </c>
      <c r="AJ115" s="18">
        <f t="shared" si="157"/>
        <v>1.0327125900000311</v>
      </c>
      <c r="AK115" s="26">
        <f t="shared" si="157"/>
        <v>1.0408484599999852</v>
      </c>
      <c r="AL115" s="30">
        <f>IF(AK115=0,"---",IF(OR(ABS((AJ115-AK115)/ABS(AK115))&gt;9,(AJ115*AK115)&lt;0),"---",IF(AK115="0","---",((AJ115-AK115)/ABS(AK115)))))</f>
        <v>-7.8165749507418184E-3</v>
      </c>
      <c r="AN115" s="18">
        <f t="shared" si="158"/>
        <v>2.2610356099999862</v>
      </c>
      <c r="AO115" s="26" t="e">
        <f t="shared" si="159"/>
        <v>#REF!</v>
      </c>
      <c r="AP115" s="30" t="e">
        <f>IF(AO115=0,"---",IF(OR(ABS((AN115-AO115)/ABS(AO115))&gt;9,(AN115*AO115)&lt;0),"---",IF(AO115="0","---",((AN115-AO115)/ABS(AO115)))))</f>
        <v>#REF!</v>
      </c>
      <c r="AY115" s="26" t="e">
        <f>+AY112-AY113-AY114</f>
        <v>#REF!</v>
      </c>
      <c r="AZ115" s="26">
        <f>+AZ112-AZ113-AZ114</f>
        <v>1.3650884200000064</v>
      </c>
    </row>
    <row r="116" spans="4:52" ht="17.25" customHeight="1">
      <c r="D116" s="43" t="str">
        <f>+IF($B$3="esp","Latam","Latam")</f>
        <v>Latam</v>
      </c>
      <c r="F116" s="17">
        <f>+[1]PUBLICIDAD!$Z$182</f>
        <v>10.384059588024963</v>
      </c>
      <c r="G116" s="25">
        <f>+[1]PUBLICIDAD!$AI$182</f>
        <v>12.134656915844984</v>
      </c>
      <c r="H116" s="29">
        <f t="shared" ref="H116:H120" si="169">IF(G116=0,"---",IF(OR(ABS((F116-G116)/ABS(G116))&gt;9,(F116*G116)&lt;0),"---",IF(G116="0","---",((F116-G116)/ABS(G116)))))</f>
        <v>-0.1442642622663815</v>
      </c>
      <c r="K116" s="17">
        <f>+[2]PUBLICIDAD!$Z$182</f>
        <v>23.752942790043356</v>
      </c>
      <c r="L116" s="25">
        <f>+[2]PUBLICIDAD!$AI$182</f>
        <v>20.367640236334264</v>
      </c>
      <c r="M116" s="29">
        <f t="shared" ref="M116:M120" si="170">IF(L116=0,"---",IF(OR(ABS((K116-L116)/ABS(L116))&gt;9,(K116*L116)&lt;0),"---",IF(L116="0","---",((K116-L116)/ABS(L116)))))</f>
        <v>0.16620985614572961</v>
      </c>
      <c r="P116" s="17">
        <f t="shared" si="162"/>
        <v>13.368883202018393</v>
      </c>
      <c r="Q116" s="25">
        <f t="shared" si="162"/>
        <v>8.2329833204892804</v>
      </c>
      <c r="R116" s="29">
        <f t="shared" ref="R116:R120" si="171">IF(Q116=0,"---",IF(OR(ABS((P116-Q116)/ABS(Q116))&gt;9,(P116*Q116)&lt;0),"---",IF(Q116="0","---",((P116-Q116)/ABS(Q116)))))</f>
        <v>0.62382002751633048</v>
      </c>
      <c r="U116" s="17">
        <f>+[3]PUBLICIDAD!$Z$182</f>
        <v>39.851581558934356</v>
      </c>
      <c r="V116" s="25">
        <f>+[3]PUBLICIDAD!$AI$182</f>
        <v>31.034290886727753</v>
      </c>
      <c r="W116" s="29">
        <f t="shared" ref="W116" si="172">IF(V116=0,"---",IF(OR(ABS((U116-V116)/ABS(V116))&gt;9,(U116*V116)&lt;0),"---",IF(V116="0","---",((U116-V116)/ABS(V116)))))</f>
        <v>0.28411445598640828</v>
      </c>
      <c r="Z116" s="17">
        <f t="shared" si="156"/>
        <v>16.098638768891</v>
      </c>
      <c r="AA116" s="25">
        <f t="shared" si="156"/>
        <v>10.666650650393489</v>
      </c>
      <c r="AB116" s="29">
        <f t="shared" ref="AB116:AB120" si="173">IF(AA116=0,"---",IF(OR(ABS((Z116-AA116)/ABS(AA116))&gt;9,(Z116*AA116)&lt;0),"---",IF(AA116="0","---",((Z116-AA116)/ABS(AA116)))))</f>
        <v>0.50924965076053441</v>
      </c>
      <c r="AE116" s="17">
        <f>+[4]PUBLICIDAD!$Z$182</f>
        <v>60.542613675491282</v>
      </c>
      <c r="AF116" s="25">
        <f>+[4]PUBLICIDAD!$AI$182</f>
        <v>47.730411981855276</v>
      </c>
      <c r="AG116" s="29">
        <f t="shared" ref="AG116" si="174">IF(AF116=0,"---",IF(OR(ABS((AE116-AF116)/ABS(AF116))&gt;9,(AE116*AF116)&lt;0),"---",IF(AF116="0","---",((AE116-AF116)/ABS(AF116)))))</f>
        <v>0.26842847487900517</v>
      </c>
      <c r="AJ116" s="17">
        <f t="shared" si="157"/>
        <v>20.691032116556926</v>
      </c>
      <c r="AK116" s="25">
        <f t="shared" si="157"/>
        <v>16.696121095127523</v>
      </c>
      <c r="AL116" s="29">
        <f t="shared" ref="AL116:AL120" si="175">IF(AK116=0,"---",IF(OR(ABS((AJ116-AK116)/ABS(AK116))&gt;9,(AJ116*AK116)&lt;0),"---",IF(AK116="0","---",((AJ116-AK116)/ABS(AK116)))))</f>
        <v>0.23927180443098539</v>
      </c>
      <c r="AN116" s="17">
        <f t="shared" si="158"/>
        <v>56.547702654061872</v>
      </c>
      <c r="AO116" s="25">
        <f t="shared" si="159"/>
        <v>52.59651032782773</v>
      </c>
      <c r="AP116" s="29">
        <f t="shared" ref="AP116" si="176">IF(AO116=0,"---",IF(OR(ABS((AN116-AO116)/ABS(AO116))&gt;9,(AN116*AO116)&lt;0),"---",IF(AO116="0","---",((AN116-AO116)/ABS(AO116)))))</f>
        <v>7.5122708742592151E-2</v>
      </c>
      <c r="AY116" s="25">
        <f>+[3]PUBLICIDAD!$AO$182</f>
        <v>57.767303534008704</v>
      </c>
      <c r="AZ116" s="25">
        <f>+[2]PUBLICIDAD!$AU$182</f>
        <v>79.329522975108674</v>
      </c>
    </row>
    <row r="117" spans="4:52" s="2" customFormat="1" ht="17.25" customHeight="1">
      <c r="D117" s="19" t="s">
        <v>9</v>
      </c>
      <c r="F117" s="18">
        <f>+[1]PUBLICIDAD!$Z$183</f>
        <v>6.3608555379408989</v>
      </c>
      <c r="G117" s="26">
        <f>+[1]PUBLICIDAD!$AI$183</f>
        <v>7.381825174460654</v>
      </c>
      <c r="H117" s="30">
        <f>IF(G117=0,"---",IF(OR(ABS((F117-G117)/ABS(G117))&gt;9,(F117*G117)&lt;0),"---",IF(G117="0","---",((F117-G117)/ABS(G117)))))</f>
        <v>-0.13830856358561097</v>
      </c>
      <c r="K117" s="18">
        <f>+[2]PUBLICIDAD!$Z$183</f>
        <v>14.844219150637421</v>
      </c>
      <c r="L117" s="26">
        <f>+[2]PUBLICIDAD!$AI$183</f>
        <v>12.687860483353836</v>
      </c>
      <c r="M117" s="30">
        <f>IF(L117=0,"---",IF(OR(ABS((K117-L117)/ABS(L117))&gt;9,(K117*L117)&lt;0),"---",IF(L117="0","---",((K117-L117)/ABS(L117)))))</f>
        <v>0.16995447499700014</v>
      </c>
      <c r="P117" s="18">
        <f t="shared" si="162"/>
        <v>8.4833636126965217</v>
      </c>
      <c r="Q117" s="26">
        <f t="shared" si="162"/>
        <v>5.3060353088931818</v>
      </c>
      <c r="R117" s="30">
        <f>IF(Q117=0,"---",IF(OR(ABS((P117-Q117)/ABS(Q117))&gt;9,(P117*Q117)&lt;0),"---",IF(Q117="0","---",((P117-Q117)/ABS(Q117)))))</f>
        <v>0.59881401438810222</v>
      </c>
      <c r="U117" s="18">
        <f>+[3]PUBLICIDAD!$Z$183</f>
        <v>25.889529605941064</v>
      </c>
      <c r="V117" s="26">
        <f>+[3]PUBLICIDAD!$AI$183</f>
        <v>19.865284289901691</v>
      </c>
      <c r="W117" s="30">
        <f>IF(V117=0,"---",IF(OR(ABS((U117-V117)/ABS(V117))&gt;9,(U117*V117)&lt;0),"---",IF(V117="0","---",((U117-V117)/ABS(V117)))))</f>
        <v>0.30325492593638514</v>
      </c>
      <c r="Z117" s="18">
        <f t="shared" si="156"/>
        <v>11.045310455303643</v>
      </c>
      <c r="AA117" s="26">
        <f t="shared" si="156"/>
        <v>7.1774238065478553</v>
      </c>
      <c r="AB117" s="30">
        <f>IF(AA117=0,"---",IF(OR(ABS((Z117-AA117)/ABS(AA117))&gt;9,(Z117*AA117)&lt;0),"---",IF(AA117="0","---",((Z117-AA117)/ABS(AA117)))))</f>
        <v>0.53889623254895058</v>
      </c>
      <c r="AE117" s="18">
        <f>+[4]PUBLICIDAD!$Z$183</f>
        <v>40.36017369617403</v>
      </c>
      <c r="AF117" s="26">
        <f>+[4]PUBLICIDAD!$AI$183</f>
        <v>31.03830477253311</v>
      </c>
      <c r="AG117" s="30">
        <f>IF(AF117=0,"---",IF(OR(ABS((AE117-AF117)/ABS(AF117))&gt;9,(AE117*AF117)&lt;0),"---",IF(AF117="0","---",((AE117-AF117)/ABS(AF117)))))</f>
        <v>0.30033434467368758</v>
      </c>
      <c r="AJ117" s="18">
        <f t="shared" si="157"/>
        <v>14.470644090232966</v>
      </c>
      <c r="AK117" s="26">
        <f t="shared" si="157"/>
        <v>11.173020482631419</v>
      </c>
      <c r="AL117" s="30">
        <f>IF(AK117=0,"---",IF(OR(ABS((AJ117-AK117)/ABS(AK117))&gt;9,(AJ117*AK117)&lt;0),"---",IF(AK117="0","---",((AJ117-AK117)/ABS(AK117)))))</f>
        <v>0.2951416416650931</v>
      </c>
      <c r="AN117" s="18">
        <f t="shared" si="158"/>
        <v>37.062550088572479</v>
      </c>
      <c r="AO117" s="26">
        <f t="shared" si="159"/>
        <v>35.454971062770994</v>
      </c>
      <c r="AP117" s="30">
        <f>IF(AO117=0,"---",IF(OR(ABS((AN117-AO117)/ABS(AO117))&gt;9,(AN117*AO117)&lt;0),"---",IF(AO117="0","---",((AN117-AO117)/ABS(AO117)))))</f>
        <v>4.53414282289318E-2</v>
      </c>
      <c r="AY117" s="26">
        <f>+[3]PUBLICIDAD!$AO$183</f>
        <v>37.586869357726528</v>
      </c>
      <c r="AZ117" s="26">
        <f>+[2]PUBLICIDAD!$AU$183</f>
        <v>53.176556130595834</v>
      </c>
    </row>
    <row r="118" spans="4:52" s="2" customFormat="1" ht="17.25" customHeight="1">
      <c r="D118" s="19" t="s">
        <v>10</v>
      </c>
      <c r="F118" s="18">
        <f>+[1]PUBLICIDAD!$Z$184</f>
        <v>3.6506232285113791</v>
      </c>
      <c r="G118" s="26">
        <f>+[1]PUBLICIDAD!$AI$184</f>
        <v>3.6741928948147815</v>
      </c>
      <c r="H118" s="30">
        <f>IF(G118=0,"---",IF(OR(ABS((F118-G118)/ABS(G118))&gt;9,(F118*G118)&lt;0),"---",IF(G118="0","---",((F118-G118)/ABS(G118)))))</f>
        <v>-6.4149234888198669E-3</v>
      </c>
      <c r="K118" s="18">
        <f>+[2]PUBLICIDAD!$Z$184</f>
        <v>8.0077965669144149</v>
      </c>
      <c r="L118" s="26">
        <f>+[2]PUBLICIDAD!$AI$184</f>
        <v>5.8335679436253116</v>
      </c>
      <c r="M118" s="30">
        <f>IF(L118=0,"---",IF(OR(ABS((K118-L118)/ABS(L118))&gt;9,(K118*L118)&lt;0),"---",IF(L118="0","---",((K118-L118)/ABS(L118)))))</f>
        <v>0.37270991686400307</v>
      </c>
      <c r="P118" s="18">
        <f t="shared" si="162"/>
        <v>4.3571733384030358</v>
      </c>
      <c r="Q118" s="26">
        <f t="shared" si="162"/>
        <v>2.1593750488105301</v>
      </c>
      <c r="R118" s="30">
        <f>IF(Q118=0,"---",IF(OR(ABS((P118-Q118)/ABS(Q118))&gt;9,(P118*Q118)&lt;0),"---",IF(Q118="0","---",((P118-Q118)/ABS(Q118)))))</f>
        <v>1.0177936856328598</v>
      </c>
      <c r="U118" s="18">
        <f>+[3]PUBLICIDAD!$Z$184</f>
        <v>12.597318555303051</v>
      </c>
      <c r="V118" s="26">
        <f>+[3]PUBLICIDAD!$AI$184</f>
        <v>8.3717054637757879</v>
      </c>
      <c r="W118" s="30">
        <f>IF(V118=0,"---",IF(OR(ABS((U118-V118)/ABS(V118))&gt;9,(U118*V118)&lt;0),"---",IF(V118="0","---",((U118-V118)/ABS(V118)))))</f>
        <v>0.50474937392523078</v>
      </c>
      <c r="Z118" s="18">
        <f t="shared" si="156"/>
        <v>4.5895219883886362</v>
      </c>
      <c r="AA118" s="26">
        <f t="shared" si="156"/>
        <v>2.5381375201504763</v>
      </c>
      <c r="AB118" s="30">
        <f>IF(AA118=0,"---",IF(OR(ABS((Z118-AA118)/ABS(AA118))&gt;9,(Z118*AA118)&lt;0),"---",IF(AA118="0","---",((Z118-AA118)/ABS(AA118)))))</f>
        <v>0.80822431879756507</v>
      </c>
      <c r="AE118" s="18">
        <f>+[4]PUBLICIDAD!$Z$184</f>
        <v>18.237453015405844</v>
      </c>
      <c r="AF118" s="26">
        <f>+[4]PUBLICIDAD!$AI$184</f>
        <v>12.459966707034656</v>
      </c>
      <c r="AG118" s="30">
        <f>IF(AF118=0,"---",IF(OR(ABS((AE118-AF118)/ABS(AF118))&gt;9,(AE118*AF118)&lt;0),"---",IF(AF118="0","---",((AE118-AF118)/ABS(AF118)))))</f>
        <v>0.46368392823307714</v>
      </c>
      <c r="AJ118" s="18">
        <f t="shared" si="157"/>
        <v>5.640134460102793</v>
      </c>
      <c r="AK118" s="26">
        <f t="shared" si="157"/>
        <v>4.0882612432588683</v>
      </c>
      <c r="AL118" s="30">
        <f>IF(AK118=0,"---",IF(OR(ABS((AJ118-AK118)/ABS(AK118))&gt;9,(AJ118*AK118)&lt;0),"---",IF(AK118="0","---",((AJ118-AK118)/ABS(AK118)))))</f>
        <v>0.37959247819664349</v>
      </c>
      <c r="AN118" s="18">
        <f t="shared" si="158"/>
        <v>16.685579798561918</v>
      </c>
      <c r="AO118" s="26">
        <f t="shared" si="159"/>
        <v>12.705813688126216</v>
      </c>
      <c r="AP118" s="30">
        <f>IF(AO118=0,"---",IF(OR(ABS((AN118-AO118)/ABS(AO118))&gt;9,(AN118*AO118)&lt;0),"---",IF(AO118="0","---",((AN118-AO118)/ABS(AO118)))))</f>
        <v>0.31322402548329947</v>
      </c>
      <c r="AY118" s="26">
        <f>+[3]PUBLICIDAD!$AO$184</f>
        <v>16.275204877140236</v>
      </c>
      <c r="AZ118" s="26">
        <f>+[2]PUBLICIDAD!$AU$184</f>
        <v>20.609313101490663</v>
      </c>
    </row>
    <row r="119" spans="4:52" s="2" customFormat="1" ht="17.25" customHeight="1">
      <c r="D119" s="19" t="str">
        <f>+IF($B$3="esp","Otros","Other")</f>
        <v>Other</v>
      </c>
      <c r="F119" s="18">
        <f>+F116-F117-F118</f>
        <v>0.37258082157268468</v>
      </c>
      <c r="G119" s="26">
        <f>+G116-G117-G118</f>
        <v>1.078638846569548</v>
      </c>
      <c r="H119" s="30">
        <f>IF(G119=0,"---",IF(OR(ABS((F119-G119)/ABS(G119))&gt;9,(F119*G119)&lt;0),"---",IF(G119="0","---",((F119-G119)/ABS(G119)))))</f>
        <v>-0.65458241861247335</v>
      </c>
      <c r="K119" s="18">
        <f>+K116-K117-K118</f>
        <v>0.90092707249151971</v>
      </c>
      <c r="L119" s="26">
        <f>+L116-L117-L118</f>
        <v>1.8462118093551165</v>
      </c>
      <c r="M119" s="30">
        <f>IF(L119=0,"---",IF(OR(ABS((K119-L119)/ABS(L119))&gt;9,(K119*L119)&lt;0),"---",IF(L119="0","---",((K119-L119)/ABS(L119)))))</f>
        <v>-0.5120131569268781</v>
      </c>
      <c r="P119" s="18">
        <f t="shared" si="162"/>
        <v>0.52834625091883503</v>
      </c>
      <c r="Q119" s="26">
        <f t="shared" si="162"/>
        <v>0.76757296278556852</v>
      </c>
      <c r="R119" s="30">
        <f>IF(Q119=0,"---",IF(OR(ABS((P119-Q119)/ABS(Q119))&gt;9,(P119*Q119)&lt;0),"---",IF(Q119="0","---",((P119-Q119)/ABS(Q119)))))</f>
        <v>-0.31166641279099427</v>
      </c>
      <c r="U119" s="18">
        <f>+U116-U117-U118</f>
        <v>1.3647333976902409</v>
      </c>
      <c r="V119" s="26">
        <f>+V116-V117-V118</f>
        <v>2.7973011330502739</v>
      </c>
      <c r="W119" s="30">
        <f>IF(V119=0,"---",IF(OR(ABS((U119-V119)/ABS(V119))&gt;9,(U119*V119)&lt;0),"---",IF(V119="0","---",((U119-V119)/ABS(V119)))))</f>
        <v>-0.51212496160465626</v>
      </c>
      <c r="Z119" s="18">
        <f t="shared" si="156"/>
        <v>0.46380632519872123</v>
      </c>
      <c r="AA119" s="26">
        <f t="shared" si="156"/>
        <v>0.95108932369515742</v>
      </c>
      <c r="AB119" s="30">
        <f>IF(AA119=0,"---",IF(OR(ABS((Z119-AA119)/ABS(AA119))&gt;9,(Z119*AA119)&lt;0),"---",IF(AA119="0","---",((Z119-AA119)/ABS(AA119)))))</f>
        <v>-0.51234199181550255</v>
      </c>
      <c r="AE119" s="18">
        <f>+AE116-AE117-AE118</f>
        <v>1.9449869639114077</v>
      </c>
      <c r="AF119" s="26">
        <f>+AF116-AF117-AF118</f>
        <v>4.2321405022875105</v>
      </c>
      <c r="AG119" s="30">
        <f>IF(AF119=0,"---",IF(OR(ABS((AE119-AF119)/ABS(AF119))&gt;9,(AE119*AF119)&lt;0),"---",IF(AF119="0","---",((AE119-AF119)/ABS(AF119)))))</f>
        <v>-0.54042476546794127</v>
      </c>
      <c r="AJ119" s="18">
        <f t="shared" si="157"/>
        <v>0.58025356622116675</v>
      </c>
      <c r="AK119" s="26">
        <f t="shared" si="157"/>
        <v>1.4348393692372365</v>
      </c>
      <c r="AL119" s="30">
        <f>IF(AK119=0,"---",IF(OR(ABS((AJ119-AK119)/ABS(AK119))&gt;9,(AJ119*AK119)&lt;0),"---",IF(AK119="0","---",((AJ119-AK119)/ABS(AK119)))))</f>
        <v>-0.59559684612666386</v>
      </c>
      <c r="AN119" s="18">
        <f t="shared" si="158"/>
        <v>2.7995727669274775</v>
      </c>
      <c r="AO119" s="26">
        <f t="shared" si="159"/>
        <v>4.4357255769305102</v>
      </c>
      <c r="AP119" s="30">
        <f>IF(AO119=0,"---",IF(OR(ABS((AN119-AO119)/ABS(AO119))&gt;9,(AN119*AO119)&lt;0),"---",IF(AO119="0","---",((AN119-AO119)/ABS(AO119)))))</f>
        <v>-0.36885798763395067</v>
      </c>
      <c r="AY119" s="26">
        <f>+AY116-AY117-AY118</f>
        <v>3.9052292991419399</v>
      </c>
      <c r="AZ119" s="26">
        <f>+AZ116-AZ117-AZ118</f>
        <v>5.5436537430221762</v>
      </c>
    </row>
    <row r="120" spans="4:52" ht="17.25" customHeight="1">
      <c r="D120" s="43" t="str">
        <f>+IF($B$3="esp","Otros","Other")</f>
        <v>Other</v>
      </c>
      <c r="F120" s="17">
        <f>+F111-F112-F116</f>
        <v>-3.1761039999993912E-2</v>
      </c>
      <c r="G120" s="25">
        <f>+G111-G112-G116</f>
        <v>-4.8639715907354386E-2</v>
      </c>
      <c r="H120" s="29">
        <f t="shared" si="169"/>
        <v>0.34701427819829017</v>
      </c>
      <c r="K120" s="17">
        <f>+K111-K112-K116</f>
        <v>7.8081963766742035E-2</v>
      </c>
      <c r="L120" s="25">
        <f>+L111-L112-L116</f>
        <v>-4.8639715907388137E-2</v>
      </c>
      <c r="M120" s="29" t="str">
        <f t="shared" si="170"/>
        <v>---</v>
      </c>
      <c r="P120" s="17">
        <f t="shared" si="162"/>
        <v>0.10984300376673595</v>
      </c>
      <c r="Q120" s="25">
        <f t="shared" si="162"/>
        <v>-3.3750779948604759E-14</v>
      </c>
      <c r="R120" s="29" t="str">
        <f t="shared" si="171"/>
        <v>---</v>
      </c>
      <c r="U120" s="17">
        <f>+U111-U112-U116</f>
        <v>0.10950036990345779</v>
      </c>
      <c r="V120" s="25">
        <f>+V111-V112-V116</f>
        <v>-4.9064275907376498E-2</v>
      </c>
      <c r="W120" s="29" t="str">
        <f t="shared" ref="W120" si="177">IF(V120=0,"---",IF(OR(ABS((U120-V120)/ABS(V120))&gt;9,(U120*V120)&lt;0),"---",IF(V120="0","---",((U120-V120)/ABS(V120)))))</f>
        <v>---</v>
      </c>
      <c r="Z120" s="17">
        <f t="shared" si="156"/>
        <v>3.141840613671576E-2</v>
      </c>
      <c r="AA120" s="25">
        <f t="shared" si="156"/>
        <v>-4.2455999998836091E-4</v>
      </c>
      <c r="AB120" s="29" t="str">
        <f t="shared" si="173"/>
        <v>---</v>
      </c>
      <c r="AE120" s="17">
        <f>+AE111-AE112-AE116</f>
        <v>0.26578198990338819</v>
      </c>
      <c r="AF120" s="25">
        <f>+AF111-AF112-AF116</f>
        <v>-0.12591195671041788</v>
      </c>
      <c r="AG120" s="29" t="str">
        <f t="shared" ref="AG120" si="178">IF(AF120=0,"---",IF(OR(ABS((AE120-AF120)/ABS(AF120))&gt;9,(AE120*AF120)&lt;0),"---",IF(AF120="0","---",((AE120-AF120)/ABS(AF120)))))</f>
        <v>---</v>
      </c>
      <c r="AJ120" s="17">
        <f t="shared" si="157"/>
        <v>0.1562816199999304</v>
      </c>
      <c r="AK120" s="25">
        <f t="shared" si="157"/>
        <v>-7.6847680803041385E-2</v>
      </c>
      <c r="AL120" s="29" t="str">
        <f t="shared" si="175"/>
        <v>---</v>
      </c>
      <c r="AN120" s="17">
        <f t="shared" si="158"/>
        <v>3.265268910041641E-2</v>
      </c>
      <c r="AO120" s="25">
        <f t="shared" si="159"/>
        <v>-0.1484432456175071</v>
      </c>
      <c r="AP120" s="29" t="str">
        <f t="shared" ref="AP120" si="179">IF(AO120=0,"---",IF(OR(ABS((AN120-AO120)/ABS(AO120))&gt;9,(AN120*AO120)&lt;0),"---",IF(AO120="0","---",((AN120-AO120)/ABS(AO120)))))</f>
        <v>---</v>
      </c>
      <c r="AY120" s="25">
        <f>+AY111-AY112-AY116</f>
        <v>-0.19802553078353924</v>
      </c>
      <c r="AZ120" s="25">
        <f>+AZ111-AZ112-AZ116</f>
        <v>-0.29740450049366984</v>
      </c>
    </row>
    <row r="121" spans="4:52" s="9" customFormat="1" ht="17.25" customHeight="1">
      <c r="D121" s="42" t="s">
        <v>7</v>
      </c>
      <c r="F121" s="16">
        <f>+[1]PUBLICIDAD!$Z$192</f>
        <v>18.0088882511516</v>
      </c>
      <c r="G121" s="24">
        <f>+[1]PUBLICIDAD!$AI$192</f>
        <v>19.268559162735134</v>
      </c>
      <c r="H121" s="28">
        <f>IF(G121=0,"---",IF(OR(ABS((F121-G121)/ABS(G121))&gt;9,(F121*G121)&lt;0),"---",IF(G121="0","---",((F121-G121)/ABS(G121)))))</f>
        <v>-6.5374421665097979E-2</v>
      </c>
      <c r="K121" s="16">
        <f>+[2]PUBLICIDAD!$Z$192</f>
        <v>42.845196198303007</v>
      </c>
      <c r="L121" s="24">
        <f>+[2]PUBLICIDAD!$AI$192</f>
        <v>35.149595652215808</v>
      </c>
      <c r="M121" s="28">
        <f>IF(L121=0,"---",IF(OR(ABS((K121-L121)/ABS(L121))&gt;9,(K121*L121)&lt;0),"---",IF(L121="0","---",((K121-L121)/ABS(L121)))))</f>
        <v>0.21893852271390421</v>
      </c>
      <c r="P121" s="16">
        <f>+K121-F121</f>
        <v>24.836307947151408</v>
      </c>
      <c r="Q121" s="24">
        <f>+L121-G121</f>
        <v>15.881036489480675</v>
      </c>
      <c r="R121" s="28">
        <f>IF(Q121=0,"---",IF(OR(ABS((P121-Q121)/ABS(Q121))&gt;9,(P121*Q121)&lt;0),"---",IF(Q121="0","---",((P121-Q121)/ABS(Q121)))))</f>
        <v>0.56389716525130784</v>
      </c>
      <c r="U121" s="16">
        <f>+[3]PUBLICIDAD!$Z$192</f>
        <v>63.082294817184938</v>
      </c>
      <c r="V121" s="24">
        <f>+[3]PUBLICIDAD!$AI$192</f>
        <v>51.921725326989787</v>
      </c>
      <c r="W121" s="28">
        <f>IF(V121=0,"---",IF(OR(ABS((U121-V121)/ABS(V121))&gt;9,(U121*V121)&lt;0),"---",IF(V121="0","---",((U121-V121)/ABS(V121)))))</f>
        <v>0.21494989659740177</v>
      </c>
      <c r="Z121" s="16">
        <f t="shared" si="156"/>
        <v>20.23709861888193</v>
      </c>
      <c r="AA121" s="24">
        <f t="shared" si="156"/>
        <v>16.772129674773979</v>
      </c>
      <c r="AB121" s="28">
        <f>IF(AA121=0,"---",IF(OR(ABS((Z121-AA121)/ABS(AA121))&gt;9,(Z121*AA121)&lt;0),"---",IF(AA121="0","---",((Z121-AA121)/ABS(AA121)))))</f>
        <v>0.20659087493935951</v>
      </c>
      <c r="AE121" s="16">
        <f>+[4]PUBLICIDAD!$Z$192</f>
        <v>92.572387500099708</v>
      </c>
      <c r="AF121" s="24">
        <f>+[4]PUBLICIDAD!$AI$192</f>
        <v>81.470887744266363</v>
      </c>
      <c r="AG121" s="28">
        <f>IF(AF121=0,"---",IF(OR(ABS((AE121-AF121)/ABS(AF121))&gt;9,(AE121*AF121)&lt;0),"---",IF(AF121="0","---",((AE121-AF121)/ABS(AF121)))))</f>
        <v>0.1362633949771172</v>
      </c>
      <c r="AJ121" s="16">
        <f t="shared" si="157"/>
        <v>29.490092682914771</v>
      </c>
      <c r="AK121" s="24">
        <f t="shared" si="157"/>
        <v>29.549162417276577</v>
      </c>
      <c r="AL121" s="28">
        <f>IF(AK121=0,"---",IF(OR(ABS((AJ121-AK121)/ABS(AK121))&gt;9,(AJ121*AK121)&lt;0),"---",IF(AK121="0","---",((AJ121-AK121)/ABS(AK121)))))</f>
        <v>-1.999032443886451E-3</v>
      </c>
      <c r="AN121" s="16">
        <f t="shared" si="158"/>
        <v>92.631457234461521</v>
      </c>
      <c r="AO121" s="24">
        <f t="shared" si="159"/>
        <v>85.915534290311342</v>
      </c>
      <c r="AP121" s="28">
        <f>IF(AO121=0,"---",IF(OR(ABS((AN121-AO121)/ABS(AO121))&gt;9,(AN121*AO121)&lt;0),"---",IF(AO121="0","---",((AN121-AO121)/ABS(AO121)))))</f>
        <v>7.8168901580206215E-2</v>
      </c>
      <c r="AY121" s="24">
        <f>+[3]PUBLICIDAD!$AO$192</f>
        <v>72.183539512369322</v>
      </c>
      <c r="AZ121" s="24">
        <f>+[2]PUBLICIDAD!$AU$192</f>
        <v>106.17734847569088</v>
      </c>
    </row>
    <row r="122" spans="4:52" ht="17.25" customHeight="1">
      <c r="D122" s="43" t="str">
        <f>+IF($B$3="esp","Digital","Online")</f>
        <v>Online</v>
      </c>
      <c r="F122" s="17">
        <f>+[1]PUBLICIDAD!$Z$360</f>
        <v>14.550932406899038</v>
      </c>
      <c r="G122" s="25">
        <f>+[1]PUBLICIDAD!$AI$360</f>
        <v>14.585430703249557</v>
      </c>
      <c r="H122" s="29">
        <f t="shared" ref="H122:H125" si="180">IF(G122=0,"---",IF(OR(ABS((F122-G122)/ABS(G122))&gt;9,(F122*G122)&lt;0),"---",IF(G122="0","---",((F122-G122)/ABS(G122)))))</f>
        <v>-2.3652572935561273E-3</v>
      </c>
      <c r="K122" s="17">
        <f>+[2]PUBLICIDAD!$Z$360</f>
        <v>33.320342081573529</v>
      </c>
      <c r="L122" s="25">
        <f>+[2]PUBLICIDAD!$AI$360</f>
        <v>27.599875361301002</v>
      </c>
      <c r="M122" s="29">
        <f t="shared" ref="M122:M125" si="181">IF(L122=0,"---",IF(OR(ABS((K122-L122)/ABS(L122))&gt;9,(K122*L122)&lt;0),"---",IF(L122="0","---",((K122-L122)/ABS(L122)))))</f>
        <v>0.20726422294984143</v>
      </c>
      <c r="P122" s="17">
        <f t="shared" ref="P122:Q125" si="182">+K122-F122</f>
        <v>18.769409674674492</v>
      </c>
      <c r="Q122" s="25">
        <f t="shared" si="182"/>
        <v>13.014444658051445</v>
      </c>
      <c r="R122" s="29">
        <f t="shared" ref="R122:R125" si="183">IF(Q122=0,"---",IF(OR(ABS((P122-Q122)/ABS(Q122))&gt;9,(P122*Q122)&lt;0),"---",IF(Q122="0","---",((P122-Q122)/ABS(Q122)))))</f>
        <v>0.44219827797744032</v>
      </c>
      <c r="U122" s="17">
        <f>+[3]PUBLICIDAD!$Z$360</f>
        <v>50.083318772705617</v>
      </c>
      <c r="V122" s="25">
        <f>+[3]PUBLICIDAD!$AI$360</f>
        <v>40.734127282787625</v>
      </c>
      <c r="W122" s="29">
        <f t="shared" ref="W122:W125" si="184">IF(V122=0,"---",IF(OR(ABS((U122-V122)/ABS(V122))&gt;9,(U122*V122)&lt;0),"---",IF(V122="0","---",((U122-V122)/ABS(V122)))))</f>
        <v>0.22951741239018839</v>
      </c>
      <c r="Z122" s="17">
        <f t="shared" si="156"/>
        <v>16.762976691132089</v>
      </c>
      <c r="AA122" s="25">
        <f t="shared" si="156"/>
        <v>13.134251921486623</v>
      </c>
      <c r="AB122" s="29">
        <f t="shared" ref="AB122:AB125" si="185">IF(AA122=0,"---",IF(OR(ABS((Z122-AA122)/ABS(AA122))&gt;9,(Z122*AA122)&lt;0),"---",IF(AA122="0","---",((Z122-AA122)/ABS(AA122)))))</f>
        <v>0.27627951643817278</v>
      </c>
      <c r="AE122" s="17">
        <f>+[4]PUBLICIDAD!$Z$360</f>
        <v>71.4109442515918</v>
      </c>
      <c r="AF122" s="25">
        <f>+[4]PUBLICIDAD!$AI$360</f>
        <v>61.641975688070623</v>
      </c>
      <c r="AG122" s="29">
        <f t="shared" ref="AG122:AG125" si="186">IF(AF122=0,"---",IF(OR(ABS((AE122-AF122)/ABS(AF122))&gt;9,(AE122*AF122)&lt;0),"---",IF(AF122="0","---",((AE122-AF122)/ABS(AF122)))))</f>
        <v>0.15847916057972383</v>
      </c>
      <c r="AJ122" s="17">
        <f t="shared" si="157"/>
        <v>21.327625478886183</v>
      </c>
      <c r="AK122" s="25">
        <f t="shared" si="157"/>
        <v>20.907848405282998</v>
      </c>
      <c r="AL122" s="29">
        <f t="shared" ref="AL122:AL125" si="187">IF(AK122=0,"---",IF(OR(ABS((AJ122-AK122)/ABS(AK122))&gt;9,(AJ122*AK122)&lt;0),"---",IF(AK122="0","---",((AJ122-AK122)/ABS(AK122)))))</f>
        <v>2.0077487911052402E-2</v>
      </c>
      <c r="AN122" s="17">
        <f t="shared" si="158"/>
        <v>70.991167177988615</v>
      </c>
      <c r="AO122" s="25" t="e">
        <f t="shared" si="159"/>
        <v>#REF!</v>
      </c>
      <c r="AP122" s="29" t="e">
        <f t="shared" ref="AP122:AP125" si="188">IF(AO122=0,"---",IF(OR(ABS((AN122-AO122)/ABS(AO122))&gt;9,(AN122*AO122)&lt;0),"---",IF(AO122="0","---",((AN122-AO122)/ABS(AO122)))))</f>
        <v>#REF!</v>
      </c>
      <c r="AY122" s="25" t="e">
        <f>+#REF!</f>
        <v>#REF!</v>
      </c>
      <c r="AZ122" s="25">
        <f>+[6]TABLAS!$L$158</f>
        <v>68.635441354943268</v>
      </c>
    </row>
    <row r="123" spans="4:52" ht="17.25" customHeight="1">
      <c r="D123" s="43" t="str">
        <f>+IF($B$3="esp","Papel","Offline")</f>
        <v>Offline</v>
      </c>
      <c r="F123" s="17">
        <f>+[1]PUBLICIDAD!$Z$366</f>
        <v>4.970676869876681</v>
      </c>
      <c r="G123" s="25">
        <f>+[1]PUBLICIDAD!$AI$366</f>
        <v>6.6358833870034974</v>
      </c>
      <c r="H123" s="29">
        <f t="shared" si="180"/>
        <v>-0.25093968956539453</v>
      </c>
      <c r="K123" s="17">
        <f>+[2]PUBLICIDAD!$Z$366</f>
        <v>11.695393630785022</v>
      </c>
      <c r="L123" s="25">
        <f>+[2]PUBLICIDAD!$AI$366</f>
        <v>10.985819872279198</v>
      </c>
      <c r="M123" s="29">
        <f t="shared" si="181"/>
        <v>6.4589968409759738E-2</v>
      </c>
      <c r="P123" s="17">
        <f t="shared" si="182"/>
        <v>6.7247167609083407</v>
      </c>
      <c r="Q123" s="25">
        <f t="shared" si="182"/>
        <v>4.3499364852757001</v>
      </c>
      <c r="R123" s="29">
        <f t="shared" si="183"/>
        <v>0.54593447138162676</v>
      </c>
      <c r="U123" s="17">
        <f>+[3]PUBLICIDAD!$Z$366</f>
        <v>16.662013549856674</v>
      </c>
      <c r="V123" s="25">
        <f>+[3]PUBLICIDAD!$AI$366</f>
        <v>15.567035988911817</v>
      </c>
      <c r="W123" s="29">
        <f t="shared" si="184"/>
        <v>7.0339502120043543E-2</v>
      </c>
      <c r="Z123" s="17">
        <f t="shared" si="156"/>
        <v>4.9666199190716522</v>
      </c>
      <c r="AA123" s="25">
        <f t="shared" si="156"/>
        <v>4.5812161166326195</v>
      </c>
      <c r="AB123" s="29">
        <f t="shared" si="185"/>
        <v>8.4126963807662547E-2</v>
      </c>
      <c r="AE123" s="17">
        <f>+[4]PUBLICIDAD!$Z$366</f>
        <v>25.632987212360149</v>
      </c>
      <c r="AF123" s="25">
        <f>+[4]PUBLICIDAD!$AI$366</f>
        <v>24.795005245830403</v>
      </c>
      <c r="AG123" s="29">
        <f t="shared" si="186"/>
        <v>3.3796402066527634E-2</v>
      </c>
      <c r="AJ123" s="17">
        <f t="shared" si="157"/>
        <v>8.9709736625034751</v>
      </c>
      <c r="AK123" s="25">
        <f t="shared" si="157"/>
        <v>9.2279692569185858</v>
      </c>
      <c r="AL123" s="29">
        <f t="shared" si="187"/>
        <v>-2.7849637039311835E-2</v>
      </c>
      <c r="AN123" s="17">
        <f t="shared" si="158"/>
        <v>25.889982806775258</v>
      </c>
      <c r="AO123" s="25" t="e">
        <f t="shared" si="159"/>
        <v>#REF!</v>
      </c>
      <c r="AP123" s="29" t="e">
        <f t="shared" si="188"/>
        <v>#REF!</v>
      </c>
      <c r="AY123" s="25" t="e">
        <f>+#REF!</f>
        <v>#REF!</v>
      </c>
      <c r="AZ123" s="25">
        <f>+[6]TABLAS!$L$156</f>
        <v>42.116897084018632</v>
      </c>
    </row>
    <row r="124" spans="4:52" ht="17.25" customHeight="1">
      <c r="D124" s="43" t="str">
        <f>+IF($B$3="esp","Eventos","Events")</f>
        <v>Events</v>
      </c>
      <c r="F124" s="17">
        <f>+[1]PUBLICIDAD!$Z$371</f>
        <v>0.36302192999999999</v>
      </c>
      <c r="G124" s="25">
        <f>+[1]PUBLICIDAD!$AI$371</f>
        <v>0.21681992880937978</v>
      </c>
      <c r="H124" s="29">
        <f t="shared" si="180"/>
        <v>0.67430149061231226</v>
      </c>
      <c r="K124" s="17">
        <f>+[2]PUBLICIDAD!$Z$371</f>
        <v>1.5527769300000001</v>
      </c>
      <c r="L124" s="25">
        <f>+[2]PUBLICIDAD!$AI$371</f>
        <v>0.52000060880937971</v>
      </c>
      <c r="M124" s="29">
        <f t="shared" si="181"/>
        <v>1.9861059846743614</v>
      </c>
      <c r="P124" s="17">
        <f t="shared" si="182"/>
        <v>1.1897550000000001</v>
      </c>
      <c r="Q124" s="25">
        <f t="shared" si="182"/>
        <v>0.30318067999999992</v>
      </c>
      <c r="R124" s="29">
        <f t="shared" si="183"/>
        <v>2.9242441174022056</v>
      </c>
      <c r="U124" s="17">
        <f>+[3]PUBLICIDAD!$Z$371</f>
        <v>2.0137769300000001</v>
      </c>
      <c r="V124" s="25">
        <f>+[3]PUBLICIDAD!$AI$371</f>
        <v>0.96267588281937966</v>
      </c>
      <c r="W124" s="29">
        <f t="shared" si="184"/>
        <v>1.0918535157464118</v>
      </c>
      <c r="Z124" s="17">
        <f t="shared" si="156"/>
        <v>0.46100000000000008</v>
      </c>
      <c r="AA124" s="25">
        <f t="shared" si="156"/>
        <v>0.44267527400999995</v>
      </c>
      <c r="AB124" s="29">
        <f t="shared" si="185"/>
        <v>4.1395413446078694E-2</v>
      </c>
      <c r="AE124" s="17">
        <f>+[4]PUBLICIDAD!$Z$371</f>
        <v>3.9069009099999992</v>
      </c>
      <c r="AF124" s="25">
        <f>+[4]PUBLICIDAD!$AI$371</f>
        <v>3.1806398245932024</v>
      </c>
      <c r="AG124" s="29">
        <f t="shared" si="186"/>
        <v>0.22833804688957013</v>
      </c>
      <c r="AJ124" s="17">
        <f t="shared" si="157"/>
        <v>1.893123979999999</v>
      </c>
      <c r="AK124" s="25">
        <f t="shared" si="157"/>
        <v>2.2179639417738226</v>
      </c>
      <c r="AL124" s="29">
        <f t="shared" si="187"/>
        <v>-0.14645863066377532</v>
      </c>
      <c r="AN124" s="17">
        <f t="shared" si="158"/>
        <v>4.2317408717738232</v>
      </c>
      <c r="AO124" s="25" t="e">
        <f t="shared" si="159"/>
        <v>#REF!</v>
      </c>
      <c r="AP124" s="29" t="e">
        <f t="shared" si="188"/>
        <v>#REF!</v>
      </c>
      <c r="AY124" s="25" t="e">
        <f>+#REF!</f>
        <v>#REF!</v>
      </c>
      <c r="AZ124" s="25">
        <f>+[6]TABLAS!$L$160</f>
        <v>5.7720083287016051</v>
      </c>
    </row>
    <row r="125" spans="4:52" ht="17.25" customHeight="1">
      <c r="D125" s="43" t="str">
        <f>+IF($B$3="esp","Rappel y Otros","Volume discount &amp; other")</f>
        <v>Volume discount &amp; other</v>
      </c>
      <c r="F125" s="17">
        <f>+F121-F122-F123-F124</f>
        <v>-1.8757429556241196</v>
      </c>
      <c r="G125" s="25">
        <f>+G121-G122-G123-G124</f>
        <v>-2.1695748563273005</v>
      </c>
      <c r="H125" s="29">
        <f t="shared" si="180"/>
        <v>0.13543293970533257</v>
      </c>
      <c r="K125" s="17">
        <f>+K121-K122-K123-K124</f>
        <v>-3.7233164440555431</v>
      </c>
      <c r="L125" s="25">
        <f>+L121-L122-L123-L124</f>
        <v>-3.9561001901737716</v>
      </c>
      <c r="M125" s="29">
        <f t="shared" si="181"/>
        <v>5.8841721626874031E-2</v>
      </c>
      <c r="P125" s="17">
        <f t="shared" si="182"/>
        <v>-1.8475734884314234</v>
      </c>
      <c r="Q125" s="25">
        <f t="shared" si="182"/>
        <v>-1.7865253338464711</v>
      </c>
      <c r="R125" s="29">
        <f t="shared" si="183"/>
        <v>-3.4171446342444477E-2</v>
      </c>
      <c r="U125" s="17">
        <f>+U121-U122-U123-U124</f>
        <v>-5.676814435377354</v>
      </c>
      <c r="V125" s="25">
        <f>+V121-V122-V123-V124</f>
        <v>-5.342113827529035</v>
      </c>
      <c r="W125" s="29">
        <f t="shared" si="184"/>
        <v>-6.2653215310302157E-2</v>
      </c>
      <c r="Z125" s="17">
        <f t="shared" si="156"/>
        <v>-1.9534979913218109</v>
      </c>
      <c r="AA125" s="25">
        <f t="shared" si="156"/>
        <v>-1.3860136373552634</v>
      </c>
      <c r="AB125" s="29">
        <f t="shared" si="185"/>
        <v>-0.40943634223498609</v>
      </c>
      <c r="AE125" s="17">
        <f>+AE121-AE122-AE123-AE124</f>
        <v>-8.3784448738522403</v>
      </c>
      <c r="AF125" s="25">
        <f>+AF121-AF122-AF123-AF124</f>
        <v>-8.1467330142278644</v>
      </c>
      <c r="AG125" s="29">
        <f t="shared" si="186"/>
        <v>-2.8442304322444673E-2</v>
      </c>
      <c r="AJ125" s="17">
        <f t="shared" si="157"/>
        <v>-2.7016304384748864</v>
      </c>
      <c r="AK125" s="25">
        <f t="shared" si="157"/>
        <v>-2.8046191866988295</v>
      </c>
      <c r="AL125" s="29">
        <f t="shared" si="187"/>
        <v>3.67211166180339E-2</v>
      </c>
      <c r="AN125" s="17">
        <f t="shared" si="158"/>
        <v>-8.4814336220761835</v>
      </c>
      <c r="AO125" s="25" t="e">
        <f t="shared" si="159"/>
        <v>#REF!</v>
      </c>
      <c r="AP125" s="29" t="e">
        <f t="shared" si="188"/>
        <v>#REF!</v>
      </c>
      <c r="AY125" s="25" t="e">
        <f>+AY121-AY122-AY123-AY124</f>
        <v>#REF!</v>
      </c>
      <c r="AZ125" s="25">
        <f>+AZ121-AZ122-AZ123-AZ124</f>
        <v>-10.346998291972628</v>
      </c>
    </row>
    <row r="127" spans="4:52" ht="15">
      <c r="D127" s="10" t="str">
        <f>+IF($B$3="esp","Resultados a tipo de cambio constante","Results at constant currency")</f>
        <v>Results at constant currency</v>
      </c>
      <c r="F127" s="11"/>
      <c r="G127" s="11"/>
      <c r="H127" s="11"/>
      <c r="K127" s="11"/>
      <c r="L127" s="11"/>
      <c r="M127" s="11"/>
      <c r="P127" s="11"/>
      <c r="Q127" s="11"/>
      <c r="R127" s="11"/>
      <c r="U127" s="11"/>
      <c r="V127" s="11"/>
      <c r="W127" s="11"/>
      <c r="Z127" s="11"/>
      <c r="AA127" s="11"/>
      <c r="AB127" s="11"/>
      <c r="AE127" s="11"/>
      <c r="AF127" s="11"/>
      <c r="AG127" s="11"/>
      <c r="AJ127" s="11"/>
      <c r="AK127" s="11"/>
      <c r="AL127" s="11"/>
    </row>
    <row r="128" spans="4:52" s="9" customFormat="1" ht="17.25" customHeight="1">
      <c r="D128" s="21" t="s">
        <v>14</v>
      </c>
      <c r="F128" s="16">
        <f>+[1]PUBLICIDAD!$AH$177</f>
        <v>56.646891575782398</v>
      </c>
      <c r="G128" s="24">
        <f>+[1]PUBLICIDAD!$AI$177</f>
        <v>62.575943603986119</v>
      </c>
      <c r="H128" s="28">
        <f>IF(G128=0,"---",IF(OR(ABS((F128-G128)/ABS(G128))&gt;9,(F128*G128)&lt;0),"---",IF(G128="0","---",((F128-G128)/ABS(G128)))))</f>
        <v>-9.4749702309339795E-2</v>
      </c>
      <c r="K128" s="16">
        <f>+[2]PUBLICIDAD!$AH$177</f>
        <v>133.79894430081305</v>
      </c>
      <c r="L128" s="24">
        <f>+[2]PUBLICIDAD!$AI$177</f>
        <v>110.41257458592547</v>
      </c>
      <c r="M128" s="28">
        <f>IF(L128=0,"---",IF(OR(ABS((K128-L128)/ABS(L128))&gt;9,(K128*L128)&lt;0),"---",IF(L128="0","---",((K128-L128)/ABS(L128)))))</f>
        <v>0.21180893392434932</v>
      </c>
      <c r="P128" s="16">
        <f>+K128-F128</f>
        <v>77.152052725030643</v>
      </c>
      <c r="Q128" s="24">
        <f>+L128-G128</f>
        <v>47.836630981939351</v>
      </c>
      <c r="R128" s="28">
        <f>IF(Q128=0,"---",IF(OR(ABS((P128-Q128)/ABS(Q128))&gt;9,(P128*Q128)&lt;0),"---",IF(Q128="0","---",((P128-Q128)/ABS(Q128)))))</f>
        <v>0.61282371148083747</v>
      </c>
      <c r="U128" s="16">
        <f>+[3]PUBLICIDAD!$AH$177</f>
        <v>202.04479566849389</v>
      </c>
      <c r="V128" s="24">
        <f>+[3]PUBLICIDAD!$AI$177</f>
        <v>166.07758424692909</v>
      </c>
      <c r="W128" s="28">
        <f>IF(V128=0,"---",IF(OR(ABS((U128-V128)/ABS(V128))&gt;9,(U128*V128)&lt;0),"---",IF(V128="0","---",((U128-V128)/ABS(V128)))))</f>
        <v>0.21656872951672804</v>
      </c>
      <c r="Z128" s="16">
        <f t="shared" ref="Z128:AA143" si="189">+U128-K128</f>
        <v>68.245851367680842</v>
      </c>
      <c r="AA128" s="24">
        <f t="shared" si="189"/>
        <v>55.665009661003623</v>
      </c>
      <c r="AB128" s="28">
        <f>IF(AA128=0,"---",IF(OR(ABS((Z128-AA128)/ABS(AA128))&gt;9,(Z128*AA128)&lt;0),"---",IF(AA128="0","---",((Z128-AA128)/ABS(AA128)))))</f>
        <v>0.22600987196973013</v>
      </c>
      <c r="AE128" s="16">
        <f>+[4]PUBLICIDAD!$AH$177</f>
        <v>300.22892273128099</v>
      </c>
      <c r="AF128" s="24">
        <f>+[4]PUBLICIDAD!$AI$177</f>
        <v>255.64247520357483</v>
      </c>
      <c r="AG128" s="28">
        <f>IF(AF128=0,"---",IF(OR(ABS((AE128-AF128)/ABS(AF128))&gt;9,(AE128*AF128)&lt;0),"---",IF(AF128="0","---",((AE128-AF128)/ABS(AF128)))))</f>
        <v>0.17440938753311944</v>
      </c>
      <c r="AJ128" s="16">
        <f t="shared" ref="AJ128:AK143" si="190">+AE128-U128</f>
        <v>98.184127062787098</v>
      </c>
      <c r="AK128" s="24">
        <f t="shared" si="190"/>
        <v>89.564890956645741</v>
      </c>
      <c r="AL128" s="28">
        <f>IF(AK128=0,"---",IF(OR(ABS((AJ128-AK128)/ABS(AK128))&gt;9,(AJ128*AK128)&lt;0),"---",IF(AK128="0","---",((AJ128-AK128)/ABS(AK128)))))</f>
        <v>9.6234540276652986E-2</v>
      </c>
    </row>
    <row r="129" spans="4:38" s="9" customFormat="1" ht="17.25" customHeight="1">
      <c r="D129" s="42" t="s">
        <v>6</v>
      </c>
      <c r="F129" s="16">
        <f>+[1]PUBLICIDAD!$AH$178</f>
        <v>39.032168516936693</v>
      </c>
      <c r="G129" s="24">
        <f>+[1]PUBLICIDAD!$AI$178</f>
        <v>43.948128679937646</v>
      </c>
      <c r="H129" s="28">
        <f>IF(G129=0,"---",IF(OR(ABS((F129-G129)/ABS(G129))&gt;9,(F129*G129)&lt;0),"---",IF(G129="0","---",((F129-G129)/ABS(G129)))))</f>
        <v>-0.11185823630404297</v>
      </c>
      <c r="K129" s="16">
        <f>+[2]PUBLICIDAD!$AH$178</f>
        <v>91.985068726227325</v>
      </c>
      <c r="L129" s="24">
        <f>+[2]PUBLICIDAD!$AI$178</f>
        <v>76.415148780426861</v>
      </c>
      <c r="M129" s="28">
        <f>IF(L129=0,"---",IF(OR(ABS((K129-L129)/ABS(L129))&gt;9,(K129*L129)&lt;0),"---",IF(L129="0","---",((K129-L129)/ABS(L129)))))</f>
        <v>0.20375436277091405</v>
      </c>
      <c r="P129" s="16">
        <f>+K129-F129</f>
        <v>52.952900209290632</v>
      </c>
      <c r="Q129" s="24">
        <f>+L129-G129</f>
        <v>32.467020100489215</v>
      </c>
      <c r="R129" s="28">
        <f>IF(Q129=0,"---",IF(OR(ABS((P129-Q129)/ABS(Q129))&gt;9,(P129*Q129)&lt;0),"---",IF(Q129="0","---",((P129-Q129)/ABS(Q129)))))</f>
        <v>0.63097506470859444</v>
      </c>
      <c r="U129" s="16">
        <f>+[3]PUBLICIDAD!$AH$178</f>
        <v>140.40009280356432</v>
      </c>
      <c r="V129" s="24">
        <f>+[3]PUBLICIDAD!$AI$178</f>
        <v>115.78563249082038</v>
      </c>
      <c r="W129" s="28">
        <f>IF(V129=0,"---",IF(OR(ABS((U129-V129)/ABS(V129))&gt;9,(U129*V129)&lt;0),"---",IF(V129="0","---",((U129-V129)/ABS(V129)))))</f>
        <v>0.21258648230552618</v>
      </c>
      <c r="Z129" s="16">
        <f t="shared" si="189"/>
        <v>48.415024077336994</v>
      </c>
      <c r="AA129" s="24">
        <f t="shared" si="189"/>
        <v>39.370483710393515</v>
      </c>
      <c r="AB129" s="28">
        <f>IF(AA129=0,"---",IF(OR(ABS((Z129-AA129)/ABS(AA129))&gt;9,(Z129*AA129)&lt;0),"---",IF(AA129="0","---",((Z129-AA129)/ABS(AA129)))))</f>
        <v>0.22972896227220566</v>
      </c>
      <c r="AE129" s="16">
        <f>+[4]PUBLICIDAD!$AH$178</f>
        <v>209.83885762741258</v>
      </c>
      <c r="AF129" s="24">
        <f>+[4]PUBLICIDAD!$AI$178</f>
        <v>176.48080940514484</v>
      </c>
      <c r="AG129" s="28">
        <f>IF(AF129=0,"---",IF(OR(ABS((AE129-AF129)/ABS(AF129))&gt;9,(AE129*AF129)&lt;0),"---",IF(AF129="0","---",((AE129-AF129)/ABS(AF129)))))</f>
        <v>0.18901799201117714</v>
      </c>
      <c r="AJ129" s="16">
        <f t="shared" si="190"/>
        <v>69.43876482384826</v>
      </c>
      <c r="AK129" s="24">
        <f t="shared" si="190"/>
        <v>60.695176914324463</v>
      </c>
      <c r="AL129" s="28">
        <f>IF(AK129=0,"---",IF(OR(ABS((AJ129-AK129)/ABS(AK129))&gt;9,(AJ129*AK129)&lt;0),"---",IF(AK129="0","---",((AJ129-AK129)/ABS(AK129)))))</f>
        <v>0.1440573757922477</v>
      </c>
    </row>
    <row r="130" spans="4:38" ht="17.25" customHeight="1">
      <c r="D130" s="43" t="str">
        <f>+IF($B$3="esp","España","Spain")</f>
        <v>Spain</v>
      </c>
      <c r="F130" s="17">
        <f>+[1]PUBLICIDAD!$AH$179</f>
        <v>28.199481469999995</v>
      </c>
      <c r="G130" s="25">
        <f>+[1]PUBLICIDAD!$AI$179</f>
        <v>31.862111480000017</v>
      </c>
      <c r="H130" s="29">
        <f t="shared" ref="H130" si="191">IF(G130=0,"---",IF(OR(ABS((F130-G130)/ABS(G130))&gt;9,(F130*G130)&lt;0),"---",IF(G130="0","---",((F130-G130)/ABS(G130)))))</f>
        <v>-0.11495252008954493</v>
      </c>
      <c r="K130" s="17">
        <f>+[2]PUBLICIDAD!$AH$179</f>
        <v>67.39536471000001</v>
      </c>
      <c r="L130" s="25">
        <f>+[2]PUBLICIDAD!$AI$179</f>
        <v>56.096148259999985</v>
      </c>
      <c r="M130" s="29">
        <f t="shared" ref="M130" si="192">IF(L130=0,"---",IF(OR(ABS((K130-L130)/ABS(L130))&gt;9,(K130*L130)&lt;0),"---",IF(L130="0","---",((K130-L130)/ABS(L130)))))</f>
        <v>0.20142588752492055</v>
      </c>
      <c r="P130" s="17">
        <f t="shared" ref="P130:Q138" si="193">+K130-F130</f>
        <v>39.195883240000015</v>
      </c>
      <c r="Q130" s="25">
        <f t="shared" si="193"/>
        <v>24.234036779999968</v>
      </c>
      <c r="R130" s="29">
        <f t="shared" ref="R130" si="194">IF(Q130=0,"---",IF(OR(ABS((P130-Q130)/ABS(Q130))&gt;9,(P130*Q130)&lt;0),"---",IF(Q130="0","---",((P130-Q130)/ABS(Q130)))))</f>
        <v>0.6173897727326989</v>
      </c>
      <c r="U130" s="17">
        <f>+[3]PUBLICIDAD!$AH$179</f>
        <v>99.239186619999998</v>
      </c>
      <c r="V130" s="25">
        <f>+[3]PUBLICIDAD!$AI$179</f>
        <v>84.80040588</v>
      </c>
      <c r="W130" s="29">
        <f t="shared" ref="W130" si="195">IF(V130=0,"---",IF(OR(ABS((U130-V130)/ABS(V130))&gt;9,(U130*V130)&lt;0),"---",IF(V130="0","---",((U130-V130)/ABS(V130)))))</f>
        <v>0.17026782584545808</v>
      </c>
      <c r="Z130" s="17">
        <f t="shared" si="189"/>
        <v>31.843821909999988</v>
      </c>
      <c r="AA130" s="25">
        <f t="shared" si="189"/>
        <v>28.704257620000014</v>
      </c>
      <c r="AB130" s="29">
        <f t="shared" ref="AB130" si="196">IF(AA130=0,"---",IF(OR(ABS((Z130-AA130)/ABS(AA130))&gt;9,(Z130*AA130)&lt;0),"---",IF(AA130="0","---",((Z130-AA130)/ABS(AA130)))))</f>
        <v>0.1093762580995109</v>
      </c>
      <c r="AE130" s="17">
        <f>+[4]PUBLICIDAD!$AH$179</f>
        <v>147.27222913000003</v>
      </c>
      <c r="AF130" s="25">
        <f>+[4]PUBLICIDAD!$AI$179</f>
        <v>128.87630937999998</v>
      </c>
      <c r="AG130" s="29">
        <f t="shared" ref="AG130" si="197">IF(AF130=0,"---",IF(OR(ABS((AE130-AF130)/ABS(AF130))&gt;9,(AE130*AF130)&lt;0),"---",IF(AF130="0","---",((AE130-AF130)/ABS(AF130)))))</f>
        <v>0.14274089503726017</v>
      </c>
      <c r="AJ130" s="17">
        <f t="shared" si="190"/>
        <v>48.03304251000003</v>
      </c>
      <c r="AK130" s="25">
        <f t="shared" si="190"/>
        <v>44.075903499999981</v>
      </c>
      <c r="AL130" s="29">
        <f t="shared" ref="AL130" si="198">IF(AK130=0,"---",IF(OR(ABS((AJ130-AK130)/ABS(AK130))&gt;9,(AJ130*AK130)&lt;0),"---",IF(AK130="0","---",((AJ130-AK130)/ABS(AK130)))))</f>
        <v>8.9780099686443182E-2</v>
      </c>
    </row>
    <row r="131" spans="4:38" s="2" customFormat="1" ht="17.25" customHeight="1">
      <c r="D131" s="19" t="str">
        <f>+IF($B$3="esp","Cadena","National")</f>
        <v>National</v>
      </c>
      <c r="F131" s="18">
        <f>+[1]PUBLICIDAD!$AH$307</f>
        <v>13.37220791</v>
      </c>
      <c r="G131" s="26">
        <f>+[1]PUBLICIDAD!$AI$307</f>
        <v>14.48192523</v>
      </c>
      <c r="H131" s="30">
        <f>IF(G131=0,"---",IF(OR(ABS((F131-G131)/ABS(G131))&gt;9,(F131*G131)&lt;0),"---",IF(G131="0","---",((F131-G131)/ABS(G131)))))</f>
        <v>-7.662774820168021E-2</v>
      </c>
      <c r="K131" s="18">
        <f>+[2]PUBLICIDAD!$AH$307</f>
        <v>31.245039160000001</v>
      </c>
      <c r="L131" s="26">
        <f>+[2]PUBLICIDAD!$AI$307</f>
        <v>25.477054030000001</v>
      </c>
      <c r="M131" s="30">
        <f>IF(L131=0,"---",IF(OR(ABS((K131-L131)/ABS(L131))&gt;9,(K131*L131)&lt;0),"---",IF(L131="0","---",((K131-L131)/ABS(L131)))))</f>
        <v>0.22639921881109262</v>
      </c>
      <c r="P131" s="18">
        <f t="shared" si="193"/>
        <v>17.872831250000001</v>
      </c>
      <c r="Q131" s="26">
        <f t="shared" si="193"/>
        <v>10.995128800000002</v>
      </c>
      <c r="R131" s="30">
        <f>IF(Q131=0,"---",IF(OR(ABS((P131-Q131)/ABS(Q131))&gt;9,(P131*Q131)&lt;0),"---",IF(Q131="0","---",((P131-Q131)/ABS(Q131)))))</f>
        <v>0.62552268146235801</v>
      </c>
      <c r="U131" s="18">
        <f>+[3]PUBLICIDAD!$AH$307</f>
        <v>45.81349436</v>
      </c>
      <c r="V131" s="26">
        <f>+[3]PUBLICIDAD!$AI$307</f>
        <v>38.320855480000006</v>
      </c>
      <c r="W131" s="30">
        <f>IF(V131=0,"---",IF(OR(ABS((U131-V131)/ABS(V131))&gt;9,(U131*V131)&lt;0),"---",IF(V131="0","---",((U131-V131)/ABS(V131)))))</f>
        <v>0.19552378949135071</v>
      </c>
      <c r="Z131" s="18">
        <f t="shared" si="189"/>
        <v>14.568455199999999</v>
      </c>
      <c r="AA131" s="26">
        <f t="shared" si="189"/>
        <v>12.843801450000004</v>
      </c>
      <c r="AB131" s="30">
        <f>IF(AA131=0,"---",IF(OR(ABS((Z131-AA131)/ABS(AA131))&gt;9,(Z131*AA131)&lt;0),"---",IF(AA131="0","---",((Z131-AA131)/ABS(AA131)))))</f>
        <v>0.13427907280519305</v>
      </c>
      <c r="AE131" s="18">
        <f>+[4]PUBLICIDAD!$AH$307</f>
        <v>68.088336490000003</v>
      </c>
      <c r="AF131" s="26">
        <f>+[4]PUBLICIDAD!$AI$307</f>
        <v>59.411014120000004</v>
      </c>
      <c r="AG131" s="30">
        <f>IF(AF131=0,"---",IF(OR(ABS((AE131-AF131)/ABS(AF131))&gt;9,(AE131*AF131)&lt;0),"---",IF(AF131="0","---",((AE131-AF131)/ABS(AF131)))))</f>
        <v>0.14605578609503794</v>
      </c>
      <c r="AJ131" s="18">
        <f t="shared" si="190"/>
        <v>22.274842130000003</v>
      </c>
      <c r="AK131" s="26">
        <f t="shared" si="190"/>
        <v>21.090158639999999</v>
      </c>
      <c r="AL131" s="30">
        <f>IF(AK131=0,"---",IF(OR(ABS((AJ131-AK131)/ABS(AK131))&gt;9,(AJ131*AK131)&lt;0),"---",IF(AK131="0","---",((AJ131-AK131)/ABS(AK131)))))</f>
        <v>5.6172336596516222E-2</v>
      </c>
    </row>
    <row r="132" spans="4:38" s="2" customFormat="1" ht="17.25" customHeight="1">
      <c r="D132" s="19" t="s">
        <v>8</v>
      </c>
      <c r="F132" s="18">
        <f>+[1]PUBLICIDAD!$AH$308</f>
        <v>14.781287890000002</v>
      </c>
      <c r="G132" s="26">
        <f>+[1]PUBLICIDAD!$AI$308</f>
        <v>16.939606230000003</v>
      </c>
      <c r="H132" s="30">
        <f>IF(G132=0,"---",IF(OR(ABS((F132-G132)/ABS(G132))&gt;9,(F132*G132)&lt;0),"---",IF(G132="0","---",((F132-G132)/ABS(G132)))))</f>
        <v>-0.12741254493729756</v>
      </c>
      <c r="K132" s="18">
        <f>+[2]PUBLICIDAD!$AH$308</f>
        <v>35.505427529999999</v>
      </c>
      <c r="L132" s="26">
        <f>+[2]PUBLICIDAD!$AI$308</f>
        <v>29.87263823</v>
      </c>
      <c r="M132" s="30">
        <f>IF(L132=0,"---",IF(OR(ABS((K132-L132)/ABS(L132))&gt;9,(K132*L132)&lt;0),"---",IF(L132="0","---",((K132-L132)/ABS(L132)))))</f>
        <v>0.18856015517046615</v>
      </c>
      <c r="P132" s="18">
        <f t="shared" si="193"/>
        <v>20.724139639999997</v>
      </c>
      <c r="Q132" s="26">
        <f t="shared" si="193"/>
        <v>12.933031999999997</v>
      </c>
      <c r="R132" s="30">
        <f>IF(Q132=0,"---",IF(OR(ABS((P132-Q132)/ABS(Q132))&gt;9,(P132*Q132)&lt;0),"---",IF(Q132="0","---",((P132-Q132)/ABS(Q132)))))</f>
        <v>0.60241926564474613</v>
      </c>
      <c r="U132" s="18">
        <f>+[3]PUBLICIDAD!$AH$308</f>
        <v>52.205505109999997</v>
      </c>
      <c r="V132" s="26">
        <f>+[3]PUBLICIDAD!$AI$308</f>
        <v>45.142070679999996</v>
      </c>
      <c r="W132" s="30">
        <f>IF(V132=0,"---",IF(OR(ABS((U132-V132)/ABS(V132))&gt;9,(U132*V132)&lt;0),"---",IF(V132="0","---",((U132-V132)/ABS(V132)))))</f>
        <v>0.15647121019482665</v>
      </c>
      <c r="Z132" s="18">
        <f t="shared" si="189"/>
        <v>16.700077579999999</v>
      </c>
      <c r="AA132" s="26">
        <f t="shared" si="189"/>
        <v>15.269432449999996</v>
      </c>
      <c r="AB132" s="30">
        <f>IF(AA132=0,"---",IF(OR(ABS((Z132-AA132)/ABS(AA132))&gt;9,(Z132*AA132)&lt;0),"---",IF(AA132="0","---",((Z132-AA132)/ABS(AA132)))))</f>
        <v>9.3693405742791863E-2</v>
      </c>
      <c r="AE132" s="18">
        <f>+[4]PUBLICIDAD!$AH$308</f>
        <v>76.930992899999993</v>
      </c>
      <c r="AF132" s="26">
        <f>+[4]PUBLICIDAD!$AI$308</f>
        <v>67.086967079999994</v>
      </c>
      <c r="AG132" s="30">
        <f>IF(AF132=0,"---",IF(OR(ABS((AE132-AF132)/ABS(AF132))&gt;9,(AE132*AF132)&lt;0),"---",IF(AF132="0","---",((AE132-AF132)/ABS(AF132)))))</f>
        <v>0.14673529373091462</v>
      </c>
      <c r="AJ132" s="18">
        <f t="shared" si="190"/>
        <v>24.725487789999995</v>
      </c>
      <c r="AK132" s="26">
        <f t="shared" si="190"/>
        <v>21.944896399999998</v>
      </c>
      <c r="AL132" s="30">
        <f>IF(AK132=0,"---",IF(OR(ABS((AJ132-AK132)/ABS(AK132))&gt;9,(AJ132*AK132)&lt;0),"---",IF(AK132="0","---",((AJ132-AK132)/ABS(AK132)))))</f>
        <v>0.12670788411650913</v>
      </c>
    </row>
    <row r="133" spans="4:38" s="2" customFormat="1" ht="17.25" customHeight="1">
      <c r="D133" s="19" t="str">
        <f>+IF($B$3="esp","Otros (incluye rappel)","Other (includes volume discount)")</f>
        <v>Other (includes volume discount)</v>
      </c>
      <c r="F133" s="18">
        <f>+F130-F131-F132</f>
        <v>4.5985669999993206E-2</v>
      </c>
      <c r="G133" s="26">
        <f>+G130-G131-G132</f>
        <v>0.44058002000001295</v>
      </c>
      <c r="H133" s="30">
        <f>IF(G133=0,"---",IF(OR(ABS((F133-G133)/ABS(G133))&gt;9,(F133*G133)&lt;0),"---",IF(G133="0","---",((F133-G133)/ABS(G133)))))</f>
        <v>-0.89562470399817073</v>
      </c>
      <c r="K133" s="18">
        <f>+K130-K131-K132</f>
        <v>0.64489802000000651</v>
      </c>
      <c r="L133" s="26">
        <f>+L130-L131-L132</f>
        <v>0.74645599999998424</v>
      </c>
      <c r="M133" s="30">
        <f>IF(L133=0,"---",IF(OR(ABS((K133-L133)/ABS(L133))&gt;9,(K133*L133)&lt;0),"---",IF(L133="0","---",((K133-L133)/ABS(L133)))))</f>
        <v>-0.13605353831971326</v>
      </c>
      <c r="P133" s="18">
        <f t="shared" si="193"/>
        <v>0.5989123500000133</v>
      </c>
      <c r="Q133" s="26">
        <f t="shared" si="193"/>
        <v>0.30587597999997129</v>
      </c>
      <c r="R133" s="30">
        <f>IF(Q133=0,"---",IF(OR(ABS((P133-Q133)/ABS(Q133))&gt;9,(P133*Q133)&lt;0),"---",IF(Q133="0","---",((P133-Q133)/ABS(Q133)))))</f>
        <v>0.95802347735859972</v>
      </c>
      <c r="U133" s="18">
        <f>+U130-U131-U132</f>
        <v>1.220187150000001</v>
      </c>
      <c r="V133" s="26">
        <f>+V130-V131-V132</f>
        <v>1.3374797199999975</v>
      </c>
      <c r="W133" s="30">
        <f>IF(V133=0,"---",IF(OR(ABS((U133-V133)/ABS(V133))&gt;9,(U133*V133)&lt;0),"---",IF(V133="0","---",((U133-V133)/ABS(V133)))))</f>
        <v>-8.7696709150847318E-2</v>
      </c>
      <c r="Z133" s="18">
        <f t="shared" si="189"/>
        <v>0.57528912999999449</v>
      </c>
      <c r="AA133" s="26">
        <f t="shared" si="189"/>
        <v>0.59102372000001324</v>
      </c>
      <c r="AB133" s="30">
        <f>IF(AA133=0,"---",IF(OR(ABS((Z133-AA133)/ABS(AA133))&gt;9,(Z133*AA133)&lt;0),"---",IF(AA133="0","---",((Z133-AA133)/ABS(AA133)))))</f>
        <v>-2.6622603234974059E-2</v>
      </c>
      <c r="AE133" s="18">
        <f>+AE130-AE131-AE132</f>
        <v>2.2528997400000321</v>
      </c>
      <c r="AF133" s="26">
        <f>+AF130-AF131-AF132</f>
        <v>2.3783281799999827</v>
      </c>
      <c r="AG133" s="30">
        <f>IF(AF133=0,"---",IF(OR(ABS((AE133-AF133)/ABS(AF133))&gt;9,(AE133*AF133)&lt;0),"---",IF(AF133="0","---",((AE133-AF133)/ABS(AF133)))))</f>
        <v>-5.2738070824166698E-2</v>
      </c>
      <c r="AJ133" s="18">
        <f t="shared" si="190"/>
        <v>1.0327125900000311</v>
      </c>
      <c r="AK133" s="26">
        <f t="shared" si="190"/>
        <v>1.0408484599999852</v>
      </c>
      <c r="AL133" s="30">
        <f>IF(AK133=0,"---",IF(OR(ABS((AJ133-AK133)/ABS(AK133))&gt;9,(AJ133*AK133)&lt;0),"---",IF(AK133="0","---",((AJ133-AK133)/ABS(AK133)))))</f>
        <v>-7.8165749507418184E-3</v>
      </c>
    </row>
    <row r="134" spans="4:38" ht="17.25" customHeight="1">
      <c r="D134" s="43" t="str">
        <f>+IF($B$3="esp","Latam","Latam")</f>
        <v>Latam</v>
      </c>
      <c r="F134" s="17">
        <f>+[1]PUBLICIDAD!$AH$182</f>
        <v>10.864448086936706</v>
      </c>
      <c r="G134" s="25">
        <f>+[1]PUBLICIDAD!$AI$182</f>
        <v>12.134656915844984</v>
      </c>
      <c r="H134" s="29">
        <f t="shared" ref="H134" si="199">IF(G134=0,"---",IF(OR(ABS((F134-G134)/ABS(G134))&gt;9,(F134*G134)&lt;0),"---",IF(G134="0","---",((F134-G134)/ABS(G134)))))</f>
        <v>-0.10467612209535862</v>
      </c>
      <c r="K134" s="17">
        <f>+[2]PUBLICIDAD!$AH$182</f>
        <v>24.511721378529884</v>
      </c>
      <c r="L134" s="25">
        <f>+[2]PUBLICIDAD!$AI$182</f>
        <v>20.367640236334264</v>
      </c>
      <c r="M134" s="29">
        <f t="shared" ref="M134" si="200">IF(L134=0,"---",IF(OR(ABS((K134-L134)/ABS(L134))&gt;9,(K134*L134)&lt;0),"---",IF(L134="0","---",((K134-L134)/ABS(L134)))))</f>
        <v>0.20346397982830169</v>
      </c>
      <c r="P134" s="17">
        <f t="shared" si="193"/>
        <v>13.647273291593178</v>
      </c>
      <c r="Q134" s="25">
        <f t="shared" si="193"/>
        <v>8.2329833204892804</v>
      </c>
      <c r="R134" s="29">
        <f t="shared" ref="R134" si="201">IF(Q134=0,"---",IF(OR(ABS((P134-Q134)/ABS(Q134))&gt;9,(P134*Q134)&lt;0),"---",IF(Q134="0","---",((P134-Q134)/ABS(Q134)))))</f>
        <v>0.65763402649309999</v>
      </c>
      <c r="U134" s="17">
        <f>+[3]PUBLICIDAD!$AH$182</f>
        <v>41.052252350203595</v>
      </c>
      <c r="V134" s="25">
        <f>+[3]PUBLICIDAD!$AI$182</f>
        <v>31.034290886727753</v>
      </c>
      <c r="W134" s="29">
        <f t="shared" ref="W134" si="202">IF(V134=0,"---",IF(OR(ABS((U134-V134)/ABS(V134))&gt;9,(U134*V134)&lt;0),"---",IF(V134="0","---",((U134-V134)/ABS(V134)))))</f>
        <v>0.32280297623169352</v>
      </c>
      <c r="Z134" s="17">
        <f t="shared" si="189"/>
        <v>16.540530971673711</v>
      </c>
      <c r="AA134" s="25">
        <f t="shared" si="189"/>
        <v>10.666650650393489</v>
      </c>
      <c r="AB134" s="29">
        <f t="shared" ref="AB134" si="203">IF(AA134=0,"---",IF(OR(ABS((Z134-AA134)/ABS(AA134))&gt;9,(Z134*AA134)&lt;0),"---",IF(AA134="0","---",((Z134-AA134)/ABS(AA134)))))</f>
        <v>0.55067710697579997</v>
      </c>
      <c r="AE134" s="17">
        <f>+[4]PUBLICIDAD!$AH$182</f>
        <v>62.301693044051731</v>
      </c>
      <c r="AF134" s="25">
        <f>+[4]PUBLICIDAD!$AI$182</f>
        <v>47.730411981855276</v>
      </c>
      <c r="AG134" s="29">
        <f t="shared" ref="AG134" si="204">IF(AF134=0,"---",IF(OR(ABS((AE134-AF134)/ABS(AF134))&gt;9,(AE134*AF134)&lt;0),"---",IF(AF134="0","---",((AE134-AF134)/ABS(AF134)))))</f>
        <v>0.30528295183657184</v>
      </c>
      <c r="AJ134" s="17">
        <f t="shared" si="190"/>
        <v>21.249440693848136</v>
      </c>
      <c r="AK134" s="25">
        <f t="shared" si="190"/>
        <v>16.696121095127523</v>
      </c>
      <c r="AL134" s="29">
        <f t="shared" ref="AL134" si="205">IF(AK134=0,"---",IF(OR(ABS((AJ134-AK134)/ABS(AK134))&gt;9,(AJ134*AK134)&lt;0),"---",IF(AK134="0","---",((AJ134-AK134)/ABS(AK134)))))</f>
        <v>0.27271721214632427</v>
      </c>
    </row>
    <row r="135" spans="4:38" s="2" customFormat="1" ht="17.25" customHeight="1">
      <c r="D135" s="19" t="s">
        <v>9</v>
      </c>
      <c r="F135" s="18">
        <f>+[1]PUBLICIDAD!$AH$183</f>
        <v>6.8764870529286046</v>
      </c>
      <c r="G135" s="26">
        <f>+[1]PUBLICIDAD!$AI$183</f>
        <v>7.381825174460654</v>
      </c>
      <c r="H135" s="30">
        <f>IF(G135=0,"---",IF(OR(ABS((F135-G135)/ABS(G135))&gt;9,(F135*G135)&lt;0),"---",IF(G135="0","---",((F135-G135)/ABS(G135)))))</f>
        <v>-6.8457069842347146E-2</v>
      </c>
      <c r="K135" s="18">
        <f>+[2]PUBLICIDAD!$AH$183</f>
        <v>15.788599494778657</v>
      </c>
      <c r="L135" s="26">
        <f>+[2]PUBLICIDAD!$AI$183</f>
        <v>12.687860483353836</v>
      </c>
      <c r="M135" s="30">
        <f>IF(L135=0,"---",IF(OR(ABS((K135-L135)/ABS(L135))&gt;9,(K135*L135)&lt;0),"---",IF(L135="0","---",((K135-L135)/ABS(L135)))))</f>
        <v>0.24438627895482576</v>
      </c>
      <c r="P135" s="18">
        <f t="shared" si="193"/>
        <v>8.9121124418500521</v>
      </c>
      <c r="Q135" s="26">
        <f t="shared" si="193"/>
        <v>5.3060353088931818</v>
      </c>
      <c r="R135" s="30">
        <f>IF(Q135=0,"---",IF(OR(ABS((P135-Q135)/ABS(Q135))&gt;9,(P135*Q135)&lt;0),"---",IF(Q135="0","---",((P135-Q135)/ABS(Q135)))))</f>
        <v>0.67961800535192518</v>
      </c>
      <c r="U135" s="18">
        <f>+[3]PUBLICIDAD!$AH$183</f>
        <v>27.285082621962538</v>
      </c>
      <c r="V135" s="26">
        <f>+[3]PUBLICIDAD!$AI$183</f>
        <v>19.865284289901691</v>
      </c>
      <c r="W135" s="30">
        <f>IF(V135=0,"---",IF(OR(ABS((U135-V135)/ABS(V135))&gt;9,(U135*V135)&lt;0),"---",IF(V135="0","---",((U135-V135)/ABS(V135)))))</f>
        <v>0.37350577136379687</v>
      </c>
      <c r="Z135" s="18">
        <f t="shared" si="189"/>
        <v>11.496483127183881</v>
      </c>
      <c r="AA135" s="26">
        <f t="shared" si="189"/>
        <v>7.1774238065478553</v>
      </c>
      <c r="AB135" s="30">
        <f>IF(AA135=0,"---",IF(OR(ABS((Z135-AA135)/ABS(AA135))&gt;9,(Z135*AA135)&lt;0),"---",IF(AA135="0","---",((Z135-AA135)/ABS(AA135)))))</f>
        <v>0.60175620627220217</v>
      </c>
      <c r="AE135" s="18">
        <f>+[4]PUBLICIDAD!$AH$183</f>
        <v>42.082206452051771</v>
      </c>
      <c r="AF135" s="26">
        <f>+[4]PUBLICIDAD!$AI$183</f>
        <v>31.03830477253311</v>
      </c>
      <c r="AG135" s="30">
        <f>IF(AF135=0,"---",IF(OR(ABS((AE135-AF135)/ABS(AF135))&gt;9,(AE135*AF135)&lt;0),"---",IF(AF135="0","---",((AE135-AF135)/ABS(AF135)))))</f>
        <v>0.35581523412618205</v>
      </c>
      <c r="AJ135" s="18">
        <f t="shared" si="190"/>
        <v>14.797123830089234</v>
      </c>
      <c r="AK135" s="26">
        <f t="shared" si="190"/>
        <v>11.173020482631419</v>
      </c>
      <c r="AL135" s="30">
        <f>IF(AK135=0,"---",IF(OR(ABS((AJ135-AK135)/ABS(AK135))&gt;9,(AJ135*AK135)&lt;0),"---",IF(AK135="0","---",((AJ135-AK135)/ABS(AK135)))))</f>
        <v>0.32436200695161377</v>
      </c>
    </row>
    <row r="136" spans="4:38" s="2" customFormat="1" ht="17.25" customHeight="1">
      <c r="D136" s="19" t="s">
        <v>10</v>
      </c>
      <c r="F136" s="18">
        <f>+[1]PUBLICIDAD!$AH$184</f>
        <v>3.5806903320660886</v>
      </c>
      <c r="G136" s="26">
        <f>+[1]PUBLICIDAD!$AI$184</f>
        <v>3.6741928948147815</v>
      </c>
      <c r="H136" s="30">
        <f>IF(G136=0,"---",IF(OR(ABS((F136-G136)/ABS(G136))&gt;9,(F136*G136)&lt;0),"---",IF(G136="0","---",((F136-G136)/ABS(G136)))))</f>
        <v>-2.5448463220493621E-2</v>
      </c>
      <c r="K136" s="18">
        <f>+[2]PUBLICIDAD!$AH$184</f>
        <v>7.7364919317616714</v>
      </c>
      <c r="L136" s="26">
        <f>+[2]PUBLICIDAD!$AI$184</f>
        <v>5.8335679436253116</v>
      </c>
      <c r="M136" s="30">
        <f>IF(L136=0,"---",IF(OR(ABS((K136-L136)/ABS(L136))&gt;9,(K136*L136)&lt;0),"---",IF(L136="0","---",((K136-L136)/ABS(L136)))))</f>
        <v>0.32620242131846577</v>
      </c>
      <c r="P136" s="18">
        <f t="shared" si="193"/>
        <v>4.1558015996955824</v>
      </c>
      <c r="Q136" s="26">
        <f t="shared" si="193"/>
        <v>2.1593750488105301</v>
      </c>
      <c r="R136" s="30">
        <f>IF(Q136=0,"---",IF(OR(ABS((P136-Q136)/ABS(Q136))&gt;9,(P136*Q136)&lt;0),"---",IF(Q136="0","---",((P136-Q136)/ABS(Q136)))))</f>
        <v>0.924539047528943</v>
      </c>
      <c r="U136" s="18">
        <f>+[3]PUBLICIDAD!$AH$184</f>
        <v>12.313467130973908</v>
      </c>
      <c r="V136" s="26">
        <f>+[3]PUBLICIDAD!$AI$184</f>
        <v>8.3717054637757879</v>
      </c>
      <c r="W136" s="30">
        <f>IF(V136=0,"---",IF(OR(ABS((U136-V136)/ABS(V136))&gt;9,(U136*V136)&lt;0),"---",IF(V136="0","---",((U136-V136)/ABS(V136)))))</f>
        <v>0.47084332866869827</v>
      </c>
      <c r="Z136" s="18">
        <f t="shared" si="189"/>
        <v>4.5769751992122369</v>
      </c>
      <c r="AA136" s="26">
        <f t="shared" si="189"/>
        <v>2.5381375201504763</v>
      </c>
      <c r="AB136" s="30">
        <f>IF(AA136=0,"---",IF(OR(ABS((Z136-AA136)/ABS(AA136))&gt;9,(Z136*AA136)&lt;0),"---",IF(AA136="0","---",((Z136-AA136)/ABS(AA136)))))</f>
        <v>0.8032810132923317</v>
      </c>
      <c r="AE136" s="18">
        <f>+[4]PUBLICIDAD!$AH$184</f>
        <v>18.20727764586627</v>
      </c>
      <c r="AF136" s="26">
        <f>+[4]PUBLICIDAD!$AI$184</f>
        <v>12.459966707034656</v>
      </c>
      <c r="AG136" s="30">
        <f>IF(AF136=0,"---",IF(OR(ABS((AE136-AF136)/ABS(AF136))&gt;9,(AE136*AF136)&lt;0),"---",IF(AF136="0","---",((AE136-AF136)/ABS(AF136)))))</f>
        <v>0.46126214250530806</v>
      </c>
      <c r="AJ136" s="18">
        <f t="shared" si="190"/>
        <v>5.8938105148923619</v>
      </c>
      <c r="AK136" s="26">
        <f t="shared" si="190"/>
        <v>4.0882612432588683</v>
      </c>
      <c r="AL136" s="30">
        <f>IF(AK136=0,"---",IF(OR(ABS((AJ136-AK136)/ABS(AK136))&gt;9,(AJ136*AK136)&lt;0),"---",IF(AK136="0","---",((AJ136-AK136)/ABS(AK136)))))</f>
        <v>0.44164234235536265</v>
      </c>
    </row>
    <row r="137" spans="4:38" s="2" customFormat="1" ht="17.25" customHeight="1">
      <c r="D137" s="19" t="str">
        <f>+IF($B$3="esp","Otros","Other")</f>
        <v>Other</v>
      </c>
      <c r="F137" s="18">
        <f>+F134-F135-F136</f>
        <v>0.40727070194201298</v>
      </c>
      <c r="G137" s="26">
        <f>+G134-G135-G136</f>
        <v>1.078638846569548</v>
      </c>
      <c r="H137" s="30">
        <f>IF(G137=0,"---",IF(OR(ABS((F137-G137)/ABS(G137))&gt;9,(F137*G137)&lt;0),"---",IF(G137="0","---",((F137-G137)/ABS(G137)))))</f>
        <v>-0.6224216258877775</v>
      </c>
      <c r="K137" s="18">
        <f>+K134-K135-K136</f>
        <v>0.98662995198955628</v>
      </c>
      <c r="L137" s="26">
        <f>+L134-L135-L136</f>
        <v>1.8462118093551165</v>
      </c>
      <c r="M137" s="30">
        <f>IF(L137=0,"---",IF(OR(ABS((K137-L137)/ABS(L137))&gt;9,(K137*L137)&lt;0),"---",IF(L137="0","---",((K137-L137)/ABS(L137)))))</f>
        <v>-0.46559222133120953</v>
      </c>
      <c r="P137" s="18">
        <f t="shared" si="193"/>
        <v>0.57935925004754329</v>
      </c>
      <c r="Q137" s="26">
        <f t="shared" si="193"/>
        <v>0.76757296278556852</v>
      </c>
      <c r="R137" s="30">
        <f>IF(Q137=0,"---",IF(OR(ABS((P137-Q137)/ABS(Q137))&gt;9,(P137*Q137)&lt;0),"---",IF(Q137="0","---",((P137-Q137)/ABS(Q137)))))</f>
        <v>-0.24520628248158499</v>
      </c>
      <c r="U137" s="18">
        <f>+U134-U135-U136</f>
        <v>1.4537025972671493</v>
      </c>
      <c r="V137" s="26">
        <f>+V134-V135-V136</f>
        <v>2.7973011330502739</v>
      </c>
      <c r="W137" s="30">
        <f>IF(V137=0,"---",IF(OR(ABS((U137-V137)/ABS(V137))&gt;9,(U137*V137)&lt;0),"---",IF(V137="0","---",((U137-V137)/ABS(V137)))))</f>
        <v>-0.48031959087580189</v>
      </c>
      <c r="Z137" s="18">
        <f t="shared" si="189"/>
        <v>0.46707264527759307</v>
      </c>
      <c r="AA137" s="26">
        <f t="shared" si="189"/>
        <v>0.95108932369515742</v>
      </c>
      <c r="AB137" s="30">
        <f>IF(AA137=0,"---",IF(OR(ABS((Z137-AA137)/ABS(AA137))&gt;9,(Z137*AA137)&lt;0),"---",IF(AA137="0","---",((Z137-AA137)/ABS(AA137)))))</f>
        <v>-0.50890769810880676</v>
      </c>
      <c r="AE137" s="18">
        <f>+AE134-AE135-AE136</f>
        <v>2.0122089461336898</v>
      </c>
      <c r="AF137" s="26">
        <f>+AF134-AF135-AF136</f>
        <v>4.2321405022875105</v>
      </c>
      <c r="AG137" s="30">
        <f>IF(AF137=0,"---",IF(OR(ABS((AE137-AF137)/ABS(AF137))&gt;9,(AE137*AF137)&lt;0),"---",IF(AF137="0","---",((AE137-AF137)/ABS(AF137)))))</f>
        <v>-0.52454108150566536</v>
      </c>
      <c r="AJ137" s="18">
        <f t="shared" si="190"/>
        <v>0.55850634886654049</v>
      </c>
      <c r="AK137" s="26">
        <f t="shared" si="190"/>
        <v>1.4348393692372365</v>
      </c>
      <c r="AL137" s="30">
        <f>IF(AK137=0,"---",IF(OR(ABS((AJ137-AK137)/ABS(AK137))&gt;9,(AJ137*AK137)&lt;0),"---",IF(AK137="0","---",((AJ137-AK137)/ABS(AK137)))))</f>
        <v>-0.61075339801733797</v>
      </c>
    </row>
    <row r="138" spans="4:38" ht="17.25" customHeight="1">
      <c r="D138" s="43" t="str">
        <f>+IF($B$3="esp","Otros","Other")</f>
        <v>Other</v>
      </c>
      <c r="F138" s="17">
        <f>+F129-F130-F134</f>
        <v>-3.1761040000008123E-2</v>
      </c>
      <c r="G138" s="25">
        <f>+G129-G130-G134</f>
        <v>-4.8639715907354386E-2</v>
      </c>
      <c r="H138" s="29">
        <f t="shared" ref="H138" si="206">IF(G138=0,"---",IF(OR(ABS((F138-G138)/ABS(G138))&gt;9,(F138*G138)&lt;0),"---",IF(G138="0","---",((F138-G138)/ABS(G138)))))</f>
        <v>0.34701427819799802</v>
      </c>
      <c r="K138" s="17">
        <f>+K129-K130-K134</f>
        <v>7.7982637697431301E-2</v>
      </c>
      <c r="L138" s="25">
        <f>+L129-L130-L134</f>
        <v>-4.8639715907388137E-2</v>
      </c>
      <c r="M138" s="29" t="str">
        <f t="shared" ref="M138" si="207">IF(L138=0,"---",IF(OR(ABS((K138-L138)/ABS(L138))&gt;9,(K138*L138)&lt;0),"---",IF(L138="0","---",((K138-L138)/ABS(L138)))))</f>
        <v>---</v>
      </c>
      <c r="P138" s="17">
        <f t="shared" si="193"/>
        <v>0.10974367769743942</v>
      </c>
      <c r="Q138" s="25">
        <f t="shared" si="193"/>
        <v>-3.3750779948604759E-14</v>
      </c>
      <c r="R138" s="29" t="str">
        <f t="shared" ref="R138" si="208">IF(Q138=0,"---",IF(OR(ABS((P138-Q138)/ABS(Q138))&gt;9,(P138*Q138)&lt;0),"---",IF(Q138="0","---",((P138-Q138)/ABS(Q138)))))</f>
        <v>---</v>
      </c>
      <c r="U138" s="17">
        <f>+U129-U130-U134</f>
        <v>0.10865383336072654</v>
      </c>
      <c r="V138" s="25">
        <f>+V129-V130-V134</f>
        <v>-4.9064275907376498E-2</v>
      </c>
      <c r="W138" s="29" t="str">
        <f t="shared" ref="W138" si="209">IF(V138=0,"---",IF(OR(ABS((U138-V138)/ABS(V138))&gt;9,(U138*V138)&lt;0),"---",IF(V138="0","---",((U138-V138)/ABS(V138)))))</f>
        <v>---</v>
      </c>
      <c r="Z138" s="17">
        <f t="shared" si="189"/>
        <v>3.0671195663295236E-2</v>
      </c>
      <c r="AA138" s="25">
        <f t="shared" si="189"/>
        <v>-4.2455999998836091E-4</v>
      </c>
      <c r="AB138" s="29" t="str">
        <f t="shared" ref="AB138" si="210">IF(AA138=0,"---",IF(OR(ABS((Z138-AA138)/ABS(AA138))&gt;9,(Z138*AA138)&lt;0),"---",IF(AA138="0","---",((Z138-AA138)/ABS(AA138)))))</f>
        <v>---</v>
      </c>
      <c r="AE138" s="17">
        <f>+AE129-AE130-AE134</f>
        <v>0.26493545336082036</v>
      </c>
      <c r="AF138" s="25">
        <f>+AF129-AF130-AF134</f>
        <v>-0.12591195671041788</v>
      </c>
      <c r="AG138" s="29" t="str">
        <f t="shared" ref="AG138" si="211">IF(AF138=0,"---",IF(OR(ABS((AE138-AF138)/ABS(AF138))&gt;9,(AE138*AF138)&lt;0),"---",IF(AF138="0","---",((AE138-AF138)/ABS(AF138)))))</f>
        <v>---</v>
      </c>
      <c r="AJ138" s="17">
        <f t="shared" si="190"/>
        <v>0.15628162000009382</v>
      </c>
      <c r="AK138" s="25">
        <f t="shared" si="190"/>
        <v>-7.6847680803041385E-2</v>
      </c>
      <c r="AL138" s="29" t="str">
        <f t="shared" ref="AL138" si="212">IF(AK138=0,"---",IF(OR(ABS((AJ138-AK138)/ABS(AK138))&gt;9,(AJ138*AK138)&lt;0),"---",IF(AK138="0","---",((AJ138-AK138)/ABS(AK138)))))</f>
        <v>---</v>
      </c>
    </row>
    <row r="139" spans="4:38" s="9" customFormat="1" ht="17.25" customHeight="1">
      <c r="D139" s="42" t="s">
        <v>7</v>
      </c>
      <c r="F139" s="16">
        <f>+[1]PUBLICIDAD!$AH$192</f>
        <v>18.13610637739934</v>
      </c>
      <c r="G139" s="24">
        <f>+[1]PUBLICIDAD!$AI$192</f>
        <v>19.268559162735134</v>
      </c>
      <c r="H139" s="28">
        <f>IF(G139=0,"---",IF(OR(ABS((F139-G139)/ABS(G139))&gt;9,(F139*G139)&lt;0),"---",IF(G139="0","---",((F139-G139)/ABS(G139)))))</f>
        <v>-5.8772053258965319E-2</v>
      </c>
      <c r="K139" s="16">
        <f>+[2]PUBLICIDAD!$AH$192</f>
        <v>43.108335482530244</v>
      </c>
      <c r="L139" s="24">
        <f>+[2]PUBLICIDAD!$AI$192</f>
        <v>35.149595652215808</v>
      </c>
      <c r="M139" s="28">
        <f>IF(L139=0,"---",IF(OR(ABS((K139-L139)/ABS(L139))&gt;9,(K139*L139)&lt;0),"---",IF(L139="0","---",((K139-L139)/ABS(L139)))))</f>
        <v>0.22642479046022032</v>
      </c>
      <c r="P139" s="16">
        <f>+K139-F139</f>
        <v>24.972229105130904</v>
      </c>
      <c r="Q139" s="24">
        <f>+L139-G139</f>
        <v>15.881036489480675</v>
      </c>
      <c r="R139" s="28">
        <f>IF(Q139=0,"---",IF(OR(ABS((P139-Q139)/ABS(Q139))&gt;9,(P139*Q139)&lt;0),"---",IF(Q139="0","---",((P139-Q139)/ABS(Q139)))))</f>
        <v>0.57245587349868998</v>
      </c>
      <c r="U139" s="16">
        <f>+[3]PUBLICIDAD!$AH$192</f>
        <v>63.369904459958569</v>
      </c>
      <c r="V139" s="24">
        <f>+[3]PUBLICIDAD!$AI$192</f>
        <v>51.921725326989787</v>
      </c>
      <c r="W139" s="28">
        <f>IF(V139=0,"---",IF(OR(ABS((U139-V139)/ABS(V139))&gt;9,(U139*V139)&lt;0),"---",IF(V139="0","---",((U139-V139)/ABS(V139)))))</f>
        <v>0.22048918946493148</v>
      </c>
      <c r="Z139" s="16">
        <f t="shared" si="189"/>
        <v>20.261568977428325</v>
      </c>
      <c r="AA139" s="24">
        <f t="shared" si="189"/>
        <v>16.772129674773979</v>
      </c>
      <c r="AB139" s="28">
        <f>IF(AA139=0,"---",IF(OR(ABS((Z139-AA139)/ABS(AA139))&gt;9,(Z139*AA139)&lt;0),"---",IF(AA139="0","---",((Z139-AA139)/ABS(AA139)))))</f>
        <v>0.20804986428781416</v>
      </c>
      <c r="AE139" s="16">
        <f>+[4]PUBLICIDAD!$AH$192</f>
        <v>93.243279780305585</v>
      </c>
      <c r="AF139" s="24">
        <f>+[4]PUBLICIDAD!$AI$192</f>
        <v>81.470887744266363</v>
      </c>
      <c r="AG139" s="28">
        <f>IF(AF139=0,"---",IF(OR(ABS((AE139-AF139)/ABS(AF139))&gt;9,(AE139*AF139)&lt;0),"---",IF(AF139="0","---",((AE139-AF139)/ABS(AF139)))))</f>
        <v>0.14449814359446109</v>
      </c>
      <c r="AJ139" s="16">
        <f t="shared" si="190"/>
        <v>29.873375320347016</v>
      </c>
      <c r="AK139" s="24">
        <f t="shared" si="190"/>
        <v>29.549162417276577</v>
      </c>
      <c r="AL139" s="28">
        <f>IF(AK139=0,"---",IF(OR(ABS((AJ139-AK139)/ABS(AK139))&gt;9,(AJ139*AK139)&lt;0),"---",IF(AK139="0","---",((AJ139-AK139)/ABS(AK139)))))</f>
        <v>1.0971982843103557E-2</v>
      </c>
    </row>
    <row r="140" spans="4:38" ht="17.25" customHeight="1">
      <c r="D140" s="43" t="str">
        <f>+IF($B$3="esp","Digital","Online")</f>
        <v>Online</v>
      </c>
      <c r="F140" s="17">
        <f>+F139-F141-F142-F143</f>
        <v>14.678150533146779</v>
      </c>
      <c r="G140" s="25">
        <f>+[1]PUBLICIDAD!$AI$360</f>
        <v>14.585430703249557</v>
      </c>
      <c r="H140" s="29">
        <f t="shared" ref="H140:H143" si="213">IF(G140=0,"---",IF(OR(ABS((F140-G140)/ABS(G140))&gt;9,(F140*G140)&lt;0),"---",IF(G140="0","---",((F140-G140)/ABS(G140)))))</f>
        <v>6.3570169289936937E-3</v>
      </c>
      <c r="K140" s="17">
        <f>+K139-K141-K142-K143</f>
        <v>33.583481365800765</v>
      </c>
      <c r="L140" s="25">
        <f>+[2]PUBLICIDAD!$AI$360</f>
        <v>27.599875361301002</v>
      </c>
      <c r="M140" s="29">
        <f t="shared" ref="M140:M143" si="214">IF(L140=0,"---",IF(OR(ABS((K140-L140)/ABS(L140))&gt;9,(K140*L140)&lt;0),"---",IF(L140="0","---",((K140-L140)/ABS(L140)))))</f>
        <v>0.21679829804194112</v>
      </c>
      <c r="P140" s="17">
        <f t="shared" ref="P140:Q143" si="215">+K140-F140</f>
        <v>18.905330832653988</v>
      </c>
      <c r="Q140" s="25">
        <f t="shared" si="215"/>
        <v>13.014444658051445</v>
      </c>
      <c r="R140" s="29">
        <f t="shared" ref="R140:R143" si="216">IF(Q140=0,"---",IF(OR(ABS((P140-Q140)/ABS(Q140))&gt;9,(P140*Q140)&lt;0),"---",IF(Q140="0","---",((P140-Q140)/ABS(Q140)))))</f>
        <v>0.45264214719743101</v>
      </c>
      <c r="U140" s="17">
        <f>+U139-U141-U142-U143</f>
        <v>50.370928415479248</v>
      </c>
      <c r="V140" s="25">
        <f>+[3]PUBLICIDAD!$AI$360</f>
        <v>40.734127282787625</v>
      </c>
      <c r="W140" s="29">
        <f t="shared" ref="W140:W143" si="217">IF(V140=0,"---",IF(OR(ABS((U140-V140)/ABS(V140))&gt;9,(U140*V140)&lt;0),"---",IF(V140="0","---",((U140-V140)/ABS(V140)))))</f>
        <v>0.23657806796228315</v>
      </c>
      <c r="Z140" s="17">
        <f t="shared" si="189"/>
        <v>16.787447049678484</v>
      </c>
      <c r="AA140" s="25">
        <f t="shared" si="189"/>
        <v>13.134251921486623</v>
      </c>
      <c r="AB140" s="29">
        <f t="shared" ref="AB140:AB143" si="218">IF(AA140=0,"---",IF(OR(ABS((Z140-AA140)/ABS(AA140))&gt;9,(Z140*AA140)&lt;0),"---",IF(AA140="0","---",((Z140-AA140)/ABS(AA140)))))</f>
        <v>0.27814261139726698</v>
      </c>
      <c r="AE140" s="17">
        <f>+AE139-AE141-AE142-AE143</f>
        <v>72.081836531797677</v>
      </c>
      <c r="AF140" s="25">
        <f>+[4]PUBLICIDAD!$AI$360</f>
        <v>61.641975688070623</v>
      </c>
      <c r="AG140" s="29">
        <f t="shared" ref="AG140:AG143" si="219">IF(AF140=0,"---",IF(OR(ABS((AE140-AF140)/ABS(AF140))&gt;9,(AE140*AF140)&lt;0),"---",IF(AF140="0","---",((AE140-AF140)/ABS(AF140)))))</f>
        <v>0.16936285262101758</v>
      </c>
      <c r="AJ140" s="17">
        <f t="shared" si="190"/>
        <v>21.710908116318429</v>
      </c>
      <c r="AK140" s="25">
        <f t="shared" si="190"/>
        <v>20.907848405282998</v>
      </c>
      <c r="AL140" s="29">
        <f t="shared" ref="AL140:AL143" si="220">IF(AK140=0,"---",IF(OR(ABS((AJ140-AK140)/ABS(AK140))&gt;9,(AJ140*AK140)&lt;0),"---",IF(AK140="0","---",((AJ140-AK140)/ABS(AK140)))))</f>
        <v>3.8409486020212082E-2</v>
      </c>
    </row>
    <row r="141" spans="4:38" ht="17.25" customHeight="1">
      <c r="D141" s="43" t="str">
        <f>+IF($B$3="esp","Papel","Offline")</f>
        <v>Offline</v>
      </c>
      <c r="F141" s="17">
        <f>+F123</f>
        <v>4.970676869876681</v>
      </c>
      <c r="G141" s="25">
        <f>+[1]PUBLICIDAD!$AI$366</f>
        <v>6.6358833870034974</v>
      </c>
      <c r="H141" s="29">
        <f t="shared" si="213"/>
        <v>-0.25093968956539453</v>
      </c>
      <c r="K141" s="17">
        <f>+K123</f>
        <v>11.695393630785022</v>
      </c>
      <c r="L141" s="25">
        <f>+[2]PUBLICIDAD!$AI$366</f>
        <v>10.985819872279198</v>
      </c>
      <c r="M141" s="29">
        <f t="shared" si="214"/>
        <v>6.4589968409759738E-2</v>
      </c>
      <c r="P141" s="17">
        <f t="shared" si="215"/>
        <v>6.7247167609083407</v>
      </c>
      <c r="Q141" s="25">
        <f t="shared" si="215"/>
        <v>4.3499364852757001</v>
      </c>
      <c r="R141" s="29">
        <f t="shared" si="216"/>
        <v>0.54593447138162676</v>
      </c>
      <c r="U141" s="17">
        <f>+U123</f>
        <v>16.662013549856674</v>
      </c>
      <c r="V141" s="25">
        <f>+[3]PUBLICIDAD!$AI$366</f>
        <v>15.567035988911817</v>
      </c>
      <c r="W141" s="29">
        <f t="shared" si="217"/>
        <v>7.0339502120043543E-2</v>
      </c>
      <c r="Z141" s="17">
        <f t="shared" si="189"/>
        <v>4.9666199190716522</v>
      </c>
      <c r="AA141" s="25">
        <f t="shared" si="189"/>
        <v>4.5812161166326195</v>
      </c>
      <c r="AB141" s="29">
        <f t="shared" si="218"/>
        <v>8.4126963807662547E-2</v>
      </c>
      <c r="AE141" s="17">
        <f>+AE123</f>
        <v>25.632987212360149</v>
      </c>
      <c r="AF141" s="25">
        <f>+[4]PUBLICIDAD!$AI$366</f>
        <v>24.795005245830403</v>
      </c>
      <c r="AG141" s="29">
        <f t="shared" si="219"/>
        <v>3.3796402066527634E-2</v>
      </c>
      <c r="AJ141" s="17">
        <f t="shared" si="190"/>
        <v>8.9709736625034751</v>
      </c>
      <c r="AK141" s="25">
        <f t="shared" si="190"/>
        <v>9.2279692569185858</v>
      </c>
      <c r="AL141" s="29">
        <f t="shared" si="220"/>
        <v>-2.7849637039311835E-2</v>
      </c>
    </row>
    <row r="142" spans="4:38" ht="17.25" customHeight="1">
      <c r="D142" s="43" t="str">
        <f>+IF($B$3="esp","Eventos","Events")</f>
        <v>Events</v>
      </c>
      <c r="F142" s="17">
        <f>+F124</f>
        <v>0.36302192999999999</v>
      </c>
      <c r="G142" s="25">
        <f>+[1]PUBLICIDAD!$AI$371</f>
        <v>0.21681992880937978</v>
      </c>
      <c r="H142" s="29">
        <f t="shared" si="213"/>
        <v>0.67430149061231226</v>
      </c>
      <c r="K142" s="17">
        <f>+K124</f>
        <v>1.5527769300000001</v>
      </c>
      <c r="L142" s="25">
        <f>+[2]PUBLICIDAD!$AI$371</f>
        <v>0.52000060880937971</v>
      </c>
      <c r="M142" s="29">
        <f t="shared" si="214"/>
        <v>1.9861059846743614</v>
      </c>
      <c r="P142" s="17">
        <f t="shared" si="215"/>
        <v>1.1897550000000001</v>
      </c>
      <c r="Q142" s="25">
        <f t="shared" si="215"/>
        <v>0.30318067999999992</v>
      </c>
      <c r="R142" s="29">
        <f t="shared" si="216"/>
        <v>2.9242441174022056</v>
      </c>
      <c r="U142" s="17">
        <f>+U124</f>
        <v>2.0137769300000001</v>
      </c>
      <c r="V142" s="25">
        <f>+[3]PUBLICIDAD!$AI$371</f>
        <v>0.96267588281937966</v>
      </c>
      <c r="W142" s="29">
        <f t="shared" si="217"/>
        <v>1.0918535157464118</v>
      </c>
      <c r="Z142" s="17">
        <f t="shared" si="189"/>
        <v>0.46100000000000008</v>
      </c>
      <c r="AA142" s="25">
        <f t="shared" si="189"/>
        <v>0.44267527400999995</v>
      </c>
      <c r="AB142" s="29">
        <f t="shared" si="218"/>
        <v>4.1395413446078694E-2</v>
      </c>
      <c r="AE142" s="17">
        <f>+AE124</f>
        <v>3.9069009099999992</v>
      </c>
      <c r="AF142" s="25">
        <f>+[4]PUBLICIDAD!$AI$371</f>
        <v>3.1806398245932024</v>
      </c>
      <c r="AG142" s="29">
        <f t="shared" si="219"/>
        <v>0.22833804688957013</v>
      </c>
      <c r="AJ142" s="17">
        <f t="shared" si="190"/>
        <v>1.893123979999999</v>
      </c>
      <c r="AK142" s="25">
        <f t="shared" si="190"/>
        <v>2.2179639417738226</v>
      </c>
      <c r="AL142" s="29">
        <f t="shared" si="220"/>
        <v>-0.14645863066377532</v>
      </c>
    </row>
    <row r="143" spans="4:38" ht="17.25" customHeight="1">
      <c r="D143" s="43" t="str">
        <f>+IF($B$3="esp","Rappel y Otros","Volume discount &amp; other")</f>
        <v>Volume discount &amp; other</v>
      </c>
      <c r="F143" s="17">
        <f>+F125</f>
        <v>-1.8757429556241196</v>
      </c>
      <c r="G143" s="25">
        <f>+G139-G140-G141-G142</f>
        <v>-2.1695748563273005</v>
      </c>
      <c r="H143" s="29">
        <f t="shared" si="213"/>
        <v>0.13543293970533257</v>
      </c>
      <c r="K143" s="17">
        <f>+K125</f>
        <v>-3.7233164440555431</v>
      </c>
      <c r="L143" s="25">
        <f>+L139-L140-L141-L142</f>
        <v>-3.9561001901737716</v>
      </c>
      <c r="M143" s="29">
        <f t="shared" si="214"/>
        <v>5.8841721626874031E-2</v>
      </c>
      <c r="P143" s="17">
        <f t="shared" si="215"/>
        <v>-1.8475734884314234</v>
      </c>
      <c r="Q143" s="25">
        <f t="shared" si="215"/>
        <v>-1.7865253338464711</v>
      </c>
      <c r="R143" s="29">
        <f t="shared" si="216"/>
        <v>-3.4171446342444477E-2</v>
      </c>
      <c r="U143" s="17">
        <f>+U125</f>
        <v>-5.676814435377354</v>
      </c>
      <c r="V143" s="25">
        <f>+V139-V140-V141-V142</f>
        <v>-5.342113827529035</v>
      </c>
      <c r="W143" s="29">
        <f t="shared" si="217"/>
        <v>-6.2653215310302157E-2</v>
      </c>
      <c r="Z143" s="17">
        <f t="shared" si="189"/>
        <v>-1.9534979913218109</v>
      </c>
      <c r="AA143" s="25">
        <f t="shared" si="189"/>
        <v>-1.3860136373552634</v>
      </c>
      <c r="AB143" s="29">
        <f t="shared" si="218"/>
        <v>-0.40943634223498609</v>
      </c>
      <c r="AE143" s="17">
        <f>+AE125</f>
        <v>-8.3784448738522403</v>
      </c>
      <c r="AF143" s="25">
        <f>+AF139-AF140-AF141-AF142</f>
        <v>-8.1467330142278644</v>
      </c>
      <c r="AG143" s="29">
        <f t="shared" si="219"/>
        <v>-2.8442304322444673E-2</v>
      </c>
      <c r="AJ143" s="17">
        <f t="shared" si="190"/>
        <v>-2.7016304384748864</v>
      </c>
      <c r="AK143" s="25">
        <f t="shared" si="190"/>
        <v>-2.8046191866988295</v>
      </c>
      <c r="AL143" s="29">
        <f t="shared" si="220"/>
        <v>3.67211166180339E-2</v>
      </c>
    </row>
    <row r="147" spans="4:38">
      <c r="D147" s="66" t="str">
        <f>+IF($B$3="esp","Principales Indicadores","Key Highlights")</f>
        <v>Key Highlights</v>
      </c>
      <c r="E147" s="2"/>
      <c r="F147" s="6" t="str">
        <f>+$F$6</f>
        <v>JANUARY - MARCH</v>
      </c>
      <c r="G147" s="7"/>
      <c r="H147" s="7"/>
      <c r="K147" s="6" t="str">
        <f>+$K$6</f>
        <v>JANUARY - JUNE</v>
      </c>
      <c r="L147" s="7"/>
      <c r="M147" s="7"/>
      <c r="U147" s="6" t="str">
        <f>+$U$6</f>
        <v>JANUARY - SEPTEMBER</v>
      </c>
      <c r="V147" s="7"/>
      <c r="W147" s="7"/>
      <c r="Z147" s="6" t="str">
        <f>+$Z$6</f>
        <v>JULY - SEPTEMBER</v>
      </c>
      <c r="AA147" s="7"/>
      <c r="AB147" s="7"/>
      <c r="AE147" s="6" t="str">
        <f>+$AE$6</f>
        <v>JANUARY - DECEMBER</v>
      </c>
      <c r="AF147" s="7"/>
      <c r="AG147" s="7"/>
      <c r="AJ147" s="6" t="str">
        <f>+$AJ$6</f>
        <v>OCTOBER - DECEMBER</v>
      </c>
      <c r="AK147" s="7"/>
      <c r="AL147" s="7"/>
    </row>
    <row r="148" spans="4:38">
      <c r="D148" s="67"/>
      <c r="E148" s="2"/>
      <c r="F148" s="2"/>
      <c r="G148" s="2"/>
      <c r="H148" s="2"/>
      <c r="K148" s="2"/>
      <c r="L148" s="2"/>
      <c r="M148" s="2"/>
      <c r="U148" s="2"/>
      <c r="V148" s="2"/>
      <c r="W148" s="2"/>
      <c r="AE148" s="2"/>
      <c r="AF148" s="2"/>
      <c r="AG148" s="2"/>
    </row>
    <row r="149" spans="4:38">
      <c r="D149" s="4"/>
      <c r="E149" s="2"/>
      <c r="F149" s="8">
        <v>2021</v>
      </c>
      <c r="G149" s="8">
        <v>2020</v>
      </c>
      <c r="H149" s="8" t="str">
        <f>+IF($B$3="esp","Var.","Chg.")</f>
        <v>Chg.</v>
      </c>
      <c r="K149" s="58">
        <v>2020</v>
      </c>
      <c r="L149" s="59">
        <v>2021</v>
      </c>
      <c r="M149" s="58" t="str">
        <f>+IF($B$3="esp","Var.","Chg.")</f>
        <v>Chg.</v>
      </c>
      <c r="U149" s="58">
        <v>2020</v>
      </c>
      <c r="V149" s="59">
        <v>2021</v>
      </c>
      <c r="W149" s="58" t="str">
        <f>+IF($B$3="esp","Var.","Chg.")</f>
        <v>Chg.</v>
      </c>
      <c r="Z149" s="58">
        <v>2020</v>
      </c>
      <c r="AA149" s="59">
        <v>2021</v>
      </c>
      <c r="AB149" s="58" t="str">
        <f>+IF($B$3="esp","Var.","Chg.")</f>
        <v>Chg.</v>
      </c>
      <c r="AE149" s="58">
        <v>2020</v>
      </c>
      <c r="AF149" s="59">
        <v>2021</v>
      </c>
      <c r="AG149" s="58" t="str">
        <f>+IF($B$3="esp","Var.","Chg.")</f>
        <v>Chg.</v>
      </c>
      <c r="AJ149" s="58">
        <v>2020</v>
      </c>
      <c r="AK149" s="59">
        <v>2021</v>
      </c>
      <c r="AL149" s="58" t="str">
        <f>+IF($B$3="esp","Var.","Chg.")</f>
        <v>Chg.</v>
      </c>
    </row>
    <row r="150" spans="4:38" ht="15">
      <c r="D150" s="10" t="str">
        <f>+IF($B$3="esp","Indicadores Digitales","Digital KPIs")</f>
        <v>Digital KPIs</v>
      </c>
    </row>
    <row r="151" spans="4:38">
      <c r="D151" s="43" t="str">
        <f>+IF($B$3="esp","Navegadores Únicos (M)","Unique Browsers (M)")</f>
        <v>Unique Browsers (M)</v>
      </c>
      <c r="K151" s="25">
        <f>+'[7]Audiencias - G'!$Q$29</f>
        <v>239.52112683333334</v>
      </c>
      <c r="L151" s="17">
        <f>+'[7]Audiencias - G'!$Q$28</f>
        <v>239.23429983333335</v>
      </c>
      <c r="M151" s="29">
        <f>IF(K151=0,"---",IF(OR(ABS((L151-K151)/ABS(K151))&gt;9,(L151*K151)&lt;0),"---",IF(K151="0","---",((L151-K151)/ABS(K151)))))</f>
        <v>-1.197501881324948E-3</v>
      </c>
      <c r="U151" s="60">
        <f>AVERAGE('[8]Audiencias - G'!$D$29:$L$29)</f>
        <v>232.56069488888886</v>
      </c>
      <c r="V151" s="60">
        <f>AVERAGE('[8]Audiencias - G'!$D$28:$L$28)</f>
        <v>218.55506133333336</v>
      </c>
      <c r="W151" s="29">
        <f>IF(U151=0,"---",IF(OR(ABS((V151-U151)/ABS(U151))&gt;9,(V151*U151)&lt;0),"---",IF(U151="0","---",((V151-U151)/ABS(U151)))))</f>
        <v>-6.0223562551045065E-2</v>
      </c>
      <c r="Z151" s="60">
        <f>AVERAGE('[8]Audiencias - G'!$J$29:$L$29)</f>
        <v>218.63983099999999</v>
      </c>
      <c r="AA151" s="60">
        <f>AVERAGE('[8]Audiencias - G'!$J$28:$L$28)</f>
        <v>177.19658433333333</v>
      </c>
      <c r="AB151" s="29">
        <f>IF(Z151=0,"---",IF(OR(ABS((AA151-Z151)/ABS(Z151))&gt;9,(AA151*Z151)&lt;0),"---",IF(Z151="0","---",((AA151-Z151)/ABS(Z151)))))</f>
        <v>-0.18955030507074741</v>
      </c>
      <c r="AE151" s="25" t="e">
        <f>+#REF!</f>
        <v>#REF!</v>
      </c>
      <c r="AF151" s="17" t="e">
        <f>+#REF!</f>
        <v>#REF!</v>
      </c>
      <c r="AG151" s="29" t="e">
        <f>IF(AE151=0,"---",IF(OR(ABS((AF151-AE151)/ABS(AE151))&gt;9,(AF151*AE151)&lt;0),"---",IF(AE151="0","---",((AF151-AE151)/ABS(AE151)))))</f>
        <v>#REF!</v>
      </c>
      <c r="AJ151" s="25"/>
      <c r="AK151" s="17"/>
      <c r="AL151" s="29" t="str">
        <f>IF(AJ151=0,"---",IF(OR(ABS((AK151-AJ151)/ABS(AJ151))&gt;9,(AK151*AJ151)&lt;0),"---",IF(AJ151="0","---",((AK151-AJ151)/ABS(AJ151)))))</f>
        <v>---</v>
      </c>
    </row>
    <row r="152" spans="4:38">
      <c r="D152" s="43" t="str">
        <f>+IF($B$3="esp","TLH (M)","Total Listening Hours (M)")</f>
        <v>Total Listening Hours (M)</v>
      </c>
      <c r="K152" s="25">
        <f>+[9]TABLAS!$L$348</f>
        <v>55.294045918842599</v>
      </c>
      <c r="L152" s="17">
        <f>+[9]TABLAS!$K$348</f>
        <v>66.538395533703721</v>
      </c>
      <c r="M152" s="29">
        <f>IF(K152=0,"---",IF(OR(ABS((L152-K152)/ABS(K152))&gt;9,(L152*K152)&lt;0),"---",IF(K152="0","---",((L152-K152)/ABS(K152)))))</f>
        <v>0.20335552278747929</v>
      </c>
      <c r="U152" s="25">
        <f>+[10]TABLAS!$L$350</f>
        <v>55.53436553919753</v>
      </c>
      <c r="V152" s="17">
        <f>+[10]TABLAS!$K$350</f>
        <v>66.600109785741253</v>
      </c>
      <c r="W152" s="29">
        <f>IF(U152=0,"---",IF(OR(ABS((V152-U152)/ABS(U152))&gt;9,(V152*U152)&lt;0),"---",IF(U152="0","---",((V152-U152)/ABS(U152)))))</f>
        <v>0.19925939801604911</v>
      </c>
      <c r="Z152" s="25">
        <f>AVERAGE([10]TABLAS!$AF$289:$AH$289)</f>
        <v>56.015004779907393</v>
      </c>
      <c r="AA152" s="17">
        <f>AVERAGE([11]PRISARADIO!$I$8:$K$8)/1000000</f>
        <v>66.723538096945944</v>
      </c>
      <c r="AB152" s="29">
        <f>IF(Z152=0,"---",IF(OR(ABS((AA152-Z152)/ABS(Z152))&gt;9,(AA152*Z152)&lt;0),"---",IF(Z152="0","---",((AA152-Z152)/ABS(Z152)))))</f>
        <v>0.19117258597253048</v>
      </c>
      <c r="AE152" s="25">
        <f>+[12]TABLAS!$L$350</f>
        <v>55.972183200023245</v>
      </c>
      <c r="AF152" s="17">
        <f>+[12]TABLAS!$K$350</f>
        <v>67.176838088680938</v>
      </c>
      <c r="AG152" s="29">
        <f>IF(AE152=0,"---",IF(OR(ABS((AF152-AE152)/ABS(AE152))&gt;9,(AF152*AE152)&lt;0),"---",IF(AE152="0","---",((AF152-AE152)/ABS(AE152)))))</f>
        <v>0.20018255940842128</v>
      </c>
      <c r="AJ152" s="25"/>
      <c r="AK152" s="17"/>
      <c r="AL152" s="29" t="str">
        <f>IF(AJ152=0,"---",IF(OR(ABS((AK152-AJ152)/ABS(AJ152))&gt;9,(AK152*AJ152)&lt;0),"---",IF(AJ152="0","---",((AK152-AJ152)/ABS(AJ152)))))</f>
        <v>---</v>
      </c>
    </row>
    <row r="153" spans="4:38">
      <c r="D153" s="43" t="str">
        <f>+IF($B$3="esp","Descargas Audio (M)","Audio downloads (M)")</f>
        <v>Audio downloads (M)</v>
      </c>
      <c r="K153" s="25">
        <f>+[9]TABLAS!$L$373</f>
        <v>23.458669333333333</v>
      </c>
      <c r="L153" s="17">
        <f>+[9]TABLAS!$K$373</f>
        <v>31.48927033333333</v>
      </c>
      <c r="M153" s="29">
        <f>IF(K153=0,"---",IF(OR(ABS((L153-K153)/ABS(K153))&gt;9,(L153*K153)&lt;0),"---",IF(K153="0","---",((L153-K153)/ABS(K153)))))</f>
        <v>0.3423297752268073</v>
      </c>
      <c r="U153" s="25">
        <f>+[10]TABLAS!$L$375</f>
        <v>22.993433555555555</v>
      </c>
      <c r="V153" s="17">
        <f>+[10]TABLAS!$K$375</f>
        <v>31.822009000000001</v>
      </c>
      <c r="W153" s="29">
        <f>IF(U153=0,"---",IF(OR(ABS((V153-U153)/ABS(U153))&gt;9,(V153*U153)&lt;0),"---",IF(U153="0","---",((V153-U153)/ABS(U153)))))</f>
        <v>0.38396072614006493</v>
      </c>
      <c r="Z153" s="25">
        <f>AVERAGE([10]TABLAS!$AF$350:$AH$350)</f>
        <v>22.062961999999999</v>
      </c>
      <c r="AA153" s="17">
        <f>AVERAGE([10]TABLAS!$AF$351:$AH$351)</f>
        <v>32.487486333333329</v>
      </c>
      <c r="AB153" s="29">
        <f>IF(Z153=0,"---",IF(OR(ABS((AA153-Z153)/ABS(Z153))&gt;9,(AA153*Z153)&lt;0),"---",IF(Z153="0","---",((AA153-Z153)/ABS(Z153)))))</f>
        <v>0.4724897923195141</v>
      </c>
      <c r="AE153" s="25">
        <f>+[12]TABLAS!$L$375</f>
        <v>23.748981166666667</v>
      </c>
      <c r="AF153" s="17">
        <f>+[12]TABLAS!$K$375</f>
        <v>33.688439833333334</v>
      </c>
      <c r="AG153" s="29">
        <f>IF(AE153=0,"---",IF(OR(ABS((AF153-AE153)/ABS(AE153))&gt;9,(AF153*AE153)&lt;0),"---",IF(AE153="0","---",((AF153-AE153)/ABS(AE153)))))</f>
        <v>0.41852147664411737</v>
      </c>
      <c r="AJ153" s="25"/>
      <c r="AK153" s="17"/>
      <c r="AL153" s="29" t="str">
        <f>IF(AJ153=0,"---",IF(OR(ABS((AK153-AJ153)/ABS(AJ153))&gt;9,(AK153*AJ153)&lt;0),"---",IF(AJ153="0","---",((AK153-AJ153)/ABS(AJ153)))))</f>
        <v>---</v>
      </c>
    </row>
    <row r="154" spans="4:38">
      <c r="D154" s="43" t="str">
        <f>+IF($B$3="esp","Suscriptores (digitales) (k)","Subscribers (only digital) (k)")</f>
        <v>Subscribers (only digital) (k)</v>
      </c>
      <c r="K154" s="25">
        <f>+[9]GRAFICOS!$H$405</f>
        <v>56.25</v>
      </c>
      <c r="L154" s="17">
        <f>+[9]GRAFICOS!$T$405</f>
        <v>109.099</v>
      </c>
      <c r="M154" s="29">
        <f>IF(K154=0,"---",IF(OR(ABS((L154-K154)/ABS(K154))&gt;9,(L154*K154)&lt;0),"---",IF(K154="0","---",((L154-K154)/ABS(K154)))))</f>
        <v>0.9395377777777778</v>
      </c>
      <c r="U154" s="25">
        <f>+[10]GRAFICOS!$K$405</f>
        <v>68.457999999999998</v>
      </c>
      <c r="V154" s="17">
        <f>+[10]GRAFICOS!$W$405</f>
        <v>121.126</v>
      </c>
      <c r="W154" s="29">
        <f>IF(U154=0,"---",IF(OR(ABS((V154-U154)/ABS(U154))&gt;9,(V154*U154)&lt;0),"---",IF(U154="0","---",((V154-U154)/ABS(U154)))))</f>
        <v>0.76934762920330724</v>
      </c>
      <c r="Z154" s="25">
        <f>+U154</f>
        <v>68.457999999999998</v>
      </c>
      <c r="AA154" s="17">
        <f>+V154</f>
        <v>121.126</v>
      </c>
      <c r="AB154" s="29">
        <f>IF(Z154=0,"---",IF(OR(ABS((AA154-Z154)/ABS(Z154))&gt;9,(AA154*Z154)&lt;0),"---",IF(Z154="0","---",((AA154-Z154)/ABS(Z154)))))</f>
        <v>0.76934762920330724</v>
      </c>
      <c r="AC154" s="61"/>
      <c r="AE154" s="25">
        <f>+[12]GRAFICOS!$N$405</f>
        <v>84.584000000000003</v>
      </c>
      <c r="AF154" s="17">
        <f>+[12]GRAFICOS!$Z$405</f>
        <v>136.51900000000001</v>
      </c>
      <c r="AG154" s="29">
        <f>IF(AE154=0,"---",IF(OR(ABS((AF154-AE154)/ABS(AE154))&gt;9,(AF154*AE154)&lt;0),"---",IF(AE154="0","---",((AF154-AE154)/ABS(AE154)))))</f>
        <v>0.61400501276837227</v>
      </c>
      <c r="AJ154" s="25"/>
      <c r="AK154" s="17"/>
      <c r="AL154" s="29" t="str">
        <f>IF(AJ154=0,"---",IF(OR(ABS((AK154-AJ154)/ABS(AJ154))&gt;9,(AK154*AJ154)&lt;0),"---",IF(AJ154="0","---",((AK154-AJ154)/ABS(AJ154)))))</f>
        <v>---</v>
      </c>
    </row>
    <row r="155" spans="4:38">
      <c r="D155" s="43" t="str">
        <f>+IF($B$3="esp","Usuarios Registrados (M)","Registered Users (M)")</f>
        <v>Registered Users (M)</v>
      </c>
      <c r="K155" s="25">
        <f>+'[13]NN Logada'!$V$9/1000000+[14]PRISARADIO!$H$54/1000000</f>
        <v>4.8558339999999998</v>
      </c>
      <c r="L155" s="17">
        <f>('[13]NN Logada'!$AH$9+[15]PRISARADIO!$H$54)/1000000</f>
        <v>5.9067080000000001</v>
      </c>
      <c r="M155" s="29">
        <f>IF(K155=0,"---",IF(OR(ABS((L155-K155)/ABS(K155))&gt;9,(L155*K155)&lt;0),"---",IF(K155="0","---",((L155-K155)/ABS(K155)))))</f>
        <v>0.21641472916907792</v>
      </c>
      <c r="U155" s="25">
        <f>+'[16]NN Logada'!$Y$9/1000000+[14]PRISARADIO!$K$54/1000000</f>
        <v>5.110703</v>
      </c>
      <c r="V155" s="17">
        <f>('[16]NN Logada'!$AK$9+[11]PRISARADIO!$K$54)/1000000</f>
        <v>6.1381059999999996</v>
      </c>
      <c r="W155" s="29">
        <f>IF(U155=0,"---",IF(OR(ABS((V155-U155)/ABS(U155))&gt;9,(V155*U155)&lt;0),"---",IF(U155="0","---",((V155-U155)/ABS(U155)))))</f>
        <v>0.20102968221788658</v>
      </c>
      <c r="Z155" s="25">
        <f>+U155</f>
        <v>5.110703</v>
      </c>
      <c r="AA155" s="17">
        <f>+V155</f>
        <v>6.1381059999999996</v>
      </c>
      <c r="AB155" s="29">
        <f>IF(Z155=0,"---",IF(OR(ABS((AA155-Z155)/ABS(Z155))&gt;9,(AA155*Z155)&lt;0),"---",IF(Z155="0","---",((AA155-Z155)/ABS(Z155)))))</f>
        <v>0.20102968221788658</v>
      </c>
      <c r="AC155" s="61"/>
      <c r="AE155" s="25">
        <f>+[17]GRAFICOS!$E$73</f>
        <v>5.4718499999999999</v>
      </c>
      <c r="AF155" s="17">
        <f>+[17]GRAFICOS!$F$73</f>
        <v>6.3581769999999995</v>
      </c>
      <c r="AG155" s="29">
        <f>IF(AE155=0,"---",IF(OR(ABS((AF155-AE155)/ABS(AE155))&gt;9,(AF155*AE155)&lt;0),"---",IF(AE155="0","---",((AF155-AE155)/ABS(AE155)))))</f>
        <v>0.16197940367517377</v>
      </c>
      <c r="AJ155" s="25"/>
      <c r="AK155" s="17"/>
      <c r="AL155" s="29" t="str">
        <f>IF(AJ155=0,"---",IF(OR(ABS((AK155-AJ155)/ABS(AJ155))&gt;9,(AK155*AJ155)&lt;0),"---",IF(AJ155="0","---",((AK155-AJ155)/ABS(AJ155)))))</f>
        <v>---</v>
      </c>
    </row>
    <row r="157" spans="4:38" ht="15">
      <c r="D157" s="10" t="str">
        <f>+IF($B$3="esp","Indicadores Financieros","Financial KPIs")</f>
        <v>Financial KPIs</v>
      </c>
    </row>
    <row r="158" spans="4:38">
      <c r="D158" s="43" t="str">
        <f>+IF($B$3="esp","Ingresos Digitales","Digital Revenues")</f>
        <v>Digital Revenues</v>
      </c>
      <c r="K158" s="25">
        <f>(+'[2]Acum 20'!$BY$16+'[2]Acum 20'!$CD$16)/1000</f>
        <v>30.73510049822033</v>
      </c>
      <c r="L158" s="17">
        <f>(+'[2]Acum 21'!$BY$16+'[2]Acum 21'!$CD$16)/1000</f>
        <v>41.539107750988073</v>
      </c>
      <c r="M158" s="29">
        <f>IF(K158=0,"---",IF(OR(ABS((L158-K158)/ABS(K158))&gt;9,(L158*K158)&lt;0),"---",IF(K158="0","---",((L158-K158)/ABS(K158)))))</f>
        <v>0.35152015375363205</v>
      </c>
      <c r="U158" s="25">
        <f>(+'[3]Acum 20'!$BY$16+'[3]Acum 20'!$CD$16)/1000</f>
        <v>47.127277356572641</v>
      </c>
      <c r="V158" s="17">
        <f>(+'[3]Acum 21'!$BY$16+'[3]Acum 21'!$CD$16)/1000</f>
        <v>63.699769009382614</v>
      </c>
      <c r="W158" s="29">
        <f>IF(U158=0,"---",IF(OR(ABS((V158-U158)/ABS(U158))&gt;9,(V158*U158)&lt;0),"---",IF(U158="0","---",((V158-U158)/ABS(U158)))))</f>
        <v>0.35165391642338695</v>
      </c>
      <c r="Z158" s="25">
        <f t="shared" ref="Z158:AA159" si="221">+U158-K158</f>
        <v>16.392176858352311</v>
      </c>
      <c r="AA158" s="17">
        <f t="shared" si="221"/>
        <v>22.160661258394541</v>
      </c>
      <c r="AB158" s="29">
        <f>IF(Z158=0,"---",IF(OR(ABS((AA158-Z158)/ABS(Z158))&gt;9,(AA158*Z158)&lt;0),"---",IF(Z158="0","---",((AA158-Z158)/ABS(Z158)))))</f>
        <v>0.35190471954327479</v>
      </c>
      <c r="AE158" s="25">
        <f>(+'[4]Acum 20'!$BY$16+'[4]Acum 20'!$CD$16)/1000</f>
        <v>71.471863153723731</v>
      </c>
      <c r="AF158" s="17">
        <f>(+'[4]Acum 21'!$BY$16+'[4]Acum 21'!$CD$16)/1000</f>
        <v>90.327917133703636</v>
      </c>
      <c r="AG158" s="29">
        <f>IF(AE158=0,"---",IF(OR(ABS((AF158-AE158)/ABS(AE158))&gt;9,(AF158*AE158)&lt;0),"---",IF(AE158="0","---",((AF158-AE158)/ABS(AE158)))))</f>
        <v>0.26382485565576713</v>
      </c>
      <c r="AJ158" s="25">
        <f t="shared" ref="AJ158:AK159" si="222">+AE158-U158</f>
        <v>24.34458579715109</v>
      </c>
      <c r="AK158" s="17">
        <f t="shared" si="222"/>
        <v>26.628148124321022</v>
      </c>
      <c r="AL158" s="29">
        <f>IF(AJ158=0,"---",IF(OR(ABS((AK158-AJ158)/ABS(AJ158))&gt;9,(AK158*AJ158)&lt;0),"---",IF(AJ158="0","---",((AK158-AJ158)/ABS(AJ158)))))</f>
        <v>9.3801650444887183E-2</v>
      </c>
    </row>
    <row r="159" spans="4:38">
      <c r="D159" s="43" t="str">
        <f>+IF($B$3="esp","Ingresos No Digitales","Non Digital Revenues")</f>
        <v>Non Digital Revenues</v>
      </c>
      <c r="K159" s="25">
        <f>+[2]INGRESOS!$AI$177-K158</f>
        <v>118.45312334671652</v>
      </c>
      <c r="L159" s="17">
        <f>+[2]INGRESOS!$Z$177-L158</f>
        <v>133.61551328868214</v>
      </c>
      <c r="M159" s="29">
        <f>IF(K159=0,"---",IF(OR(ABS((L159-K159)/ABS(K159))&gt;9,(L159*K159)&lt;0),"---",IF(K159="0","---",((L159-K159)/ABS(K159)))))</f>
        <v>0.12800329373827279</v>
      </c>
      <c r="U159" s="25">
        <f>+[3]INGRESOS!$AI$177-U158</f>
        <v>177.25157893227055</v>
      </c>
      <c r="V159" s="17">
        <f>+[3]INGRESOS!$Z$177-V158</f>
        <v>199.75231900858952</v>
      </c>
      <c r="W159" s="29">
        <f>IF(U159=0,"---",IF(OR(ABS((V159-U159)/ABS(U159))&gt;9,(V159*U159)&lt;0),"---",IF(U159="0","---",((V159-U159)/ABS(U159)))))</f>
        <v>0.1269423957284844</v>
      </c>
      <c r="Z159" s="25">
        <f t="shared" si="221"/>
        <v>58.798455585554024</v>
      </c>
      <c r="AA159" s="17">
        <f t="shared" si="221"/>
        <v>66.136805719907386</v>
      </c>
      <c r="AB159" s="29">
        <f>IF(Z159=0,"---",IF(OR(ABS((AA159-Z159)/ABS(Z159))&gt;9,(AA159*Z159)&lt;0),"---",IF(Z159="0","---",((AA159-Z159)/ABS(Z159)))))</f>
        <v>0.1248051511093821</v>
      </c>
      <c r="AE159" s="25">
        <f>+[4]INGRESOS!$AI$177-AE158</f>
        <v>264.40649322140979</v>
      </c>
      <c r="AF159" s="17">
        <f>+[4]INGRESOS!$Z$177-AF158</f>
        <v>293.01552137799598</v>
      </c>
      <c r="AG159" s="29">
        <f>IF(AE159=0,"---",IF(OR(ABS((AF159-AE159)/ABS(AE159))&gt;9,(AF159*AE159)&lt;0),"---",IF(AE159="0","---",((AF159-AE159)/ABS(AE159)))))</f>
        <v>0.10820092883509273</v>
      </c>
      <c r="AJ159" s="25">
        <f t="shared" si="222"/>
        <v>87.154914289139242</v>
      </c>
      <c r="AK159" s="17">
        <f t="shared" si="222"/>
        <v>93.263202369406457</v>
      </c>
      <c r="AL159" s="29">
        <f>IF(AJ159=0,"---",IF(OR(ABS((AK159-AJ159)/ABS(AJ159))&gt;9,(AK159*AJ159)&lt;0),"---",IF(AJ159="0","---",((AK159-AJ159)/ABS(AJ159)))))</f>
        <v>7.0085412051496862E-2</v>
      </c>
    </row>
    <row r="160" spans="4:38">
      <c r="D160" s="43" t="str">
        <f>+IF($B$3="esp","Mix Ingresos Digitales","Digital Revenue Mix")</f>
        <v>Digital Revenue Mix</v>
      </c>
      <c r="K160" s="56">
        <f>+K158/(K158+K159)</f>
        <v>0.20601559363134289</v>
      </c>
      <c r="L160" s="57">
        <f>+L158/(L158+L159)</f>
        <v>0.23715679040851576</v>
      </c>
      <c r="M160" s="29">
        <f>+L160-K160</f>
        <v>3.1141196777172864E-2</v>
      </c>
      <c r="U160" s="56">
        <f>+U158/(U158+U159)</f>
        <v>0.21003439511210287</v>
      </c>
      <c r="V160" s="57">
        <f>+V158/(V158+V159)</f>
        <v>0.24178881818176046</v>
      </c>
      <c r="W160" s="29">
        <f>+V160-U160</f>
        <v>3.1754423069657589E-2</v>
      </c>
      <c r="Z160" s="56">
        <f>+Z158/(Z158+Z159)</f>
        <v>0.21800823221670854</v>
      </c>
      <c r="AA160" s="57">
        <f>+AA158/(AA158+AA159)</f>
        <v>0.25097731584803296</v>
      </c>
      <c r="AB160" s="29">
        <f>+AA160-Z160</f>
        <v>3.296908363132442E-2</v>
      </c>
      <c r="AE160" s="56">
        <f>+AE158/(AE158+AE159)</f>
        <v>0.21279091610743361</v>
      </c>
      <c r="AF160" s="57">
        <f>+AF158/(AF158+AF159)</f>
        <v>0.23563183312695943</v>
      </c>
      <c r="AG160" s="29">
        <f>+AF160-AE160</f>
        <v>2.2840917019525814E-2</v>
      </c>
      <c r="AJ160" s="56">
        <f>+AJ158/(AJ158+AJ159)</f>
        <v>0.21833807127664809</v>
      </c>
      <c r="AK160" s="57">
        <f>+AK158/(AK158+AK159)</f>
        <v>0.22210232860554993</v>
      </c>
      <c r="AL160" s="29">
        <f>+AK160-AJ160</f>
        <v>3.7642573289018433E-3</v>
      </c>
    </row>
    <row r="161" spans="4:38">
      <c r="D161" s="43" t="str">
        <f>+IF($B$3="esp","Gastos sin indem.","Costs ex one-offs")</f>
        <v>Costs ex one-offs</v>
      </c>
      <c r="K161" s="25">
        <f>+K158+K159-K162</f>
        <v>166.32549714342923</v>
      </c>
      <c r="L161" s="17">
        <f>+L158+L159-L162</f>
        <v>166.69445342112408</v>
      </c>
      <c r="M161" s="29">
        <f>IF(K161=0,"---",IF(OR(ABS((L161-K161)/ABS(K161))&gt;9,(L161*K161)&lt;0),"---",IF(K161="0","---",((L161-K161)/ABS(K161)))))</f>
        <v>2.2182785203202081E-3</v>
      </c>
      <c r="U161" s="25">
        <f>+U158+U159-U162</f>
        <v>245.50900820219965</v>
      </c>
      <c r="V161" s="17">
        <f>+V158+V159-V162</f>
        <v>248.61333338008936</v>
      </c>
      <c r="W161" s="29">
        <f>IF(U161=0,"---",IF(OR(ABS((V161-U161)/ABS(U161))&gt;9,(V161*U161)&lt;0),"---",IF(U161="0","---",((V161-U161)/ABS(U161)))))</f>
        <v>1.2644445108641404E-2</v>
      </c>
      <c r="Z161" s="25">
        <f t="shared" ref="Z161:AA162" si="223">+U161-K161</f>
        <v>79.183511058770421</v>
      </c>
      <c r="AA161" s="17">
        <f t="shared" si="223"/>
        <v>81.918879958965277</v>
      </c>
      <c r="AB161" s="29">
        <f>IF(Z161=0,"---",IF(OR(ABS((AA161-Z161)/ABS(Z161))&gt;9,(AA161*Z161)&lt;0),"---",IF(Z161="0","---",((AA161-Z161)/ABS(Z161)))))</f>
        <v>3.4544678098002643E-2</v>
      </c>
      <c r="AE161" s="25">
        <f>+AE158+AE159-AE162</f>
        <v>336.65217681230359</v>
      </c>
      <c r="AF161" s="17">
        <f>+AF158+AF159-AF162</f>
        <v>341.48181486242322</v>
      </c>
      <c r="AG161" s="29">
        <f>IF(AE161=0,"---",IF(OR(ABS((AF161-AE161)/ABS(AE161))&gt;9,(AF161*AE161)&lt;0),"---",IF(AE161="0","---",((AF161-AE161)/ABS(AE161)))))</f>
        <v>1.4346076998077259E-2</v>
      </c>
      <c r="AJ161" s="25">
        <f t="shared" ref="AJ161:AK162" si="224">+AE161-U161</f>
        <v>91.143168610103942</v>
      </c>
      <c r="AK161" s="17">
        <f t="shared" si="224"/>
        <v>92.868481482333863</v>
      </c>
      <c r="AL161" s="29">
        <f>IF(AJ161=0,"---",IF(OR(ABS((AK161-AJ161)/ABS(AJ161))&gt;9,(AK161*AJ161)&lt;0),"---",IF(AJ161="0","---",((AK161-AJ161)/ABS(AJ161)))))</f>
        <v>1.8929700366360276E-2</v>
      </c>
    </row>
    <row r="162" spans="4:38">
      <c r="D162" s="43" t="str">
        <f>+IF($B$3="esp","EBITDA sin indemniz.","EBITDA ex one-offs")</f>
        <v>EBITDA ex one-offs</v>
      </c>
      <c r="K162" s="25">
        <f>+'[2]EBITDA SIN INDEM'!$AI$177</f>
        <v>-17.137273298492364</v>
      </c>
      <c r="L162" s="17">
        <f>+'[2]EBITDA SIN INDEM'!$Z$177</f>
        <v>8.4601676185461461</v>
      </c>
      <c r="M162" s="29" t="str">
        <f>IF(K162=0,"---",IF(OR(ABS((L162-K162)/ABS(K162))&gt;9,(L162*K162)&lt;0),"---",IF(K162="0","---",((L162-K162)/ABS(K162)))))</f>
        <v>---</v>
      </c>
      <c r="U162" s="25">
        <f>+'[3]EBITDA SIN INDEM'!$AI$177</f>
        <v>-21.130151913356457</v>
      </c>
      <c r="V162" s="17">
        <f>+'[3]EBITDA SIN INDEM'!$Z$177</f>
        <v>14.83875463788277</v>
      </c>
      <c r="W162" s="29" t="str">
        <f>IF(U162=0,"---",IF(OR(ABS((V162-U162)/ABS(U162))&gt;9,(V162*U162)&lt;0),"---",IF(U162="0","---",((V162-U162)/ABS(U162)))))</f>
        <v>---</v>
      </c>
      <c r="Z162" s="25">
        <f t="shared" si="223"/>
        <v>-3.9928786148640931</v>
      </c>
      <c r="AA162" s="17">
        <f t="shared" si="223"/>
        <v>6.3785870193366243</v>
      </c>
      <c r="AB162" s="29" t="str">
        <f>IF(Z162=0,"---",IF(OR(ABS((AA162-Z162)/ABS(Z162))&gt;9,(AA162*Z162)&lt;0),"---",IF(Z162="0","---",((AA162-Z162)/ABS(Z162)))))</f>
        <v>---</v>
      </c>
      <c r="AE162" s="25">
        <f>+'[4]EBITDA SIN INDEM'!$AI$177</f>
        <v>-0.77382043717008486</v>
      </c>
      <c r="AF162" s="17">
        <f>+'[4]EBITDA SIN INDEM'!$Z$177</f>
        <v>41.861623649276368</v>
      </c>
      <c r="AG162" s="29" t="str">
        <f>IF(AE162=0,"---",IF(OR(ABS((AF162-AE162)/ABS(AE162))&gt;9,(AF162*AE162)&lt;0),"---",IF(AE162="0","---",((AF162-AE162)/ABS(AE162)))))</f>
        <v>---</v>
      </c>
      <c r="AJ162" s="25">
        <f t="shared" si="224"/>
        <v>20.356331476186373</v>
      </c>
      <c r="AK162" s="17">
        <f t="shared" si="224"/>
        <v>27.022869011393595</v>
      </c>
      <c r="AL162" s="29">
        <f>IF(AJ162=0,"---",IF(OR(ABS((AK162-AJ162)/ABS(AJ162))&gt;9,(AK162*AJ162)&lt;0),"---",IF(AJ162="0","---",((AK162-AJ162)/ABS(AJ162)))))</f>
        <v>0.32749208977098831</v>
      </c>
    </row>
  </sheetData>
  <mergeCells count="2">
    <mergeCell ref="D106:D107"/>
    <mergeCell ref="D147:D1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00076"/>
  </sheetPr>
  <dimension ref="A1:AP157"/>
  <sheetViews>
    <sheetView tabSelected="1" topLeftCell="A22" zoomScale="60" zoomScaleNormal="60" workbookViewId="0">
      <selection activeCell="AX13" sqref="A13:AX27"/>
    </sheetView>
  </sheetViews>
  <sheetFormatPr baseColWidth="10" defaultColWidth="11.42578125" defaultRowHeight="14.25"/>
  <cols>
    <col min="1" max="1" width="7.5703125" style="1" customWidth="1"/>
    <col min="2" max="2" width="8" style="1" customWidth="1"/>
    <col min="3" max="3" width="11.42578125" style="1"/>
    <col min="4" max="4" width="47.42578125" style="1" customWidth="1"/>
    <col min="5" max="5" width="1" style="1" customWidth="1"/>
    <col min="6" max="7" width="11.42578125" style="1"/>
    <col min="8" max="8" width="11.28515625" style="1" customWidth="1"/>
    <col min="9" max="10" width="1" style="1" customWidth="1"/>
    <col min="11" max="12" width="11.42578125" style="1"/>
    <col min="13" max="13" width="11.28515625" style="1" customWidth="1"/>
    <col min="14" max="15" width="11.42578125" style="1"/>
    <col min="16" max="16" width="2" style="1" customWidth="1"/>
    <col min="17" max="17" width="47.140625" style="1" customWidth="1"/>
    <col min="18" max="18" width="1" style="1" customWidth="1"/>
    <col min="19" max="21" width="11.42578125" style="1"/>
    <col min="22" max="23" width="1" style="1" customWidth="1"/>
    <col min="24" max="28" width="11.42578125" style="1"/>
    <col min="29" max="29" width="2" style="1" customWidth="1"/>
    <col min="30" max="30" width="47.140625" style="1" customWidth="1"/>
    <col min="31" max="31" width="0.7109375" style="1" customWidth="1"/>
    <col min="32" max="34" width="11.42578125" style="1"/>
    <col min="35" max="36" width="1" style="1" customWidth="1"/>
    <col min="37" max="41" width="11.42578125" style="1"/>
    <col min="42" max="42" width="2" style="1" customWidth="1"/>
    <col min="43" max="16384" width="11.42578125" style="1"/>
  </cols>
  <sheetData>
    <row r="1" spans="1:39">
      <c r="A1" s="5" t="s">
        <v>2</v>
      </c>
      <c r="B1" s="12" t="s">
        <v>1</v>
      </c>
      <c r="D1" s="5"/>
    </row>
    <row r="2" spans="1:39" ht="15" thickBot="1">
      <c r="A2" s="5" t="s">
        <v>4</v>
      </c>
      <c r="B2" s="13" t="s">
        <v>3</v>
      </c>
      <c r="D2" s="5"/>
    </row>
    <row r="3" spans="1:39" ht="16.5" thickBot="1">
      <c r="A3" s="14" t="s">
        <v>0</v>
      </c>
      <c r="B3" s="3" t="s">
        <v>3</v>
      </c>
      <c r="D3" s="48" t="str">
        <f>+IF($B$3="esp","GRUPO","GROUP")</f>
        <v>GROUP</v>
      </c>
      <c r="E3" s="49"/>
      <c r="F3" s="49"/>
      <c r="G3" s="50"/>
      <c r="H3" s="49"/>
      <c r="I3" s="49"/>
      <c r="J3" s="47"/>
      <c r="K3" s="49"/>
      <c r="L3" s="50"/>
      <c r="M3" s="49"/>
      <c r="Q3" s="48" t="str">
        <f>+IF($B$3="esp","EDUCACIÓN","EDUCATION")</f>
        <v>EDUCATION</v>
      </c>
      <c r="R3" s="49"/>
      <c r="S3" s="49"/>
      <c r="T3" s="50"/>
      <c r="U3" s="49"/>
      <c r="V3" s="49"/>
      <c r="W3" s="47"/>
      <c r="X3" s="49"/>
      <c r="Y3" s="50"/>
      <c r="Z3" s="49"/>
      <c r="AD3" s="48" t="s">
        <v>14</v>
      </c>
      <c r="AE3" s="49"/>
      <c r="AF3" s="49"/>
      <c r="AG3" s="50"/>
      <c r="AH3" s="49"/>
      <c r="AI3" s="49"/>
      <c r="AJ3" s="47"/>
      <c r="AK3" s="49"/>
      <c r="AL3" s="50"/>
      <c r="AM3" s="49"/>
    </row>
    <row r="6" spans="1:39" ht="15" customHeight="1">
      <c r="D6" s="2"/>
      <c r="E6" s="2"/>
      <c r="F6" s="6" t="str">
        <f>+IF($B$3="esp","ENERO - DICIEMBRE","JANUARY - DECEMBER")</f>
        <v>JANUARY - DECEMBER</v>
      </c>
      <c r="G6" s="7"/>
      <c r="H6" s="7"/>
      <c r="I6" s="2"/>
      <c r="J6" s="2"/>
      <c r="K6" s="6" t="str">
        <f>+IF($B$3="esp","OCTUBRE - DICIEMBRE","OCTOBER - DECEMBER")</f>
        <v>OCTOBER - DECEMBER</v>
      </c>
      <c r="L6" s="7"/>
      <c r="M6" s="7"/>
      <c r="Q6" s="2"/>
      <c r="R6" s="2"/>
      <c r="S6" s="6" t="str">
        <f>+IF($B$3="esp","ENERO - DICIEMBRE","JANUARY - DECEMBER")</f>
        <v>JANUARY - DECEMBER</v>
      </c>
      <c r="T6" s="7"/>
      <c r="U6" s="7"/>
      <c r="V6" s="2"/>
      <c r="W6" s="2"/>
      <c r="X6" s="6" t="str">
        <f>+IF($B$3="esp","OCTUBRE - DICIEMBRE","OCTOBER - DECEMBER")</f>
        <v>OCTOBER - DECEMBER</v>
      </c>
      <c r="Y6" s="7"/>
      <c r="Z6" s="7"/>
      <c r="AD6" s="2"/>
      <c r="AE6" s="2"/>
      <c r="AF6" s="6" t="str">
        <f>+IF($B$3="esp","ENERO - DICIEMBRE","JANUARY - DECEMBER")</f>
        <v>JANUARY - DECEMBER</v>
      </c>
      <c r="AG6" s="7"/>
      <c r="AH6" s="7"/>
      <c r="AI6" s="2"/>
      <c r="AJ6" s="2"/>
      <c r="AK6" s="6" t="str">
        <f>+IF($B$3="esp","OCTUBRE - DICIEMBRE","OCTOBER - DECEMBER")</f>
        <v>OCTOBER - DECEMBER</v>
      </c>
      <c r="AL6" s="7"/>
      <c r="AM6" s="7"/>
    </row>
    <row r="7" spans="1:39">
      <c r="D7" s="2"/>
      <c r="E7" s="2"/>
      <c r="F7" s="2"/>
      <c r="G7" s="2"/>
      <c r="H7" s="2"/>
      <c r="I7" s="2"/>
      <c r="J7" s="2"/>
      <c r="K7" s="2"/>
      <c r="L7" s="2"/>
      <c r="M7" s="2"/>
      <c r="Q7" s="2"/>
      <c r="R7" s="2"/>
      <c r="S7" s="2"/>
      <c r="T7" s="2"/>
      <c r="U7" s="2"/>
      <c r="V7" s="2"/>
      <c r="W7" s="2"/>
      <c r="X7" s="2"/>
      <c r="Y7" s="2"/>
      <c r="Z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>
      <c r="D8" s="4" t="str">
        <f>+IF($B$3="esp","Millones de €","€ Millions")</f>
        <v>€ Millions</v>
      </c>
      <c r="E8" s="2"/>
      <c r="F8" s="8">
        <v>2021</v>
      </c>
      <c r="G8" s="8">
        <v>2020</v>
      </c>
      <c r="H8" s="8" t="str">
        <f>+IF($B$3="esp","Var.","Chg.")</f>
        <v>Chg.</v>
      </c>
      <c r="I8" s="2"/>
      <c r="J8" s="2"/>
      <c r="K8" s="8">
        <v>2021</v>
      </c>
      <c r="L8" s="8">
        <v>2020</v>
      </c>
      <c r="M8" s="8" t="str">
        <f>+IF($B$3="esp","Var.","Chg.")</f>
        <v>Chg.</v>
      </c>
      <c r="Q8" s="4" t="str">
        <f>+IF($B$3="esp","Millones de €","€ Millions")</f>
        <v>€ Millions</v>
      </c>
      <c r="R8" s="2"/>
      <c r="S8" s="8">
        <v>2021</v>
      </c>
      <c r="T8" s="8">
        <v>2020</v>
      </c>
      <c r="U8" s="8" t="str">
        <f>+IF($B$3="esp","Var.","Chg.")</f>
        <v>Chg.</v>
      </c>
      <c r="V8" s="2"/>
      <c r="W8" s="2"/>
      <c r="X8" s="8">
        <v>2021</v>
      </c>
      <c r="Y8" s="8">
        <v>2020</v>
      </c>
      <c r="Z8" s="8" t="str">
        <f>+IF($B$3="esp","Var.","Chg.")</f>
        <v>Chg.</v>
      </c>
      <c r="AD8" s="4" t="str">
        <f>+IF($B$3="esp","Millones de €","€ Millions")</f>
        <v>€ Millions</v>
      </c>
      <c r="AE8" s="2"/>
      <c r="AF8" s="8">
        <v>2021</v>
      </c>
      <c r="AG8" s="8">
        <v>2020</v>
      </c>
      <c r="AH8" s="8" t="str">
        <f>+IF($B$3="esp","Var.","Chg.")</f>
        <v>Chg.</v>
      </c>
      <c r="AI8" s="2"/>
      <c r="AJ8" s="2"/>
      <c r="AK8" s="8">
        <v>2021</v>
      </c>
      <c r="AL8" s="8">
        <v>2020</v>
      </c>
      <c r="AM8" s="8" t="str">
        <f>+IF($B$3="esp","Var.","Chg.")</f>
        <v>Chg.</v>
      </c>
    </row>
    <row r="9" spans="1:39" ht="15">
      <c r="D9" s="10" t="str">
        <f>+IF($B$3="esp","Resultados Reportados","Reported Results")</f>
        <v>Reported Results</v>
      </c>
      <c r="F9" s="11"/>
      <c r="G9" s="11"/>
      <c r="H9" s="11"/>
      <c r="K9" s="11"/>
      <c r="L9" s="11"/>
      <c r="M9" s="11"/>
      <c r="Q9" s="10" t="str">
        <f>+IF($B$3="esp","Resultados Reportados","Reported Results")</f>
        <v>Reported Results</v>
      </c>
      <c r="S9" s="11"/>
      <c r="T9" s="11"/>
      <c r="U9" s="11"/>
      <c r="X9" s="11"/>
      <c r="Y9" s="11"/>
      <c r="Z9" s="11"/>
      <c r="AD9" s="10" t="str">
        <f>+IF($B$3="esp","Resultados Reportados","Reported Results")</f>
        <v>Reported Results</v>
      </c>
      <c r="AF9" s="11"/>
      <c r="AG9" s="11"/>
      <c r="AH9" s="11"/>
      <c r="AK9" s="11"/>
      <c r="AL9" s="11"/>
      <c r="AM9" s="11"/>
    </row>
    <row r="10" spans="1:39" s="9" customFormat="1" ht="17.25" customHeight="1">
      <c r="D10" s="21" t="str">
        <f>+IF($B$3="esp","Ingresos de Explotación","Operating Revenues")</f>
        <v>Operating Revenues</v>
      </c>
      <c r="F10" s="16">
        <v>741.16787096637722</v>
      </c>
      <c r="G10" s="24">
        <v>700.64061539075271</v>
      </c>
      <c r="H10" s="28">
        <v>5.7843143382463123E-2</v>
      </c>
      <c r="K10" s="16">
        <v>255.43315201882251</v>
      </c>
      <c r="L10" s="24">
        <v>206.02327616619476</v>
      </c>
      <c r="M10" s="28">
        <v>0.23982666799633753</v>
      </c>
      <c r="Q10" s="21" t="str">
        <f>+IF($B$3="esp","Ingresos de Explotación","Operating Revenues")</f>
        <v>Operating Revenues</v>
      </c>
      <c r="S10" s="16">
        <v>358.80950094328767</v>
      </c>
      <c r="T10" s="24">
        <v>365.82876402163862</v>
      </c>
      <c r="U10" s="28">
        <v>-1.9187291346876592E-2</v>
      </c>
      <c r="X10" s="16">
        <v>135.4806738797356</v>
      </c>
      <c r="Y10" s="24">
        <v>94.951608868514313</v>
      </c>
      <c r="Z10" s="28">
        <v>0.42683916043323217</v>
      </c>
      <c r="AD10" s="21" t="str">
        <f>+IF($B$3="esp","Ingresos de Explotación","Operating Revenues")</f>
        <v>Operating Revenues</v>
      </c>
      <c r="AF10" s="16">
        <v>383.34343851169962</v>
      </c>
      <c r="AG10" s="24">
        <v>335.87835637513354</v>
      </c>
      <c r="AH10" s="28">
        <v>0.14131628679150021</v>
      </c>
      <c r="AK10" s="16">
        <v>119.89135049372749</v>
      </c>
      <c r="AL10" s="24">
        <v>111.49950008629034</v>
      </c>
      <c r="AM10" s="28">
        <v>7.5263569800246885E-2</v>
      </c>
    </row>
    <row r="11" spans="1:39" ht="17.25" customHeight="1">
      <c r="D11" s="20" t="str">
        <f>+IF($B$3="esp","España","Spain")</f>
        <v>Spain</v>
      </c>
      <c r="F11" s="17">
        <v>319.22329742999966</v>
      </c>
      <c r="G11" s="25">
        <v>285.44958151999862</v>
      </c>
      <c r="H11" s="29">
        <v>0.11831762278353473</v>
      </c>
      <c r="K11" s="17">
        <v>98.026513859999454</v>
      </c>
      <c r="L11" s="25">
        <v>94.641917619998054</v>
      </c>
      <c r="M11" s="29">
        <v>3.5762126604313722E-2</v>
      </c>
      <c r="Q11" s="21" t="str">
        <f>+IF($B$3="esp","Gastos de Explotación Contables","Reported Expenses")</f>
        <v>Reported Expenses</v>
      </c>
      <c r="R11" s="9"/>
      <c r="S11" s="16">
        <v>289.54162816808434</v>
      </c>
      <c r="T11" s="24">
        <v>288.80144150360229</v>
      </c>
      <c r="U11" s="28">
        <v>2.5629604223177688E-3</v>
      </c>
      <c r="V11" s="9"/>
      <c r="W11" s="9"/>
      <c r="X11" s="16">
        <v>97.170953426561937</v>
      </c>
      <c r="Y11" s="24">
        <v>69.178269910007884</v>
      </c>
      <c r="Z11" s="28">
        <v>0.40464561419314138</v>
      </c>
      <c r="AD11" s="20" t="str">
        <f>+IF($B$3="esp","Publicidad Neta","Net Advertising")</f>
        <v>Net Advertising</v>
      </c>
      <c r="AF11" s="17">
        <v>298.41495465788995</v>
      </c>
      <c r="AG11" s="25">
        <v>255.64247520357483</v>
      </c>
      <c r="AH11" s="29">
        <v>0.16731366499348072</v>
      </c>
      <c r="AK11" s="17">
        <v>97.656455573967179</v>
      </c>
      <c r="AL11" s="25">
        <v>89.564890956645741</v>
      </c>
      <c r="AM11" s="29">
        <v>9.0343041016353098E-2</v>
      </c>
    </row>
    <row r="12" spans="1:39" ht="17.25" customHeight="1">
      <c r="D12" s="20" t="str">
        <f>+IF($B$3="esp","Internacional","International")</f>
        <v>International</v>
      </c>
      <c r="F12" s="17">
        <v>421.9445735363775</v>
      </c>
      <c r="G12" s="25">
        <v>415.19103387075404</v>
      </c>
      <c r="H12" s="29">
        <v>1.6266101901723128E-2</v>
      </c>
      <c r="K12" s="17">
        <v>157.406638158823</v>
      </c>
      <c r="L12" s="25">
        <v>111.38135854619662</v>
      </c>
      <c r="M12" s="29">
        <v>0.41322246571033605</v>
      </c>
      <c r="Q12" s="21" t="str">
        <f>+IF($B$3="esp","EBITDA Contable","Reported EBITDA")</f>
        <v>Reported EBITDA</v>
      </c>
      <c r="R12" s="9"/>
      <c r="S12" s="16">
        <v>69.26787277520333</v>
      </c>
      <c r="T12" s="24">
        <v>77.027322518036357</v>
      </c>
      <c r="U12" s="28">
        <v>-0.10073632951497322</v>
      </c>
      <c r="V12" s="9"/>
      <c r="W12" s="9"/>
      <c r="X12" s="16">
        <v>38.309720453173661</v>
      </c>
      <c r="Y12" s="24">
        <v>25.773338958506436</v>
      </c>
      <c r="Z12" s="28">
        <v>0.48640890165026984</v>
      </c>
      <c r="AD12" s="19" t="str">
        <f>+IF($B$3="esp","Papel","Offline")</f>
        <v>Offline</v>
      </c>
      <c r="AE12" s="2"/>
      <c r="AF12" s="17">
        <v>223.15267334909998</v>
      </c>
      <c r="AG12" s="25">
        <v>192.32576940371177</v>
      </c>
      <c r="AH12" s="29">
        <v>0.16028483359751619</v>
      </c>
      <c r="AK12" s="17">
        <v>75.314620736116922</v>
      </c>
      <c r="AL12" s="25">
        <v>67.76048363745106</v>
      </c>
      <c r="AM12" s="29">
        <v>0.11148292770582748</v>
      </c>
    </row>
    <row r="13" spans="1:39" s="2" customFormat="1" ht="17.25" customHeight="1">
      <c r="D13" s="19" t="str">
        <f>+IF($B$3="esp","Latam","Latam")</f>
        <v>Latam</v>
      </c>
      <c r="F13" s="18">
        <v>419.45492553637752</v>
      </c>
      <c r="G13" s="26">
        <v>410.35625187075408</v>
      </c>
      <c r="H13" s="30">
        <v>2.2172621043651499E-2</v>
      </c>
      <c r="K13" s="18">
        <v>157.13565215882301</v>
      </c>
      <c r="L13" s="26">
        <v>110.92353054619667</v>
      </c>
      <c r="M13" s="30">
        <v>0.41661243006848059</v>
      </c>
      <c r="Q13" s="22" t="str">
        <f>+IF($B$3="esp","Margen EBITDA ","EBITDA Margin")</f>
        <v>EBITDA Margin</v>
      </c>
      <c r="R13" s="15"/>
      <c r="S13" s="23">
        <v>0.19304916005039566</v>
      </c>
      <c r="T13" s="27">
        <v>0.21055567547848758</v>
      </c>
      <c r="U13" s="31">
        <v>-8.314435309477354E-2</v>
      </c>
      <c r="V13" s="15"/>
      <c r="W13" s="15"/>
      <c r="X13" s="23">
        <v>0.28276889504683667</v>
      </c>
      <c r="Y13" s="27">
        <v>0.27143656927600313</v>
      </c>
      <c r="Z13" s="31">
        <v>4.174944371371922E-2</v>
      </c>
      <c r="AD13" s="19" t="str">
        <f>+IF($B$3="esp","Digital","Online")</f>
        <v>Online</v>
      </c>
      <c r="AF13" s="17">
        <v>75.26228130878998</v>
      </c>
      <c r="AG13" s="25">
        <v>63.316705799863058</v>
      </c>
      <c r="AH13" s="29">
        <v>0.18866388195692829</v>
      </c>
      <c r="AI13" s="1"/>
      <c r="AJ13" s="1"/>
      <c r="AK13" s="17">
        <v>22.341834837850264</v>
      </c>
      <c r="AL13" s="25">
        <v>21.804407319194681</v>
      </c>
      <c r="AM13" s="29">
        <v>2.4647655439021247E-2</v>
      </c>
    </row>
    <row r="14" spans="1:39" s="2" customFormat="1" ht="17.25" customHeight="1">
      <c r="D14" s="19" t="str">
        <f>+IF($B$3="esp","Portugal","Portugal")</f>
        <v>Portugal</v>
      </c>
      <c r="F14" s="18">
        <v>2.4896480000000003</v>
      </c>
      <c r="G14" s="26">
        <v>4.8347820000000015</v>
      </c>
      <c r="H14" s="30">
        <v>-0.48505475531264913</v>
      </c>
      <c r="K14" s="18">
        <v>0.27098600000000062</v>
      </c>
      <c r="L14" s="26">
        <v>0.4578280000000019</v>
      </c>
      <c r="M14" s="30">
        <v>-0.40810522729059934</v>
      </c>
      <c r="Q14" s="21" t="str">
        <f>+IF($B$3="esp","EBITDA sin indemnizaciones","EBITDA ex severance expenses")</f>
        <v>EBITDA ex severance expenses</v>
      </c>
      <c r="R14" s="9"/>
      <c r="S14" s="16">
        <v>75.450503614404511</v>
      </c>
      <c r="T14" s="24">
        <v>80.881857585791465</v>
      </c>
      <c r="U14" s="28">
        <v>-6.7151696727859048E-2</v>
      </c>
      <c r="V14" s="9"/>
      <c r="W14" s="9"/>
      <c r="X14" s="16">
        <v>40.877564783025448</v>
      </c>
      <c r="Y14" s="24">
        <v>27.718393178851017</v>
      </c>
      <c r="Z14" s="28">
        <v>0.47474510947535042</v>
      </c>
      <c r="AD14" s="20" t="str">
        <f>+IF($B$3="esp","Circulación","Circulation")</f>
        <v>Circulation</v>
      </c>
      <c r="AF14" s="17">
        <v>51.878114150000002</v>
      </c>
      <c r="AG14" s="25">
        <v>49.884558314394141</v>
      </c>
      <c r="AH14" s="29">
        <v>3.9963385523865046E-2</v>
      </c>
      <c r="AI14" s="1"/>
      <c r="AJ14" s="1"/>
      <c r="AK14" s="17">
        <v>12.546703700000002</v>
      </c>
      <c r="AL14" s="25">
        <v>13.659328446071584</v>
      </c>
      <c r="AM14" s="29">
        <v>-8.1455303638413648E-2</v>
      </c>
    </row>
    <row r="15" spans="1:39" s="9" customFormat="1" ht="17.25" customHeight="1">
      <c r="D15" s="21" t="str">
        <f>+IF($B$3="esp","Gastos de Explotación Contables","Reported Expenses")</f>
        <v>Reported Expenses</v>
      </c>
      <c r="F15" s="16">
        <v>678.07863177059585</v>
      </c>
      <c r="G15" s="24">
        <v>636.77529041731623</v>
      </c>
      <c r="H15" s="28">
        <v>6.486329161141148E-2</v>
      </c>
      <c r="K15" s="16">
        <v>210.3072940893579</v>
      </c>
      <c r="L15" s="24">
        <v>165.44639433870393</v>
      </c>
      <c r="M15" s="28">
        <v>0.27115066441891855</v>
      </c>
      <c r="Q15" s="22" t="str">
        <f>+IF($B$3="esp","Margen EBITDA sin indemnizaciones ","EBITDA ex severance expenses Margin")</f>
        <v>EBITDA ex severance expenses Margin</v>
      </c>
      <c r="R15" s="15"/>
      <c r="S15" s="23">
        <v>0.21028011637386934</v>
      </c>
      <c r="T15" s="27">
        <v>0.22109212161624156</v>
      </c>
      <c r="U15" s="31">
        <v>-4.8902716041320772E-2</v>
      </c>
      <c r="V15" s="15"/>
      <c r="W15" s="15"/>
      <c r="X15" s="23">
        <v>0.301722479025399</v>
      </c>
      <c r="Y15" s="27">
        <v>0.29192125872489938</v>
      </c>
      <c r="Z15" s="31">
        <v>3.3574876812024486E-2</v>
      </c>
      <c r="AD15" s="19" t="str">
        <f>+IF($B$3="esp","Papel","Offline")</f>
        <v>Offline</v>
      </c>
      <c r="AF15" s="17">
        <v>41.445896666640131</v>
      </c>
      <c r="AG15" s="25">
        <v>45.237551124394145</v>
      </c>
      <c r="AH15" s="29">
        <v>-8.3816527718923783E-2</v>
      </c>
      <c r="AI15" s="1"/>
      <c r="AJ15" s="1"/>
      <c r="AK15" s="17">
        <v>9.6858996399999988</v>
      </c>
      <c r="AL15" s="25">
        <v>11.63770271607158</v>
      </c>
      <c r="AM15" s="29">
        <v>-0.16771377682436892</v>
      </c>
    </row>
    <row r="16" spans="1:39" ht="17.25" customHeight="1">
      <c r="D16" s="20" t="str">
        <f>+IF($B$3="esp","España","Spain")</f>
        <v>Spain</v>
      </c>
      <c r="F16" s="17">
        <v>357.67605249823259</v>
      </c>
      <c r="G16" s="25">
        <v>313.07830303770788</v>
      </c>
      <c r="H16" s="29">
        <v>0.14244918612310625</v>
      </c>
      <c r="K16" s="17">
        <v>100.82630406823267</v>
      </c>
      <c r="L16" s="25">
        <v>84.692009207707684</v>
      </c>
      <c r="M16" s="29">
        <v>0.19050551535453042</v>
      </c>
      <c r="Q16" s="21" t="str">
        <f>+IF($B$3="esp","EBIT Contable","Reported EBIT")</f>
        <v>Reported EBIT</v>
      </c>
      <c r="R16" s="9"/>
      <c r="S16" s="16">
        <v>26.117164560478724</v>
      </c>
      <c r="T16" s="24">
        <v>34.140777915053164</v>
      </c>
      <c r="U16" s="28">
        <v>-0.23501553990768068</v>
      </c>
      <c r="V16" s="9"/>
      <c r="W16" s="9"/>
      <c r="X16" s="16">
        <v>23.142765201394781</v>
      </c>
      <c r="Y16" s="24">
        <v>13.321916347710953</v>
      </c>
      <c r="Z16" s="28">
        <v>0.73719490479846028</v>
      </c>
      <c r="AD16" s="19" t="str">
        <f>+IF($B$3="esp","Digital","Online")</f>
        <v>Online</v>
      </c>
      <c r="AF16" s="17">
        <v>10.432217483359871</v>
      </c>
      <c r="AG16" s="25">
        <v>4.6470071899999965</v>
      </c>
      <c r="AH16" s="29">
        <v>1.2449325031838134</v>
      </c>
      <c r="AK16" s="17">
        <v>2.8608040600000031</v>
      </c>
      <c r="AL16" s="25">
        <v>2.0216257300000038</v>
      </c>
      <c r="AM16" s="29">
        <v>0.41510073677188397</v>
      </c>
    </row>
    <row r="17" spans="4:39" ht="17.25" customHeight="1">
      <c r="D17" s="20" t="str">
        <f>+IF($B$3="esp","Internacional","International")</f>
        <v>International</v>
      </c>
      <c r="F17" s="17">
        <v>320.4025792723632</v>
      </c>
      <c r="G17" s="25">
        <v>323.69698737960834</v>
      </c>
      <c r="H17" s="29">
        <v>-1.0177444448630916E-2</v>
      </c>
      <c r="K17" s="17">
        <v>109.48099002112518</v>
      </c>
      <c r="L17" s="25">
        <v>80.754385130996184</v>
      </c>
      <c r="M17" s="29">
        <v>0.35572811115495429</v>
      </c>
      <c r="Q17" s="22" t="str">
        <f>+IF($B$3="esp","Margen EBIT ","EBIT Margin")</f>
        <v>EBIT Margin</v>
      </c>
      <c r="R17" s="15"/>
      <c r="S17" s="23">
        <v>7.2788386293613561E-2</v>
      </c>
      <c r="T17" s="27">
        <v>9.3324476565855144E-2</v>
      </c>
      <c r="U17" s="31">
        <v>-0.2200504200819185</v>
      </c>
      <c r="V17" s="15"/>
      <c r="W17" s="15"/>
      <c r="X17" s="23">
        <v>0.17081967884170923</v>
      </c>
      <c r="Y17" s="27">
        <v>0.14030216556055075</v>
      </c>
      <c r="Z17" s="31">
        <v>0.21751277436974356</v>
      </c>
      <c r="AD17" s="20" t="str">
        <f>+IF($B$3="esp","Otros","Others")</f>
        <v>Others</v>
      </c>
      <c r="AF17" s="17">
        <v>33.050369703809665</v>
      </c>
      <c r="AG17" s="25">
        <v>30.351322857164561</v>
      </c>
      <c r="AH17" s="29">
        <v>8.8926827319751628E-2</v>
      </c>
      <c r="AK17" s="17">
        <v>9.6881912197603057</v>
      </c>
      <c r="AL17" s="25">
        <v>8.2752806835730155</v>
      </c>
      <c r="AM17" s="29">
        <v>0.17073868430735067</v>
      </c>
    </row>
    <row r="18" spans="4:39" ht="17.25" customHeight="1">
      <c r="D18" s="19" t="str">
        <f>+IF($B$3="esp","Latam","Latam")</f>
        <v>Latam</v>
      </c>
      <c r="F18" s="18">
        <v>318.13785898236324</v>
      </c>
      <c r="G18" s="26">
        <v>321.44116713960841</v>
      </c>
      <c r="H18" s="30">
        <v>-1.0276556007558533E-2</v>
      </c>
      <c r="K18" s="18">
        <v>108.51773181112519</v>
      </c>
      <c r="L18" s="26">
        <v>80.288538180996227</v>
      </c>
      <c r="M18" s="30">
        <v>0.35159680658889647</v>
      </c>
      <c r="Q18" s="21" t="str">
        <f>+IF($B$3="esp","Resultado Financiero","Financial Result")</f>
        <v>Financial Result</v>
      </c>
      <c r="R18" s="9"/>
      <c r="S18" s="16">
        <v>-6.0722743566406026</v>
      </c>
      <c r="T18" s="24">
        <v>-7.9456894509233473</v>
      </c>
      <c r="U18" s="28">
        <v>0.23577753772708046</v>
      </c>
      <c r="V18" s="9"/>
      <c r="W18" s="9"/>
      <c r="X18" s="16">
        <v>-1.5138792942078201</v>
      </c>
      <c r="Y18" s="24">
        <v>-2.4546394973397314</v>
      </c>
      <c r="Z18" s="28">
        <v>0.38325799130645477</v>
      </c>
      <c r="AD18" s="21" t="str">
        <f>+IF($B$3="esp","Gastos de Explotación Contables","Reported Expenses")</f>
        <v>Reported Expenses</v>
      </c>
      <c r="AF18" s="16">
        <v>373.43998161112137</v>
      </c>
      <c r="AG18" s="24">
        <v>341.25323246973261</v>
      </c>
      <c r="AH18" s="28">
        <v>9.4319250570743113E-2</v>
      </c>
      <c r="AI18" s="2"/>
      <c r="AJ18" s="2"/>
      <c r="AK18" s="16">
        <v>109.79927806743595</v>
      </c>
      <c r="AL18" s="24">
        <v>93.689828547305098</v>
      </c>
      <c r="AM18" s="28">
        <v>0.17194448714352167</v>
      </c>
    </row>
    <row r="19" spans="4:39" ht="17.25" customHeight="1">
      <c r="D19" s="19" t="str">
        <f>+IF($B$3="esp","Portugal","Portugal")</f>
        <v>Portugal</v>
      </c>
      <c r="F19" s="18">
        <v>2.2647202899999996</v>
      </c>
      <c r="G19" s="26">
        <v>2.2558202400000016</v>
      </c>
      <c r="H19" s="30">
        <v>3.9453719947109096E-3</v>
      </c>
      <c r="K19" s="18">
        <v>0.96325820999999923</v>
      </c>
      <c r="L19" s="26">
        <v>0.46584695000001553</v>
      </c>
      <c r="M19" s="30">
        <v>1.0677568244247755</v>
      </c>
      <c r="Q19" s="20" t="str">
        <f>+IF($B$3="esp","Gastos por intereses de financiación","Interests on debt")</f>
        <v>Interests on debt</v>
      </c>
      <c r="S19" s="17">
        <v>-6.3868336650583366</v>
      </c>
      <c r="T19" s="25">
        <v>-6.6954133959787105</v>
      </c>
      <c r="U19" s="29">
        <v>4.6088226771136796E-2</v>
      </c>
      <c r="X19" s="17">
        <v>-0.32242942291997245</v>
      </c>
      <c r="Y19" s="25">
        <v>-1.063371059142991</v>
      </c>
      <c r="Z19" s="29">
        <v>0.69678559506798132</v>
      </c>
      <c r="AD19" s="21" t="str">
        <f>+IF($B$3="esp","EBITDA Contable","Reported EBITDA")</f>
        <v>Reported EBITDA</v>
      </c>
      <c r="AF19" s="16">
        <v>9.9034569005782469</v>
      </c>
      <c r="AG19" s="24">
        <v>-5.3748760945990499</v>
      </c>
      <c r="AH19" s="28" t="s">
        <v>16</v>
      </c>
      <c r="AK19" s="16">
        <v>10.092072426291532</v>
      </c>
      <c r="AL19" s="24">
        <v>17.809671538985249</v>
      </c>
      <c r="AM19" s="28">
        <v>-0.43333753212685283</v>
      </c>
    </row>
    <row r="20" spans="4:39" s="9" customFormat="1" ht="17.25" customHeight="1">
      <c r="D20" s="21" t="str">
        <f>+IF($B$3="esp","EBITDA Contable","Reported EBITDA")</f>
        <v>Reported EBITDA</v>
      </c>
      <c r="F20" s="16">
        <v>63.089239195781353</v>
      </c>
      <c r="G20" s="24">
        <v>63.865324973436444</v>
      </c>
      <c r="H20" s="28">
        <v>-1.2151911510320955E-2</v>
      </c>
      <c r="K20" s="16">
        <v>45.125857929464615</v>
      </c>
      <c r="L20" s="24">
        <v>40.57688182749083</v>
      </c>
      <c r="M20" s="28">
        <v>0.11210758188155934</v>
      </c>
      <c r="Q20" s="20" t="str">
        <f>+IF($B$3="esp","Otros resultados financieros","Other financial results")</f>
        <v>Other financial results</v>
      </c>
      <c r="R20" s="1"/>
      <c r="S20" s="17">
        <v>0.31455930841773405</v>
      </c>
      <c r="T20" s="25">
        <v>-1.2502760549446368</v>
      </c>
      <c r="U20" s="29" t="s">
        <v>16</v>
      </c>
      <c r="V20" s="1"/>
      <c r="W20" s="1"/>
      <c r="X20" s="17">
        <v>-1.1914498712878476</v>
      </c>
      <c r="Y20" s="25">
        <v>-1.3912684381967404</v>
      </c>
      <c r="Z20" s="29">
        <v>0.14362330188980846</v>
      </c>
      <c r="AD20" s="22" t="str">
        <f>+IF($B$3="esp","Margen EBITDA ","EBITDA Margin")</f>
        <v>EBITDA Margin</v>
      </c>
      <c r="AE20" s="15"/>
      <c r="AF20" s="23">
        <v>2.5834423928129905E-2</v>
      </c>
      <c r="AG20" s="27">
        <v>-1.6002448483450345E-2</v>
      </c>
      <c r="AH20" s="31" t="s">
        <v>16</v>
      </c>
      <c r="AI20" s="1"/>
      <c r="AJ20" s="1"/>
      <c r="AK20" s="23">
        <v>8.4176818300328776E-2</v>
      </c>
      <c r="AL20" s="27">
        <v>0.15972871201397498</v>
      </c>
      <c r="AM20" s="31">
        <v>-0.47300133307927772</v>
      </c>
    </row>
    <row r="21" spans="4:39" ht="17.25" customHeight="1">
      <c r="D21" s="20" t="str">
        <f>+IF($B$3="esp","España","Spain")</f>
        <v>Spain</v>
      </c>
      <c r="F21" s="17">
        <v>-38.452755068232946</v>
      </c>
      <c r="G21" s="25">
        <v>-27.628721517709238</v>
      </c>
      <c r="H21" s="29">
        <v>-0.39176744184799883</v>
      </c>
      <c r="K21" s="17">
        <v>-2.7997902082332189</v>
      </c>
      <c r="L21" s="25">
        <v>9.9499084122903767</v>
      </c>
      <c r="M21" s="29" t="s">
        <v>16</v>
      </c>
      <c r="Q21" s="21" t="str">
        <f>+IF($B$3="esp","Resultado puesta en equivalencia","Result from associates")</f>
        <v>Result from associates</v>
      </c>
      <c r="R21" s="9"/>
      <c r="S21" s="16">
        <v>0</v>
      </c>
      <c r="T21" s="24">
        <v>0</v>
      </c>
      <c r="U21" s="28" t="s">
        <v>16</v>
      </c>
      <c r="V21" s="9"/>
      <c r="W21" s="9"/>
      <c r="X21" s="16">
        <v>0</v>
      </c>
      <c r="Y21" s="24">
        <v>0</v>
      </c>
      <c r="Z21" s="28" t="s">
        <v>16</v>
      </c>
      <c r="AD21" s="21" t="str">
        <f>+IF($B$3="esp","EBITDA sin indemnizaciones","EBITDA ex severance expenses")</f>
        <v>EBITDA ex severance expenses</v>
      </c>
      <c r="AE21" s="9"/>
      <c r="AF21" s="16">
        <v>41.861623649276368</v>
      </c>
      <c r="AG21" s="24">
        <v>-0.77382043717008486</v>
      </c>
      <c r="AH21" s="28" t="s">
        <v>16</v>
      </c>
      <c r="AI21" s="9"/>
      <c r="AJ21" s="9"/>
      <c r="AK21" s="16">
        <v>27.022869011393595</v>
      </c>
      <c r="AL21" s="24">
        <v>20.356331476186373</v>
      </c>
      <c r="AM21" s="28">
        <v>0.32749208977098831</v>
      </c>
    </row>
    <row r="22" spans="4:39" ht="17.25" customHeight="1">
      <c r="D22" s="20" t="str">
        <f>+IF($B$3="esp","Internacional","International")</f>
        <v>International</v>
      </c>
      <c r="F22" s="17">
        <v>101.54199426401429</v>
      </c>
      <c r="G22" s="25">
        <v>91.494046491145681</v>
      </c>
      <c r="H22" s="29">
        <v>0.10982078242479962</v>
      </c>
      <c r="K22" s="17">
        <v>47.92564813769782</v>
      </c>
      <c r="L22" s="25">
        <v>30.626973415200446</v>
      </c>
      <c r="M22" s="29">
        <v>0.56481828902858167</v>
      </c>
      <c r="Q22" s="21" t="str">
        <f>+IF($B$3="esp","Resultado antes de impuestos","Profit before tax")</f>
        <v>Profit before tax</v>
      </c>
      <c r="R22" s="9"/>
      <c r="S22" s="16">
        <v>20.044890203838122</v>
      </c>
      <c r="T22" s="24">
        <v>26.195088464129817</v>
      </c>
      <c r="U22" s="28">
        <v>-0.23478440505033815</v>
      </c>
      <c r="V22" s="9"/>
      <c r="W22" s="9"/>
      <c r="X22" s="16">
        <v>21.628885907186962</v>
      </c>
      <c r="Y22" s="24">
        <v>10.867276850371223</v>
      </c>
      <c r="Z22" s="28">
        <v>0.99027651591006693</v>
      </c>
      <c r="AD22" s="22" t="str">
        <f>+IF($B$3="esp","Margen EBITDA sin indemnizaciones ","EBITDA ex severance expenses Margin")</f>
        <v>EBITDA ex severance expenses Margin</v>
      </c>
      <c r="AF22" s="23">
        <v>0.10920135691327022</v>
      </c>
      <c r="AG22" s="27">
        <v>-2.3038710964329765E-3</v>
      </c>
      <c r="AH22" s="31" t="s">
        <v>16</v>
      </c>
      <c r="AK22" s="23">
        <v>0.22539465024048908</v>
      </c>
      <c r="AL22" s="27">
        <v>0.18256881385506166</v>
      </c>
      <c r="AM22" s="31">
        <v>0.23457366831241033</v>
      </c>
    </row>
    <row r="23" spans="4:39" ht="17.25" customHeight="1">
      <c r="D23" s="19" t="str">
        <f>+IF($B$3="esp","Latam","Latam")</f>
        <v>Latam</v>
      </c>
      <c r="F23" s="18">
        <v>101.31706655401429</v>
      </c>
      <c r="G23" s="26">
        <v>88.915084731145669</v>
      </c>
      <c r="H23" s="30">
        <v>0.13948118995071243</v>
      </c>
      <c r="K23" s="18">
        <v>48.617920347697819</v>
      </c>
      <c r="L23" s="26">
        <v>30.634992365200446</v>
      </c>
      <c r="M23" s="30">
        <v>0.5870061192809346</v>
      </c>
      <c r="Q23" s="20" t="str">
        <f>+IF($B$3="esp","Impuesto sobre sociedades","Income tax expense")</f>
        <v>Income tax expense</v>
      </c>
      <c r="S23" s="17">
        <v>18.534517827499467</v>
      </c>
      <c r="T23" s="25">
        <v>27.458402701965106</v>
      </c>
      <c r="U23" s="29">
        <v>-0.32499650366869248</v>
      </c>
      <c r="X23" s="17">
        <v>10.373130644965062</v>
      </c>
      <c r="Y23" s="25">
        <v>10.694561743566251</v>
      </c>
      <c r="Z23" s="29">
        <v>-3.0055565277797205E-2</v>
      </c>
      <c r="AD23" s="21" t="str">
        <f>+IF($B$3="esp","EBIT Contable","Reported EBIT")</f>
        <v>Reported EBIT</v>
      </c>
      <c r="AF23" s="16">
        <v>-28.928229244257185</v>
      </c>
      <c r="AG23" s="24">
        <v>-54.101963586562654</v>
      </c>
      <c r="AH23" s="28">
        <v>0.46530167619568413</v>
      </c>
      <c r="AK23" s="16">
        <v>-10.462134313152571</v>
      </c>
      <c r="AL23" s="24">
        <v>11.149381345389251</v>
      </c>
      <c r="AM23" s="28" t="s">
        <v>16</v>
      </c>
    </row>
    <row r="24" spans="4:39" ht="17.25" customHeight="1">
      <c r="D24" s="19" t="str">
        <f>+IF($B$3="esp","Portugal","Portugal")</f>
        <v>Portugal</v>
      </c>
      <c r="F24" s="18">
        <v>0.22492771000000056</v>
      </c>
      <c r="G24" s="26">
        <v>2.5789617599999999</v>
      </c>
      <c r="H24" s="30">
        <v>-0.91278361956014398</v>
      </c>
      <c r="K24" s="18">
        <v>-0.69227220999999861</v>
      </c>
      <c r="L24" s="26">
        <v>-8.0189500000136249E-3</v>
      </c>
      <c r="M24" s="30" t="s">
        <v>16</v>
      </c>
      <c r="Q24" s="21" t="str">
        <f>+IF($B$3="esp","Resultado operaciones en discontinuación","Results from discontinued activities")</f>
        <v>Results from discontinued activities</v>
      </c>
      <c r="R24" s="9"/>
      <c r="S24" s="16">
        <v>0</v>
      </c>
      <c r="T24" s="24">
        <v>400.97941573999992</v>
      </c>
      <c r="U24" s="28">
        <v>-1</v>
      </c>
      <c r="V24" s="9"/>
      <c r="W24" s="9"/>
      <c r="X24" s="16">
        <v>0</v>
      </c>
      <c r="Y24" s="24">
        <v>367.52400276999992</v>
      </c>
      <c r="Z24" s="28">
        <v>-1</v>
      </c>
      <c r="AD24" s="22" t="str">
        <f>+IF($B$3="esp","Margen EBIT ","EBIT Margin")</f>
        <v>EBIT Margin</v>
      </c>
      <c r="AF24" s="23">
        <v>-7.5462956550316165E-2</v>
      </c>
      <c r="AG24" s="27">
        <v>-0.16107606387753554</v>
      </c>
      <c r="AH24" s="31">
        <v>0.53150732185950444</v>
      </c>
      <c r="AK24" s="23">
        <v>-8.7263462043493556E-2</v>
      </c>
      <c r="AL24" s="27">
        <v>9.9994899858390912E-2</v>
      </c>
      <c r="AM24" s="31" t="s">
        <v>16</v>
      </c>
    </row>
    <row r="25" spans="4:39" s="15" customFormat="1" ht="17.25" customHeight="1">
      <c r="D25" s="22" t="str">
        <f>+IF($B$3="esp","Margen EBITDA ","EBITDA Margin")</f>
        <v>EBITDA Margin</v>
      </c>
      <c r="F25" s="23">
        <v>8.5121389724465493E-2</v>
      </c>
      <c r="G25" s="27">
        <v>9.1152758733260494E-2</v>
      </c>
      <c r="H25" s="31">
        <v>-6.6167706744285626E-2</v>
      </c>
      <c r="K25" s="23">
        <v>0.17666406092087591</v>
      </c>
      <c r="L25" s="27">
        <v>0.19695290057788561</v>
      </c>
      <c r="M25" s="31">
        <v>-0.10301366264462004</v>
      </c>
      <c r="Q25" s="21" t="str">
        <f>+IF($B$3="esp","Resultado atribuido a socios externos","Minority interest")</f>
        <v>Minority interest</v>
      </c>
      <c r="R25" s="9"/>
      <c r="S25" s="16">
        <v>-3.7610376221340067E-3</v>
      </c>
      <c r="T25" s="24">
        <v>-2.1672224840096508E-3</v>
      </c>
      <c r="U25" s="28">
        <v>-0.73541832916737981</v>
      </c>
      <c r="V25" s="9"/>
      <c r="W25" s="9"/>
      <c r="X25" s="16">
        <v>-4.4299864477787138E-2</v>
      </c>
      <c r="Y25" s="24">
        <v>-9.4644900009598548E-2</v>
      </c>
      <c r="Z25" s="28">
        <v>0.53193606339808697</v>
      </c>
      <c r="AD25" s="21" t="str">
        <f>+IF($B$3="esp","Resultado Financiero","Financial Result")</f>
        <v>Financial Result</v>
      </c>
      <c r="AE25" s="1"/>
      <c r="AF25" s="16">
        <v>-7.8908749013273614</v>
      </c>
      <c r="AG25" s="24">
        <v>-11.040349348577308</v>
      </c>
      <c r="AH25" s="28">
        <v>0.28526945550466637</v>
      </c>
      <c r="AI25" s="1"/>
      <c r="AJ25" s="1"/>
      <c r="AK25" s="16">
        <v>-2.524674316781736</v>
      </c>
      <c r="AL25" s="24">
        <v>-8.0856519780439857</v>
      </c>
      <c r="AM25" s="28">
        <v>0.68775872080107947</v>
      </c>
    </row>
    <row r="26" spans="4:39" s="9" customFormat="1" ht="17.25" customHeight="1">
      <c r="D26" s="21" t="str">
        <f>+IF($B$3="esp","EBITDA sin indemnizaciones","EBITDA ex severance expenses")</f>
        <v>EBITDA ex severance expenses</v>
      </c>
      <c r="F26" s="16">
        <v>106.71687339368067</v>
      </c>
      <c r="G26" s="24">
        <v>72.992372218620531</v>
      </c>
      <c r="H26" s="28">
        <v>0.46202774550265868</v>
      </c>
      <c r="K26" s="16">
        <v>64.648027404418485</v>
      </c>
      <c r="L26" s="24">
        <v>45.010951675036559</v>
      </c>
      <c r="M26" s="28">
        <v>0.43627328458093478</v>
      </c>
      <c r="Q26" s="21" t="str">
        <f>+IF($B$3="esp","Resultado Neto","Net Profit")</f>
        <v>Net Profit</v>
      </c>
      <c r="S26" s="16">
        <v>1.5141334139607381</v>
      </c>
      <c r="T26" s="24">
        <v>399.71826872464874</v>
      </c>
      <c r="U26" s="28">
        <v>-0.99621199846884212</v>
      </c>
      <c r="X26" s="16">
        <v>11.300055126699608</v>
      </c>
      <c r="Y26" s="24">
        <v>367.79136277681459</v>
      </c>
      <c r="Z26" s="28">
        <v>-0.9692759094683886</v>
      </c>
      <c r="AD26" s="20" t="str">
        <f>+IF($B$3="esp","Gastos por intereses de financiación","Interests on debt")</f>
        <v>Interests on debt</v>
      </c>
      <c r="AE26" s="1"/>
      <c r="AF26" s="17">
        <v>-4.8875691636880525</v>
      </c>
      <c r="AG26" s="25">
        <v>-5.3306403536169791</v>
      </c>
      <c r="AH26" s="29">
        <v>8.3117817098332505E-2</v>
      </c>
      <c r="AI26" s="1"/>
      <c r="AJ26" s="1"/>
      <c r="AK26" s="17">
        <v>-1.115877941732077</v>
      </c>
      <c r="AL26" s="25">
        <v>-1.3037659834514885</v>
      </c>
      <c r="AM26" s="29">
        <v>0.14411178394301358</v>
      </c>
    </row>
    <row r="27" spans="4:39" ht="17.25" customHeight="1">
      <c r="D27" s="20" t="str">
        <f>+IF($B$3="esp","España","Spain")</f>
        <v>Spain</v>
      </c>
      <c r="F27" s="17">
        <v>-1.6535470482329329</v>
      </c>
      <c r="G27" s="25">
        <v>-22.016002147709237</v>
      </c>
      <c r="H27" s="29">
        <v>0.92489340084821048</v>
      </c>
      <c r="K27" s="17">
        <v>14.104259261766806</v>
      </c>
      <c r="L27" s="25">
        <v>12.753277072290381</v>
      </c>
      <c r="M27" s="29">
        <v>0.1059321601670339</v>
      </c>
      <c r="AD27" s="20" t="str">
        <f>+IF($B$3="esp","Otros resultados financieros","Other financial results")</f>
        <v>Other financial results</v>
      </c>
      <c r="AF27" s="17">
        <v>-3.0033057376393089</v>
      </c>
      <c r="AG27" s="25">
        <v>-5.7097089949603292</v>
      </c>
      <c r="AH27" s="29">
        <v>0.47400020906666618</v>
      </c>
      <c r="AK27" s="17">
        <v>-1.408796375049659</v>
      </c>
      <c r="AL27" s="25">
        <v>-6.7818859945924963</v>
      </c>
      <c r="AM27" s="29">
        <v>0.79227070815213407</v>
      </c>
    </row>
    <row r="28" spans="4:39" ht="17.25" customHeight="1">
      <c r="D28" s="20" t="str">
        <f>+IF($B$3="esp","Internacional","International")</f>
        <v>International</v>
      </c>
      <c r="F28" s="17">
        <v>108.37042044191359</v>
      </c>
      <c r="G28" s="25">
        <v>95.008374366329761</v>
      </c>
      <c r="H28" s="29">
        <v>0.14064071893350108</v>
      </c>
      <c r="K28" s="17">
        <v>50.543768142651679</v>
      </c>
      <c r="L28" s="25">
        <v>32.257674602746164</v>
      </c>
      <c r="M28" s="29">
        <v>0.56687575174277383</v>
      </c>
      <c r="V28" s="33"/>
      <c r="W28" s="33"/>
      <c r="AD28" s="21" t="str">
        <f>+IF($B$3="esp","Resultado puesta en equivalencia","Result from associates")</f>
        <v>Result from associates</v>
      </c>
      <c r="AF28" s="16">
        <v>1.2868213086948646</v>
      </c>
      <c r="AG28" s="24">
        <v>-5.2780158613716104</v>
      </c>
      <c r="AH28" s="28" t="s">
        <v>16</v>
      </c>
      <c r="AI28" s="15"/>
      <c r="AJ28" s="15"/>
      <c r="AK28" s="16">
        <v>1.3811341175986922</v>
      </c>
      <c r="AL28" s="24">
        <v>-2.1523403220650947</v>
      </c>
      <c r="AM28" s="28" t="s">
        <v>16</v>
      </c>
    </row>
    <row r="29" spans="4:39" ht="17.25" customHeight="1">
      <c r="D29" s="19" t="str">
        <f>+IF($B$3="esp","Latam","Latam")</f>
        <v>Latam</v>
      </c>
      <c r="F29" s="18">
        <v>108.13549273191359</v>
      </c>
      <c r="G29" s="26">
        <v>92.38718060632975</v>
      </c>
      <c r="H29" s="30">
        <v>0.1704599276894144</v>
      </c>
      <c r="K29" s="18">
        <v>51.236040352651671</v>
      </c>
      <c r="L29" s="26">
        <v>32.223461552746166</v>
      </c>
      <c r="M29" s="30">
        <v>0.59002285551426747</v>
      </c>
      <c r="V29" s="33"/>
      <c r="W29" s="33"/>
      <c r="AD29" s="21" t="str">
        <f>+IF($B$3="esp","Resultado antes de impuestos","Profit before tax")</f>
        <v>Profit before tax</v>
      </c>
      <c r="AF29" s="16">
        <v>-35.532282836889685</v>
      </c>
      <c r="AG29" s="24">
        <v>-70.420328796511569</v>
      </c>
      <c r="AH29" s="28">
        <v>0.49542577485594108</v>
      </c>
      <c r="AI29" s="9"/>
      <c r="AJ29" s="9"/>
      <c r="AK29" s="16">
        <v>-11.605674512335622</v>
      </c>
      <c r="AL29" s="24">
        <v>0.91138904528017406</v>
      </c>
      <c r="AM29" s="28" t="s">
        <v>16</v>
      </c>
    </row>
    <row r="30" spans="4:39" ht="17.25" customHeight="1">
      <c r="D30" s="19" t="str">
        <f>+IF($B$3="esp","Portugal","Portugal")</f>
        <v>Portugal</v>
      </c>
      <c r="F30" s="18">
        <v>0.23492771000000057</v>
      </c>
      <c r="G30" s="26">
        <v>2.6211937599999997</v>
      </c>
      <c r="H30" s="30">
        <v>-0.91037377183440249</v>
      </c>
      <c r="K30" s="18">
        <v>-0.69227220999999861</v>
      </c>
      <c r="L30" s="26">
        <v>3.42130499999862E-2</v>
      </c>
      <c r="M30" s="30" t="s">
        <v>16</v>
      </c>
      <c r="V30" s="33"/>
      <c r="W30" s="33"/>
      <c r="AD30" s="20" t="str">
        <f>+IF($B$3="esp","Impuesto sobre sociedades","Income tax expense")</f>
        <v>Income tax expense</v>
      </c>
      <c r="AE30" s="9"/>
      <c r="AF30" s="17">
        <v>3.7134428985065839</v>
      </c>
      <c r="AG30" s="25">
        <v>14.930662218156547</v>
      </c>
      <c r="AH30" s="29">
        <v>-0.75128746171815319</v>
      </c>
      <c r="AK30" s="17">
        <v>2.3437670680173746</v>
      </c>
      <c r="AL30" s="25">
        <v>1.6264471391879507</v>
      </c>
      <c r="AM30" s="29">
        <v>0.44103488613073888</v>
      </c>
    </row>
    <row r="31" spans="4:39" s="15" customFormat="1" ht="17.25" customHeight="1">
      <c r="D31" s="22" t="str">
        <f>+IF($B$3="esp","Margen EBITDA sin indemnizaciones ","EBITDA ex severance expenses Margin")</f>
        <v>EBITDA ex severance expenses Margin</v>
      </c>
      <c r="F31" s="23">
        <v>0.14398475375698233</v>
      </c>
      <c r="G31" s="27">
        <v>0.10417947606122166</v>
      </c>
      <c r="H31" s="31">
        <v>0.38208368097732487</v>
      </c>
      <c r="K31" s="23">
        <v>0.25309176547159651</v>
      </c>
      <c r="L31" s="27">
        <v>0.2184750796736537</v>
      </c>
      <c r="M31" s="31">
        <v>0.15844683910701093</v>
      </c>
      <c r="Q31" s="1"/>
      <c r="R31" s="1"/>
      <c r="S31" s="1"/>
      <c r="T31" s="1"/>
      <c r="U31" s="1"/>
      <c r="V31" s="33"/>
      <c r="W31" s="33"/>
      <c r="X31" s="1"/>
      <c r="Y31" s="1"/>
      <c r="Z31" s="1"/>
      <c r="AD31" s="21" t="str">
        <f>+IF($B$3="esp","Resultado operaciones en discontinuación","Results from discontinued activities")</f>
        <v>Results from discontinued activities</v>
      </c>
      <c r="AE31" s="1"/>
      <c r="AF31" s="16">
        <v>0</v>
      </c>
      <c r="AG31" s="24">
        <v>0</v>
      </c>
      <c r="AH31" s="28" t="s">
        <v>16</v>
      </c>
      <c r="AI31" s="1"/>
      <c r="AJ31" s="1"/>
      <c r="AK31" s="16">
        <v>0</v>
      </c>
      <c r="AL31" s="24">
        <v>0</v>
      </c>
      <c r="AM31" s="28" t="s">
        <v>16</v>
      </c>
    </row>
    <row r="32" spans="4:39" s="9" customFormat="1" ht="17.25" customHeight="1">
      <c r="D32" s="21" t="str">
        <f>+IF($B$3="esp","EBIT Contable","Reported EBIT")</f>
        <v>Reported EBIT</v>
      </c>
      <c r="F32" s="16">
        <v>-19.708466743778029</v>
      </c>
      <c r="G32" s="24">
        <v>-29.108441231509378</v>
      </c>
      <c r="H32" s="28">
        <v>0.32292950395282732</v>
      </c>
      <c r="K32" s="16">
        <v>9.226182208242836</v>
      </c>
      <c r="L32" s="24">
        <v>21.214277563099987</v>
      </c>
      <c r="M32" s="28">
        <v>-0.56509562105990296</v>
      </c>
      <c r="Q32" s="1"/>
      <c r="R32" s="1"/>
      <c r="S32" s="1"/>
      <c r="T32" s="1"/>
      <c r="U32" s="1"/>
      <c r="V32" s="33"/>
      <c r="W32" s="33"/>
      <c r="X32" s="1"/>
      <c r="Y32" s="1"/>
      <c r="Z32" s="1"/>
      <c r="AD32" s="21" t="str">
        <f>+IF($B$3="esp","Resultado atribuido a socios externos","Minority interest")</f>
        <v>Minority interest</v>
      </c>
      <c r="AE32" s="1"/>
      <c r="AF32" s="16">
        <v>0.79457932481447247</v>
      </c>
      <c r="AG32" s="24">
        <v>-13.324575514379761</v>
      </c>
      <c r="AH32" s="28" t="s">
        <v>16</v>
      </c>
      <c r="AI32" s="1"/>
      <c r="AJ32" s="1"/>
      <c r="AK32" s="16">
        <v>12.999876734107788</v>
      </c>
      <c r="AL32" s="24">
        <v>-10.75409382509836</v>
      </c>
      <c r="AM32" s="28" t="s">
        <v>16</v>
      </c>
    </row>
    <row r="33" spans="4:39" ht="17.25" customHeight="1">
      <c r="D33" s="20" t="str">
        <f>+IF($B$3="esp","España","Spain")</f>
        <v>Spain</v>
      </c>
      <c r="F33" s="17">
        <v>-79.634671508232159</v>
      </c>
      <c r="G33" s="25">
        <v>-56.904778797708509</v>
      </c>
      <c r="H33" s="29">
        <v>-0.39943732654381142</v>
      </c>
      <c r="K33" s="17">
        <v>-25.516788298232022</v>
      </c>
      <c r="L33" s="25">
        <v>3.127134262290987</v>
      </c>
      <c r="M33" s="29" t="s">
        <v>16</v>
      </c>
      <c r="V33" s="33"/>
      <c r="W33" s="33"/>
      <c r="AD33" s="21" t="str">
        <f>+IF($B$3="esp","Resultado Neto","Net Profit")</f>
        <v>Net Profit</v>
      </c>
      <c r="AF33" s="16">
        <v>-40.040305060210983</v>
      </c>
      <c r="AG33" s="24">
        <v>-72.026812778186866</v>
      </c>
      <c r="AH33" s="28">
        <v>0.4440916720344304</v>
      </c>
      <c r="AK33" s="16">
        <v>-26.949318314460662</v>
      </c>
      <c r="AL33" s="24">
        <v>10.038943221190166</v>
      </c>
      <c r="AM33" s="28" t="s">
        <v>16</v>
      </c>
    </row>
    <row r="34" spans="4:39" ht="17.25" customHeight="1">
      <c r="D34" s="20" t="str">
        <f>+IF($B$3="esp","Internacional","International")</f>
        <v>International</v>
      </c>
      <c r="F34" s="17">
        <v>59.926204764454127</v>
      </c>
      <c r="G34" s="25">
        <v>27.796337566199135</v>
      </c>
      <c r="H34" s="29">
        <v>1.1559028998599266</v>
      </c>
      <c r="K34" s="17">
        <v>34.742970506474848</v>
      </c>
      <c r="L34" s="25">
        <v>18.087143300809</v>
      </c>
      <c r="M34" s="29">
        <v>0.92086555232416756</v>
      </c>
      <c r="Q34" s="9"/>
      <c r="R34" s="9"/>
      <c r="S34" s="9"/>
      <c r="T34" s="9"/>
      <c r="U34" s="9"/>
      <c r="V34" s="39"/>
      <c r="W34" s="39"/>
      <c r="X34" s="9"/>
      <c r="Y34" s="9"/>
      <c r="Z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4:39" ht="17.25" customHeight="1">
      <c r="D35" s="19" t="str">
        <f>+IF($B$3="esp","Latam","Latam")</f>
        <v>Latam</v>
      </c>
      <c r="F35" s="18">
        <v>59.795270054454122</v>
      </c>
      <c r="G35" s="26">
        <v>25.337426806199137</v>
      </c>
      <c r="H35" s="30">
        <v>1.3599582748404593</v>
      </c>
      <c r="K35" s="18">
        <v>35.516811716474848</v>
      </c>
      <c r="L35" s="26">
        <v>18.085683250809016</v>
      </c>
      <c r="M35" s="30">
        <v>0.96380812513047287</v>
      </c>
    </row>
    <row r="36" spans="4:39" ht="17.25" customHeight="1">
      <c r="D36" s="19" t="str">
        <f>+IF($B$3="esp","Portugal","Portugal")</f>
        <v>Portugal</v>
      </c>
      <c r="F36" s="18">
        <v>0.1309347099999999</v>
      </c>
      <c r="G36" s="26">
        <v>2.4589107600000002</v>
      </c>
      <c r="H36" s="30">
        <v>-0.94675093048110459</v>
      </c>
      <c r="K36" s="18">
        <v>-0.77384120999999961</v>
      </c>
      <c r="L36" s="26">
        <v>1.4600499999866123E-3</v>
      </c>
      <c r="M36" s="30" t="s">
        <v>16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4:39" s="15" customFormat="1" ht="17.25" customHeight="1">
      <c r="D37" s="22" t="str">
        <f>+IF($B$3="esp","Margen EBIT ","EBIT Margin")</f>
        <v>EBIT Margin</v>
      </c>
      <c r="F37" s="23">
        <v>-2.6591096991402229E-2</v>
      </c>
      <c r="G37" s="27">
        <v>-4.1545466523198023E-2</v>
      </c>
      <c r="H37" s="31">
        <v>0.35995189808364819</v>
      </c>
      <c r="K37" s="23">
        <v>3.6119752410066847E-2</v>
      </c>
      <c r="L37" s="27">
        <v>0.10297029519124268</v>
      </c>
      <c r="M37" s="31">
        <v>-0.64922162898549474</v>
      </c>
      <c r="Q37" s="1"/>
      <c r="R37" s="1"/>
      <c r="S37" s="1"/>
      <c r="T37" s="1"/>
      <c r="U37" s="1"/>
      <c r="V37" s="1"/>
      <c r="W37" s="1"/>
      <c r="X37" s="1"/>
      <c r="Y37" s="1"/>
      <c r="Z37" s="1"/>
      <c r="AD37" s="19"/>
      <c r="AE37" s="9"/>
      <c r="AF37" s="26"/>
      <c r="AG37" s="26"/>
      <c r="AH37" s="55"/>
      <c r="AI37" s="9"/>
      <c r="AJ37" s="9"/>
      <c r="AK37" s="26"/>
      <c r="AL37" s="26"/>
      <c r="AM37" s="55"/>
    </row>
    <row r="38" spans="4:39" s="9" customFormat="1" ht="17.25" customHeight="1">
      <c r="D38" s="21" t="str">
        <f>+IF($B$3="esp","Resultado Financiero","Financial Result")</f>
        <v>Financial Result</v>
      </c>
      <c r="F38" s="16">
        <v>-63.260825517967952</v>
      </c>
      <c r="G38" s="24">
        <v>-128.82518263950081</v>
      </c>
      <c r="H38" s="28">
        <v>0.50894053304007725</v>
      </c>
      <c r="K38" s="16">
        <v>-18.0945910609896</v>
      </c>
      <c r="L38" s="24">
        <v>-69.034446005383842</v>
      </c>
      <c r="M38" s="28">
        <v>0.7378903995321634</v>
      </c>
      <c r="Q38" s="1"/>
      <c r="R38" s="1"/>
      <c r="S38" s="1"/>
      <c r="T38" s="1"/>
      <c r="U38" s="1"/>
      <c r="V38" s="1"/>
      <c r="W38" s="1"/>
      <c r="X38" s="1"/>
      <c r="Y38" s="1"/>
      <c r="Z38" s="1"/>
      <c r="AD38" s="19"/>
      <c r="AF38" s="26"/>
      <c r="AG38" s="26"/>
      <c r="AH38" s="55"/>
      <c r="AK38" s="26"/>
      <c r="AL38" s="26"/>
      <c r="AM38" s="55"/>
    </row>
    <row r="39" spans="4:39" ht="17.25" customHeight="1">
      <c r="D39" s="20" t="str">
        <f>+IF($B$3="esp","Gastos por intereses de financiación","Interests on debt")</f>
        <v>Interests on debt</v>
      </c>
      <c r="F39" s="17">
        <v>-49.730757278746374</v>
      </c>
      <c r="G39" s="25">
        <v>-71.111813409595683</v>
      </c>
      <c r="H39" s="29">
        <v>0.30066813241981244</v>
      </c>
      <c r="K39" s="17">
        <v>-11.222498114652041</v>
      </c>
      <c r="L39" s="25">
        <v>-18.223145842594491</v>
      </c>
      <c r="M39" s="29">
        <v>0.38416241566696174</v>
      </c>
    </row>
    <row r="40" spans="4:39" ht="17.25" customHeight="1">
      <c r="D40" s="20" t="str">
        <f>+IF($B$3="esp","Otros resultados financieros","Other financial results")</f>
        <v>Other financial results</v>
      </c>
      <c r="F40" s="17">
        <v>-13.530068239221578</v>
      </c>
      <c r="G40" s="25">
        <v>-57.713369229905126</v>
      </c>
      <c r="H40" s="29">
        <v>0.7655644018056954</v>
      </c>
      <c r="K40" s="17">
        <v>-6.8720929463375597</v>
      </c>
      <c r="L40" s="25">
        <v>-50.811300162789344</v>
      </c>
      <c r="M40" s="29">
        <v>0.86475266477494706</v>
      </c>
      <c r="AI40" s="33"/>
      <c r="AJ40" s="33"/>
    </row>
    <row r="41" spans="4:39" s="9" customFormat="1" ht="17.25" customHeight="1">
      <c r="D41" s="21" t="str">
        <f>+IF($B$3="esp","Resultado puesta en equivalencia","Result from associates")</f>
        <v>Result from associates</v>
      </c>
      <c r="F41" s="16">
        <v>1.4043696981948641</v>
      </c>
      <c r="G41" s="24">
        <v>-8.4580049742505992</v>
      </c>
      <c r="H41" s="28" t="s">
        <v>16</v>
      </c>
      <c r="K41" s="16">
        <v>1.4835212345986917</v>
      </c>
      <c r="L41" s="24">
        <v>-1.6372269799440833</v>
      </c>
      <c r="M41" s="28" t="s">
        <v>16</v>
      </c>
      <c r="AD41" s="1"/>
      <c r="AE41" s="1"/>
      <c r="AF41" s="1"/>
      <c r="AG41" s="1"/>
      <c r="AH41" s="1"/>
      <c r="AI41" s="33"/>
      <c r="AJ41" s="33"/>
      <c r="AK41" s="1"/>
      <c r="AL41" s="1"/>
      <c r="AM41" s="1"/>
    </row>
    <row r="42" spans="4:39" s="9" customFormat="1" ht="17.25" customHeight="1">
      <c r="D42" s="21" t="str">
        <f>+IF($B$3="esp","Resultado antes de impuestos","Profit before tax")</f>
        <v>Profit before tax</v>
      </c>
      <c r="F42" s="16">
        <v>-81.564922563551107</v>
      </c>
      <c r="G42" s="24">
        <v>-166.39162884526078</v>
      </c>
      <c r="H42" s="28">
        <v>0.50980152589644978</v>
      </c>
      <c r="K42" s="16">
        <v>-7.3848876181480705</v>
      </c>
      <c r="L42" s="24">
        <v>-49.457395422227933</v>
      </c>
      <c r="M42" s="28">
        <v>0.85068183322025415</v>
      </c>
      <c r="AD42" s="1"/>
      <c r="AE42" s="1"/>
      <c r="AF42" s="1"/>
      <c r="AG42" s="1"/>
      <c r="AH42" s="1"/>
      <c r="AI42" s="33"/>
      <c r="AJ42" s="33"/>
      <c r="AK42" s="1"/>
      <c r="AL42" s="1"/>
      <c r="AM42" s="1"/>
    </row>
    <row r="43" spans="4:39" ht="17.25" customHeight="1">
      <c r="D43" s="20" t="str">
        <f>+IF($B$3="esp","Impuesto sobre sociedades","Income tax expense")</f>
        <v>Income tax expense</v>
      </c>
      <c r="F43" s="17">
        <v>20.96892354600606</v>
      </c>
      <c r="G43" s="25">
        <v>81.071231880121672</v>
      </c>
      <c r="H43" s="29">
        <v>-0.74135185737633336</v>
      </c>
      <c r="K43" s="17">
        <v>11.331313372982441</v>
      </c>
      <c r="L43" s="25">
        <v>17.541360842754237</v>
      </c>
      <c r="M43" s="29">
        <v>-0.35402312998634672</v>
      </c>
      <c r="AI43" s="33"/>
      <c r="AJ43" s="33"/>
    </row>
    <row r="44" spans="4:39" s="9" customFormat="1" ht="17.25" customHeight="1">
      <c r="D44" s="21" t="str">
        <f>+IF($B$3="esp","Resultado operaciones en discontinuación","Results from discontinued activities")</f>
        <v>Results from discontinued activities</v>
      </c>
      <c r="F44" s="16">
        <v>-3.3080386899999996</v>
      </c>
      <c r="G44" s="24">
        <v>322.91296857999998</v>
      </c>
      <c r="H44" s="28" t="s">
        <v>16</v>
      </c>
      <c r="K44" s="16">
        <v>-3.3078386899999996</v>
      </c>
      <c r="L44" s="24">
        <v>365.97583021964397</v>
      </c>
      <c r="M44" s="28" t="s">
        <v>16</v>
      </c>
      <c r="AD44" s="1"/>
      <c r="AE44" s="1"/>
      <c r="AF44" s="1"/>
      <c r="AG44" s="1"/>
      <c r="AH44" s="1"/>
      <c r="AI44" s="33"/>
      <c r="AJ44" s="33"/>
      <c r="AK44" s="1"/>
      <c r="AL44" s="1"/>
      <c r="AM44" s="1"/>
    </row>
    <row r="45" spans="4:39" s="9" customFormat="1" ht="17.25" customHeight="1">
      <c r="D45" s="21" t="str">
        <f>+IF($B$3="esp","Resultado atribuido a socios externos","Minority interest")</f>
        <v>Minority interest</v>
      </c>
      <c r="F45" s="16">
        <v>0.66294541941499696</v>
      </c>
      <c r="G45" s="24">
        <v>-14.287293854334978</v>
      </c>
      <c r="H45" s="28" t="s">
        <v>16</v>
      </c>
      <c r="K45" s="16">
        <v>2.6338868781056126</v>
      </c>
      <c r="L45" s="24">
        <v>-5.9636689574576351E-2</v>
      </c>
      <c r="M45" s="28" t="s">
        <v>16</v>
      </c>
      <c r="AD45" s="1"/>
      <c r="AE45" s="1"/>
      <c r="AF45" s="1"/>
      <c r="AG45" s="1"/>
      <c r="AH45" s="1"/>
      <c r="AI45" s="33"/>
      <c r="AJ45" s="33"/>
      <c r="AK45" s="1"/>
      <c r="AL45" s="1"/>
      <c r="AM45" s="1"/>
    </row>
    <row r="46" spans="4:39" s="9" customFormat="1" ht="17.25" customHeight="1">
      <c r="D46" s="21" t="str">
        <f>+IF($B$3="esp","Resultado Neto","Net Profit")</f>
        <v>Net Profit</v>
      </c>
      <c r="F46" s="16">
        <v>-106.50483021897217</v>
      </c>
      <c r="G46" s="24">
        <v>89.737401708952504</v>
      </c>
      <c r="H46" s="28" t="s">
        <v>16</v>
      </c>
      <c r="K46" s="16">
        <v>-24.657926559235918</v>
      </c>
      <c r="L46" s="24">
        <v>299.03671064423639</v>
      </c>
      <c r="M46" s="28" t="s">
        <v>16</v>
      </c>
      <c r="AI46" s="39"/>
      <c r="AJ46" s="39"/>
    </row>
    <row r="47" spans="4:39" ht="17.25" customHeight="1"/>
    <row r="48" spans="4:39">
      <c r="D48" s="54" t="str">
        <f>+IF($B$3="esp","Venta Santillana España","Santillana Spain disposal")</f>
        <v>Santillana Spain disposal</v>
      </c>
      <c r="E48" s="33"/>
      <c r="F48" s="32"/>
      <c r="G48" s="25">
        <f>+[18]GRUPO!AF49</f>
        <v>-377.34399999999999</v>
      </c>
      <c r="H48" s="35" t="s">
        <v>16</v>
      </c>
      <c r="I48" s="33"/>
      <c r="J48" s="33"/>
      <c r="K48" s="32"/>
      <c r="L48" s="25">
        <f>+[18]GRUPO!AK49</f>
        <v>-377.34399999999999</v>
      </c>
      <c r="M48" s="35" t="s">
        <v>16</v>
      </c>
    </row>
    <row r="49" spans="4:42">
      <c r="D49" s="54" t="str">
        <f>+IF($B$3="esp","Deterioro por venta MC","MC impairment")</f>
        <v>MC impairment</v>
      </c>
      <c r="E49" s="33"/>
      <c r="F49" s="32"/>
      <c r="G49" s="25">
        <v>77.290000000000006</v>
      </c>
      <c r="H49" s="35">
        <v>-1</v>
      </c>
      <c r="I49" s="33"/>
      <c r="J49" s="33"/>
      <c r="K49" s="32"/>
      <c r="L49" s="25">
        <v>0</v>
      </c>
      <c r="M49" s="35" t="s">
        <v>16</v>
      </c>
    </row>
    <row r="50" spans="4:42">
      <c r="D50" s="54" t="str">
        <f>+IF($B$3="esp","Deterioros fiscales","Tax impairments")</f>
        <v>Tax impairments</v>
      </c>
      <c r="E50" s="33"/>
      <c r="F50" s="32"/>
      <c r="G50" s="25">
        <v>62.358979453255635</v>
      </c>
      <c r="H50" s="35">
        <v>-1</v>
      </c>
      <c r="I50" s="33"/>
      <c r="J50" s="33"/>
      <c r="K50" s="32"/>
      <c r="L50" s="25">
        <v>-2.1273306783333155</v>
      </c>
      <c r="M50" s="35">
        <v>1</v>
      </c>
    </row>
    <row r="51" spans="4:42">
      <c r="D51" s="54" t="str">
        <f>+IF($B$3="esp","Deterioros Activos Radio","Radio Assests impairments")</f>
        <v>Radio Assests impairments</v>
      </c>
      <c r="E51" s="33"/>
      <c r="F51" s="32"/>
      <c r="G51" s="25">
        <v>26.026887095914763</v>
      </c>
      <c r="H51" s="35">
        <v>-1</v>
      </c>
      <c r="I51" s="33"/>
      <c r="J51" s="33"/>
      <c r="K51" s="32"/>
      <c r="L51" s="25">
        <v>4.1053665724594843</v>
      </c>
      <c r="M51" s="35">
        <v>-1</v>
      </c>
    </row>
    <row r="52" spans="4:42">
      <c r="D52" s="54" t="str">
        <f>+IF($B$3="esp","Renegociación alquileres","Leases renegotiation")</f>
        <v>Leases renegotiation</v>
      </c>
      <c r="E52" s="33"/>
      <c r="F52" s="17">
        <v>12.653449839999999</v>
      </c>
      <c r="G52" s="34"/>
      <c r="H52" s="35"/>
      <c r="I52" s="33"/>
      <c r="J52" s="33"/>
      <c r="K52" s="32">
        <v>12.653449839999999</v>
      </c>
      <c r="L52" s="34"/>
      <c r="M52" s="35"/>
    </row>
    <row r="53" spans="4:42">
      <c r="D53" s="54" t="str">
        <f>+IF($B$3="esp","Contencioso DTS","DTS rulling")</f>
        <v>DTS rulling</v>
      </c>
      <c r="E53" s="33"/>
      <c r="F53" s="17">
        <v>3.32</v>
      </c>
      <c r="G53" s="34"/>
      <c r="H53" s="35"/>
      <c r="I53" s="33"/>
      <c r="J53" s="33"/>
      <c r="K53" s="17">
        <v>3.32</v>
      </c>
      <c r="L53" s="34"/>
      <c r="M53" s="35"/>
    </row>
    <row r="54" spans="4:42" s="9" customFormat="1" ht="17.25" customHeight="1">
      <c r="D54" s="40" t="str">
        <f>+IF($B$3="esp","Resultado Neto Comparable","Comparable Net Profit")</f>
        <v>Comparable Net Profit</v>
      </c>
      <c r="E54" s="39"/>
      <c r="F54" s="44">
        <v>-90.531380378972187</v>
      </c>
      <c r="G54" s="24">
        <f>+G46+G48+G49+G50+G51</f>
        <v>-121.93073174187705</v>
      </c>
      <c r="H54" s="45">
        <f t="shared" ref="H54" si="0">IF(G54=0,"---",IF(OR(ABS((F54-G54)/ABS(G54))&gt;9,(F54*G54)&lt;0),"---",IF(G54="0","---",((F54-G54)/ABS(G54)))))</f>
        <v>0.25751794411745316</v>
      </c>
      <c r="I54" s="39"/>
      <c r="J54" s="39"/>
      <c r="K54" s="44">
        <v>-8.6844767192359189</v>
      </c>
      <c r="L54" s="24">
        <f>+L46+L48+L49+L50+L51</f>
        <v>-76.329253461637435</v>
      </c>
      <c r="M54" s="45">
        <f t="shared" ref="M54" si="1">IF(L54=0,"---",IF(OR(ABS((K54-L54)/ABS(L54))&gt;9,(K54*L54)&lt;0),"---",IF(L54="0","---",((K54-L54)/ABS(L54)))))</f>
        <v>0.88622348149126495</v>
      </c>
    </row>
    <row r="59" spans="4:42"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4:42" s="51" customFormat="1">
      <c r="F60" s="52"/>
      <c r="G60" s="52"/>
      <c r="K60" s="52"/>
      <c r="L60" s="52"/>
    </row>
    <row r="63" spans="4:42">
      <c r="D63" s="2"/>
      <c r="E63" s="2"/>
      <c r="F63" s="6" t="str">
        <f>+$F$6</f>
        <v>JANUARY - DECEMBER</v>
      </c>
      <c r="G63" s="7"/>
      <c r="H63" s="7"/>
      <c r="I63" s="2"/>
      <c r="J63" s="2"/>
      <c r="K63" s="6" t="str">
        <f>+K6</f>
        <v>OCTOBER - DECEMBER</v>
      </c>
      <c r="L63" s="7"/>
      <c r="M63" s="7"/>
      <c r="Q63" s="2"/>
      <c r="R63" s="2"/>
      <c r="S63" s="6" t="str">
        <f>+$F$6</f>
        <v>JANUARY - DECEMBER</v>
      </c>
      <c r="T63" s="7"/>
      <c r="U63" s="7"/>
      <c r="V63" s="2"/>
      <c r="W63" s="2"/>
      <c r="X63" s="6" t="str">
        <f>+X6</f>
        <v>OCTOBER - DECEMBER</v>
      </c>
      <c r="Y63" s="7"/>
      <c r="Z63" s="7"/>
      <c r="AD63" s="2"/>
      <c r="AE63" s="2"/>
      <c r="AF63" s="6" t="str">
        <f>+$F$6</f>
        <v>JANUARY - DECEMBER</v>
      </c>
      <c r="AG63" s="7"/>
      <c r="AH63" s="7"/>
      <c r="AI63" s="2"/>
      <c r="AJ63" s="2"/>
      <c r="AK63" s="6" t="str">
        <f>+AK6</f>
        <v>OCTOBER - DECEMBER</v>
      </c>
      <c r="AL63" s="7"/>
      <c r="AM63" s="7"/>
    </row>
    <row r="64" spans="4:42">
      <c r="D64" s="2"/>
      <c r="E64" s="2"/>
      <c r="F64" s="2"/>
      <c r="G64" s="2"/>
      <c r="H64" s="2"/>
      <c r="I64" s="2"/>
      <c r="J64" s="2"/>
      <c r="K64" s="2"/>
      <c r="L64" s="2"/>
      <c r="M64" s="2"/>
      <c r="Q64" s="2"/>
      <c r="R64" s="2"/>
      <c r="S64" s="2"/>
      <c r="T64" s="2"/>
      <c r="U64" s="2"/>
      <c r="V64" s="2"/>
      <c r="W64" s="2"/>
      <c r="X64" s="2"/>
      <c r="Y64" s="2"/>
      <c r="Z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4:39">
      <c r="D65" s="4" t="str">
        <f>+IF($B$3="esp","Millones de €","€ Millions")</f>
        <v>€ Millions</v>
      </c>
      <c r="E65" s="2"/>
      <c r="F65" s="8">
        <v>2021</v>
      </c>
      <c r="G65" s="8">
        <v>2020</v>
      </c>
      <c r="H65" s="8" t="str">
        <f>+IF($B$3="esp","Var.","Chg.")</f>
        <v>Chg.</v>
      </c>
      <c r="I65" s="2"/>
      <c r="J65" s="2"/>
      <c r="K65" s="8">
        <v>2021</v>
      </c>
      <c r="L65" s="8">
        <v>2020</v>
      </c>
      <c r="M65" s="8" t="str">
        <f>+IF($B$3="esp","Var.","Chg.")</f>
        <v>Chg.</v>
      </c>
      <c r="Q65" s="4" t="str">
        <f>+IF($B$3="esp","Millones de €","€ Millions")</f>
        <v>€ Millions</v>
      </c>
      <c r="R65" s="2"/>
      <c r="S65" s="8">
        <v>2021</v>
      </c>
      <c r="T65" s="8">
        <v>2020</v>
      </c>
      <c r="U65" s="8" t="str">
        <f>+IF($B$3="esp","Var.","Chg.")</f>
        <v>Chg.</v>
      </c>
      <c r="V65" s="2"/>
      <c r="W65" s="2"/>
      <c r="X65" s="8">
        <v>2021</v>
      </c>
      <c r="Y65" s="8">
        <v>2020</v>
      </c>
      <c r="Z65" s="8" t="str">
        <f>+IF($B$3="esp","Var.","Chg.")</f>
        <v>Chg.</v>
      </c>
      <c r="AD65" s="4" t="str">
        <f>+IF($B$3="esp","Millones de €","€ Millions")</f>
        <v>€ Millions</v>
      </c>
      <c r="AE65" s="2"/>
      <c r="AF65" s="8">
        <v>2021</v>
      </c>
      <c r="AG65" s="8">
        <v>2020</v>
      </c>
      <c r="AH65" s="8" t="str">
        <f>+IF($B$3="esp","Var.","Chg.")</f>
        <v>Chg.</v>
      </c>
      <c r="AI65" s="2"/>
      <c r="AJ65" s="2"/>
      <c r="AK65" s="8">
        <v>2021</v>
      </c>
      <c r="AL65" s="8">
        <v>2020</v>
      </c>
      <c r="AM65" s="8" t="str">
        <f>+IF($B$3="esp","Var.","Chg.")</f>
        <v>Chg.</v>
      </c>
    </row>
    <row r="66" spans="4:39" ht="15">
      <c r="D66" s="10" t="str">
        <f>+IF($B$3="esp","Resultados a tipo de cambio constante","Results at constant currency")</f>
        <v>Results at constant currency</v>
      </c>
      <c r="F66" s="11"/>
      <c r="G66" s="11"/>
      <c r="H66" s="11"/>
      <c r="K66" s="11"/>
      <c r="L66" s="11"/>
      <c r="M66" s="11"/>
      <c r="Q66" s="10" t="str">
        <f>+IF($B$3="esp","Resultados a tipo de cambio constante","Results at constant currency")</f>
        <v>Results at constant currency</v>
      </c>
      <c r="S66" s="11"/>
      <c r="T66" s="11"/>
      <c r="U66" s="11"/>
      <c r="X66" s="11"/>
      <c r="Y66" s="11"/>
      <c r="Z66" s="11"/>
      <c r="AD66" s="10" t="str">
        <f>+IF($B$3="esp","Resultados a tipo de cambio constante","Results at constant currency")</f>
        <v>Results at constant currency</v>
      </c>
      <c r="AF66" s="11"/>
      <c r="AG66" s="11"/>
      <c r="AH66" s="11"/>
      <c r="AK66" s="11"/>
      <c r="AL66" s="11"/>
      <c r="AM66" s="11"/>
    </row>
    <row r="67" spans="4:39" ht="15.75" customHeight="1">
      <c r="D67" s="21" t="str">
        <f>+IF($B$3="esp","Ingresos de Explotación","Operating Revenues")</f>
        <v>Operating Revenues</v>
      </c>
      <c r="E67" s="9"/>
      <c r="F67" s="16">
        <v>766.15188471543547</v>
      </c>
      <c r="G67" s="24">
        <v>700.64061539075271</v>
      </c>
      <c r="H67" s="28">
        <v>9.3501957901978905E-2</v>
      </c>
      <c r="I67" s="9"/>
      <c r="J67" s="9"/>
      <c r="K67" s="16">
        <v>257.65820847723967</v>
      </c>
      <c r="L67" s="24">
        <v>206.02327616619476</v>
      </c>
      <c r="M67" s="28">
        <v>0.2506266926334676</v>
      </c>
      <c r="Q67" s="21" t="str">
        <f>+IF($B$3="esp","Ingresos de Explotación","Operating Revenues")</f>
        <v>Operating Revenues</v>
      </c>
      <c r="R67" s="9"/>
      <c r="S67" s="16">
        <v>381.98994768882687</v>
      </c>
      <c r="T67" s="24">
        <v>365.82876402163862</v>
      </c>
      <c r="U67" s="28">
        <v>4.4176908041687848E-2</v>
      </c>
      <c r="V67" s="9"/>
      <c r="W67" s="9"/>
      <c r="X67" s="16">
        <v>137.21704958759673</v>
      </c>
      <c r="Y67" s="24">
        <v>94.951608868514313</v>
      </c>
      <c r="Z67" s="28">
        <v>0.4451261144780615</v>
      </c>
      <c r="AD67" s="21" t="str">
        <f>+IF($B$3="esp","Ingresos de Explotación","Operating Revenues")</f>
        <v>Operating Revenues</v>
      </c>
      <c r="AE67" s="9"/>
      <c r="AF67" s="16">
        <v>385.14700551521872</v>
      </c>
      <c r="AG67" s="24">
        <v>335.87835637513354</v>
      </c>
      <c r="AH67" s="28">
        <v>0.14668598974879571</v>
      </c>
      <c r="AI67" s="9"/>
      <c r="AJ67" s="9"/>
      <c r="AK67" s="16">
        <v>120.38003124428354</v>
      </c>
      <c r="AL67" s="24">
        <v>111.49950008629034</v>
      </c>
      <c r="AM67" s="28">
        <v>7.9646376451199249E-2</v>
      </c>
    </row>
    <row r="68" spans="4:39" ht="15.75" customHeight="1">
      <c r="D68" s="20" t="str">
        <f>+IF($B$3="esp","España","Spain")</f>
        <v>Spain</v>
      </c>
      <c r="F68" s="17">
        <v>319.22329742999966</v>
      </c>
      <c r="G68" s="25">
        <v>285.44958151999862</v>
      </c>
      <c r="H68" s="29">
        <v>0.11831762278353473</v>
      </c>
      <c r="K68" s="17">
        <v>98.026513859999454</v>
      </c>
      <c r="L68" s="25">
        <v>94.641917619998054</v>
      </c>
      <c r="M68" s="29">
        <v>3.5762126604313722E-2</v>
      </c>
      <c r="Q68" s="21" t="str">
        <f>+IF($B$3="esp","Gastos de Explotación","Expenses")</f>
        <v>Expenses</v>
      </c>
      <c r="R68" s="9"/>
      <c r="S68" s="16">
        <v>305.52597865089763</v>
      </c>
      <c r="T68" s="24">
        <v>288.80144150360229</v>
      </c>
      <c r="U68" s="28">
        <v>5.7910158135712514E-2</v>
      </c>
      <c r="V68" s="9"/>
      <c r="W68" s="9"/>
      <c r="X68" s="16">
        <v>96.488799776875098</v>
      </c>
      <c r="Y68" s="24">
        <v>69.178269910007884</v>
      </c>
      <c r="Z68" s="28">
        <v>0.39478480601487626</v>
      </c>
      <c r="AD68" s="21" t="str">
        <f>+IF($B$3="esp","Gastos de Explotación","Expenses")</f>
        <v>Expenses</v>
      </c>
      <c r="AE68" s="9"/>
      <c r="AF68" s="16">
        <v>374.86464415699493</v>
      </c>
      <c r="AG68" s="24">
        <v>341.25323246973261</v>
      </c>
      <c r="AH68" s="28">
        <v>9.8494046324509102E-2</v>
      </c>
      <c r="AI68" s="2"/>
      <c r="AJ68" s="2"/>
      <c r="AK68" s="16">
        <v>109.77138613676379</v>
      </c>
      <c r="AL68" s="24">
        <v>93.689828547305098</v>
      </c>
      <c r="AM68" s="28">
        <v>0.17164678214069876</v>
      </c>
    </row>
    <row r="69" spans="4:39" ht="15.75" customHeight="1">
      <c r="D69" s="20" t="str">
        <f>+IF($B$3="esp","Internacional","International")</f>
        <v>International</v>
      </c>
      <c r="F69" s="17">
        <v>446.92858728543575</v>
      </c>
      <c r="G69" s="25">
        <v>415.19103387075404</v>
      </c>
      <c r="H69" s="29">
        <v>7.6440844877592867E-2</v>
      </c>
      <c r="K69" s="17">
        <v>159.63169461724016</v>
      </c>
      <c r="L69" s="25">
        <v>111.38135854619662</v>
      </c>
      <c r="M69" s="29">
        <v>0.4331993854342438</v>
      </c>
      <c r="Q69" s="21" t="str">
        <f>+IF($B$3="esp","EBITDA Contable","Reported EBITDA")</f>
        <v>Reported EBITDA</v>
      </c>
      <c r="R69" s="9"/>
      <c r="S69" s="16">
        <v>76.463969037929246</v>
      </c>
      <c r="T69" s="24">
        <v>77.027322518036357</v>
      </c>
      <c r="U69" s="28">
        <v>-7.3136837902576524E-3</v>
      </c>
      <c r="V69" s="9"/>
      <c r="W69" s="9"/>
      <c r="X69" s="16">
        <v>40.728249810721636</v>
      </c>
      <c r="Y69" s="24">
        <v>25.773338958506436</v>
      </c>
      <c r="Z69" s="28">
        <v>0.58024731977070299</v>
      </c>
      <c r="AD69" s="21" t="str">
        <f>+IF($B$3="esp","EBITDA","EBITDA")</f>
        <v>EBITDA</v>
      </c>
      <c r="AE69" s="9"/>
      <c r="AF69" s="16">
        <v>10.282361358223802</v>
      </c>
      <c r="AG69" s="24">
        <v>-5.3748760945990499</v>
      </c>
      <c r="AH69" s="28" t="s">
        <v>16</v>
      </c>
      <c r="AK69" s="16">
        <v>10.608645107519745</v>
      </c>
      <c r="AL69" s="24">
        <v>17.809671538985249</v>
      </c>
      <c r="AM69" s="28">
        <v>-0.40433235479399532</v>
      </c>
    </row>
    <row r="70" spans="4:39" ht="15.75" customHeight="1">
      <c r="D70" s="19" t="str">
        <f>+IF($B$3="esp","Latam","Latam")</f>
        <v>Latam</v>
      </c>
      <c r="E70" s="2"/>
      <c r="F70" s="18">
        <v>444.43893928543577</v>
      </c>
      <c r="G70" s="26">
        <v>410.35625187075408</v>
      </c>
      <c r="H70" s="30">
        <v>8.3056337656130991E-2</v>
      </c>
      <c r="I70" s="2"/>
      <c r="J70" s="2"/>
      <c r="K70" s="18">
        <v>159.36070861724016</v>
      </c>
      <c r="L70" s="26">
        <v>110.92353054619667</v>
      </c>
      <c r="M70" s="30">
        <v>0.43667180293067487</v>
      </c>
      <c r="Q70" s="22" t="str">
        <f>+IF($B$3="esp","Margen EBITDA ","EBITDA Margin")</f>
        <v>EBITDA Margin</v>
      </c>
      <c r="R70" s="15"/>
      <c r="S70" s="23">
        <v>0.20017272574988706</v>
      </c>
      <c r="T70" s="27">
        <v>0.21055567547848758</v>
      </c>
      <c r="U70" s="31">
        <v>-4.9312134213458134E-2</v>
      </c>
      <c r="V70" s="15"/>
      <c r="W70" s="15"/>
      <c r="X70" s="23">
        <v>0.29681624793077555</v>
      </c>
      <c r="Y70" s="27">
        <v>0.27143656927600313</v>
      </c>
      <c r="Z70" s="31">
        <v>9.3501324167436561E-2</v>
      </c>
      <c r="AD70" s="22" t="str">
        <f>+IF($B$3="esp","Margen EBITDA ","EBITDA Margin")</f>
        <v>EBITDA Margin</v>
      </c>
      <c r="AE70" s="15"/>
      <c r="AF70" s="23">
        <v>2.6697238225879195E-2</v>
      </c>
      <c r="AG70" s="27">
        <v>-1.6002448483450345E-2</v>
      </c>
      <c r="AH70" s="31" t="s">
        <v>16</v>
      </c>
      <c r="AK70" s="23">
        <v>8.8126286377114685E-2</v>
      </c>
      <c r="AL70" s="27">
        <v>0.15972871201397498</v>
      </c>
      <c r="AM70" s="31">
        <v>-0.44827523326298191</v>
      </c>
    </row>
    <row r="71" spans="4:39" ht="15.75" customHeight="1">
      <c r="D71" s="19" t="str">
        <f>+IF($B$3="esp","Portugal","Portugal")</f>
        <v>Portugal</v>
      </c>
      <c r="E71" s="2"/>
      <c r="F71" s="18">
        <v>2.4896480000000003</v>
      </c>
      <c r="G71" s="26">
        <v>4.8347820000000015</v>
      </c>
      <c r="H71" s="30">
        <v>-0.48505475531264913</v>
      </c>
      <c r="I71" s="2"/>
      <c r="J71" s="2"/>
      <c r="K71" s="18">
        <v>0.27098600000000062</v>
      </c>
      <c r="L71" s="26">
        <v>0.4578280000000019</v>
      </c>
      <c r="M71" s="30">
        <v>-0.40810522729059934</v>
      </c>
      <c r="Q71" s="21" t="str">
        <f>+IF($B$3="esp","EBITDA sin indemnizaciones","EBITDA ex severance expenses")</f>
        <v>EBITDA ex severance expenses</v>
      </c>
      <c r="R71" s="9"/>
      <c r="S71" s="16">
        <v>82.740997785204698</v>
      </c>
      <c r="T71" s="24">
        <v>80.881857585791465</v>
      </c>
      <c r="U71" s="28">
        <v>2.2985874149109901E-2</v>
      </c>
      <c r="V71" s="9"/>
      <c r="W71" s="9"/>
      <c r="X71" s="16">
        <v>43.135040442664483</v>
      </c>
      <c r="Y71" s="24">
        <v>27.718393178851017</v>
      </c>
      <c r="Z71" s="28">
        <v>0.55618834628467151</v>
      </c>
      <c r="AD71" s="21" t="str">
        <f>+IF($B$3="esp","EBITDA sin indemnizaciones","EBITDA ex severance expenses")</f>
        <v>EBITDA ex severance expenses</v>
      </c>
      <c r="AE71" s="9"/>
      <c r="AF71" s="16">
        <v>42.258507939631471</v>
      </c>
      <c r="AG71" s="24">
        <v>-0.77382043717008486</v>
      </c>
      <c r="AH71" s="28" t="s">
        <v>16</v>
      </c>
      <c r="AI71" s="9"/>
      <c r="AJ71" s="9"/>
      <c r="AK71" s="16">
        <v>27.551254217757464</v>
      </c>
      <c r="AL71" s="24">
        <v>20.356331476186373</v>
      </c>
      <c r="AM71" s="28">
        <v>0.3534488888623174</v>
      </c>
    </row>
    <row r="72" spans="4:39" ht="15.75" customHeight="1">
      <c r="D72" s="21" t="str">
        <f>+IF($B$3="esp","Gastos de Explotación","Expenses")</f>
        <v>Expenses</v>
      </c>
      <c r="E72" s="9"/>
      <c r="F72" s="16">
        <v>695.48764479928263</v>
      </c>
      <c r="G72" s="24">
        <v>636.77529041731623</v>
      </c>
      <c r="H72" s="28">
        <v>9.2202626680895156E-2</v>
      </c>
      <c r="I72" s="9"/>
      <c r="J72" s="9"/>
      <c r="K72" s="16">
        <v>209.59724850899889</v>
      </c>
      <c r="L72" s="24">
        <v>165.44639433870393</v>
      </c>
      <c r="M72" s="28">
        <v>0.26685896871169512</v>
      </c>
      <c r="Q72" s="22" t="str">
        <f>+IF($B$3="esp","Margen EBITDA sin indemnizaciones ","EBITDA ex severance expenses Margin")</f>
        <v>EBITDA ex severance expenses Margin</v>
      </c>
      <c r="R72" s="15"/>
      <c r="S72" s="23">
        <v>0.21660517059628598</v>
      </c>
      <c r="T72" s="27">
        <v>0.22109212161624156</v>
      </c>
      <c r="U72" s="31">
        <v>-2.02944862401916E-2</v>
      </c>
      <c r="V72" s="15"/>
      <c r="W72" s="15"/>
      <c r="X72" s="23">
        <v>0.31435627403668887</v>
      </c>
      <c r="Y72" s="27">
        <v>0.29192125872489938</v>
      </c>
      <c r="Z72" s="31">
        <v>7.6852968536052335E-2</v>
      </c>
      <c r="AD72" s="22" t="str">
        <f>+IF($B$3="esp","Margen EBITDA sin indemnizaciones ","EBITDA ex severance expenses Margin")</f>
        <v>EBITDA ex severance expenses Margin</v>
      </c>
      <c r="AE72" s="15"/>
      <c r="AF72" s="23">
        <v>0.10972046344512386</v>
      </c>
      <c r="AG72" s="27">
        <v>-2.3038710964329765E-3</v>
      </c>
      <c r="AH72" s="31" t="s">
        <v>16</v>
      </c>
      <c r="AK72" s="23">
        <v>0.22886897380719681</v>
      </c>
      <c r="AL72" s="27">
        <v>0.18256881385506166</v>
      </c>
      <c r="AM72" s="31">
        <v>0.25360388214436275</v>
      </c>
    </row>
    <row r="73" spans="4:39" ht="15.75" customHeight="1">
      <c r="D73" s="20" t="str">
        <f>+IF($B$3="esp","España","Spain")</f>
        <v>Spain</v>
      </c>
      <c r="F73" s="17">
        <v>357.67605249823259</v>
      </c>
      <c r="G73" s="25">
        <v>313.07830303770788</v>
      </c>
      <c r="H73" s="29">
        <v>0.14244918612310625</v>
      </c>
      <c r="K73" s="17">
        <v>100.82630406823267</v>
      </c>
      <c r="L73" s="25">
        <v>84.692009207707684</v>
      </c>
      <c r="M73" s="29">
        <v>0.19050551535453042</v>
      </c>
      <c r="Q73" s="21" t="str">
        <f>+IF($B$3="esp","EBIT Contable","Reported EBIT")</f>
        <v>Reported EBIT</v>
      </c>
      <c r="R73" s="9"/>
      <c r="S73" s="16">
        <v>30.793764517857205</v>
      </c>
      <c r="T73" s="24">
        <v>34.140777915053164</v>
      </c>
      <c r="U73" s="28">
        <v>-9.803565125328359E-2</v>
      </c>
      <c r="V73" s="9"/>
      <c r="W73" s="9"/>
      <c r="X73" s="16">
        <v>25.386963857465485</v>
      </c>
      <c r="Y73" s="24">
        <v>13.321916347710953</v>
      </c>
      <c r="Z73" s="28">
        <v>0.90565405117767583</v>
      </c>
      <c r="AD73" s="21" t="str">
        <f>+IF($B$3="esp","EBIT","EBIT")</f>
        <v>EBIT</v>
      </c>
      <c r="AE73" s="9"/>
      <c r="AF73" s="16">
        <v>-28.796227235135447</v>
      </c>
      <c r="AG73" s="24">
        <v>-54.101963586562654</v>
      </c>
      <c r="AH73" s="28">
        <v>0.46774155083924557</v>
      </c>
      <c r="AK73" s="16">
        <v>-9.9713174080876712</v>
      </c>
      <c r="AL73" s="24">
        <v>11.149381345389251</v>
      </c>
      <c r="AM73" s="28" t="s">
        <v>16</v>
      </c>
    </row>
    <row r="74" spans="4:39" ht="15.75" customHeight="1">
      <c r="D74" s="20" t="str">
        <f>+IF($B$3="esp","Internacional","International")</f>
        <v>International</v>
      </c>
      <c r="F74" s="17">
        <v>337.81159230104998</v>
      </c>
      <c r="G74" s="25">
        <v>323.69698737960834</v>
      </c>
      <c r="H74" s="29">
        <v>4.3604375300808886E-2</v>
      </c>
      <c r="K74" s="17">
        <v>108.77094444076616</v>
      </c>
      <c r="L74" s="25">
        <v>80.754385130996184</v>
      </c>
      <c r="M74" s="29">
        <v>0.34693545451832436</v>
      </c>
      <c r="Q74" s="22" t="str">
        <f>+IF($B$3="esp","Margen EBIT ","EBIT Margin")</f>
        <v>EBIT Margin</v>
      </c>
      <c r="R74" s="15"/>
      <c r="S74" s="23">
        <v>8.061407035491451E-2</v>
      </c>
      <c r="T74" s="27">
        <v>9.3324476565855144E-2</v>
      </c>
      <c r="U74" s="31">
        <v>-0.13619584784889135</v>
      </c>
      <c r="V74" s="15"/>
      <c r="W74" s="15"/>
      <c r="X74" s="23">
        <v>0.18501318847596218</v>
      </c>
      <c r="Y74" s="27">
        <v>0.14030216556055075</v>
      </c>
      <c r="Z74" s="31">
        <v>0.31867664149571034</v>
      </c>
      <c r="AD74" s="22" t="str">
        <f>+IF($B$3="esp","Margen EBIT ","EBIT Margin")</f>
        <v>EBIT Margin</v>
      </c>
      <c r="AE74" s="15"/>
      <c r="AF74" s="23">
        <v>-7.4766847003299858E-2</v>
      </c>
      <c r="AG74" s="27">
        <v>-0.16107606387753554</v>
      </c>
      <c r="AH74" s="31">
        <v>0.53582894190818864</v>
      </c>
      <c r="AK74" s="23">
        <v>-8.2831988869093903E-2</v>
      </c>
      <c r="AL74" s="27">
        <v>9.9994899858390912E-2</v>
      </c>
      <c r="AM74" s="31" t="s">
        <v>16</v>
      </c>
    </row>
    <row r="75" spans="4:39" ht="15.75" customHeight="1">
      <c r="D75" s="19" t="str">
        <f>+IF($B$3="esp","Latam","Latam")</f>
        <v>Latam</v>
      </c>
      <c r="F75" s="18">
        <v>335.54687201105003</v>
      </c>
      <c r="G75" s="26">
        <v>321.44116713960841</v>
      </c>
      <c r="H75" s="30">
        <v>4.3882695539477129E-2</v>
      </c>
      <c r="K75" s="18">
        <v>107.80768623076617</v>
      </c>
      <c r="L75" s="26">
        <v>80.288538180996227</v>
      </c>
      <c r="M75" s="30">
        <v>0.34275313355105452</v>
      </c>
    </row>
    <row r="76" spans="4:39" ht="15.75" customHeight="1">
      <c r="D76" s="19" t="str">
        <f>+IF($B$3="esp","Portugal","Portugal")</f>
        <v>Portugal</v>
      </c>
      <c r="F76" s="18">
        <v>2.2647202899999996</v>
      </c>
      <c r="G76" s="26">
        <v>2.2558202400000016</v>
      </c>
      <c r="H76" s="30">
        <v>3.9453719947109096E-3</v>
      </c>
      <c r="K76" s="18">
        <v>0.96325820999999923</v>
      </c>
      <c r="L76" s="26">
        <v>0.46584695000001553</v>
      </c>
      <c r="M76" s="30">
        <v>1.0677568244247755</v>
      </c>
      <c r="AD76" s="19"/>
      <c r="AF76" s="26"/>
      <c r="AG76" s="26"/>
      <c r="AH76" s="55"/>
      <c r="AI76" s="15"/>
      <c r="AJ76" s="15"/>
      <c r="AK76" s="26"/>
      <c r="AL76" s="26"/>
      <c r="AM76" s="55"/>
    </row>
    <row r="77" spans="4:39" ht="15.75" customHeight="1">
      <c r="D77" s="21" t="str">
        <f>+IF($B$3="esp","EBITDA","EBITDA")</f>
        <v>EBITDA</v>
      </c>
      <c r="E77" s="9"/>
      <c r="F77" s="16">
        <v>70.664239916152809</v>
      </c>
      <c r="G77" s="24">
        <v>63.865324973436444</v>
      </c>
      <c r="H77" s="28">
        <v>0.10645706328973106</v>
      </c>
      <c r="I77" s="9"/>
      <c r="J77" s="9"/>
      <c r="K77" s="16">
        <v>48.060959968240788</v>
      </c>
      <c r="L77" s="24">
        <v>40.57688182749083</v>
      </c>
      <c r="M77" s="28">
        <v>0.18444192366894729</v>
      </c>
      <c r="AD77" s="19"/>
      <c r="AF77" s="26"/>
      <c r="AG77" s="26"/>
      <c r="AH77" s="55"/>
      <c r="AK77" s="26"/>
      <c r="AL77" s="26"/>
      <c r="AM77" s="55"/>
    </row>
    <row r="78" spans="4:39" ht="15.75" customHeight="1">
      <c r="D78" s="20" t="str">
        <f>+IF($B$3="esp","España","Spain")</f>
        <v>Spain</v>
      </c>
      <c r="F78" s="17">
        <v>-38.452755068232946</v>
      </c>
      <c r="G78" s="25">
        <v>-27.628721517709238</v>
      </c>
      <c r="H78" s="29">
        <v>-0.39176744184799883</v>
      </c>
      <c r="K78" s="17">
        <v>-2.7997902082332189</v>
      </c>
      <c r="L78" s="25">
        <v>9.9499084122903767</v>
      </c>
      <c r="M78" s="29" t="s">
        <v>16</v>
      </c>
      <c r="Q78" s="62" t="str">
        <f>+IF($B$3="esp","Resultados por Campaña","Perfomance by Campaign")</f>
        <v>Perfomance by Campaign</v>
      </c>
      <c r="R78" s="2"/>
      <c r="S78" s="64" t="str">
        <f>+$F$6</f>
        <v>JANUARY - DECEMBER</v>
      </c>
      <c r="T78" s="65"/>
      <c r="U78" s="65"/>
      <c r="V78" s="2"/>
      <c r="W78" s="2"/>
      <c r="X78" s="64" t="str">
        <f>+X63</f>
        <v>OCTOBER - DECEMBER</v>
      </c>
      <c r="Y78" s="65"/>
      <c r="Z78" s="65"/>
    </row>
    <row r="79" spans="4:39" ht="15.75" customHeight="1">
      <c r="D79" s="20" t="str">
        <f>+IF($B$3="esp","Internacional","International")</f>
        <v>International</v>
      </c>
      <c r="F79" s="17">
        <v>109.11699498438576</v>
      </c>
      <c r="G79" s="25">
        <v>91.494046491145681</v>
      </c>
      <c r="H79" s="29">
        <v>0.19261306247883059</v>
      </c>
      <c r="K79" s="17">
        <v>50.860750176473999</v>
      </c>
      <c r="L79" s="25">
        <v>30.626973415200446</v>
      </c>
      <c r="M79" s="29">
        <v>0.66065218025204364</v>
      </c>
      <c r="Q79" s="63"/>
      <c r="R79" s="2"/>
      <c r="S79" s="2"/>
      <c r="T79" s="2"/>
      <c r="U79" s="2"/>
      <c r="V79" s="2"/>
      <c r="W79" s="2"/>
      <c r="X79" s="2"/>
      <c r="Y79" s="2"/>
      <c r="Z79" s="2"/>
    </row>
    <row r="80" spans="4:39" ht="15.75" customHeight="1">
      <c r="D80" s="19" t="str">
        <f>+IF($B$3="esp","Latam","Latam")</f>
        <v>Latam</v>
      </c>
      <c r="F80" s="18">
        <v>108.89206727438575</v>
      </c>
      <c r="G80" s="26">
        <v>88.915084731145669</v>
      </c>
      <c r="H80" s="30">
        <v>0.22467484121108233</v>
      </c>
      <c r="K80" s="18">
        <v>51.553022386473998</v>
      </c>
      <c r="L80" s="26">
        <v>30.634992365200446</v>
      </c>
      <c r="M80" s="30">
        <v>0.68281492523024767</v>
      </c>
      <c r="Q80" s="4" t="str">
        <f>+IF($B$3="esp","Millones de €","€ Millions")</f>
        <v>€ Millions</v>
      </c>
      <c r="R80" s="2"/>
      <c r="S80" s="8">
        <v>2021</v>
      </c>
      <c r="T80" s="8">
        <v>2020</v>
      </c>
      <c r="U80" s="8" t="str">
        <f>+IF($B$3="esp","Var.","Chg.")</f>
        <v>Chg.</v>
      </c>
      <c r="V80" s="2"/>
      <c r="W80" s="2"/>
      <c r="X80" s="8">
        <v>2021</v>
      </c>
      <c r="Y80" s="8">
        <v>2020</v>
      </c>
      <c r="Z80" s="8" t="str">
        <f>+IF($B$3="esp","Var.","Chg.")</f>
        <v>Chg.</v>
      </c>
      <c r="AI80" s="2"/>
      <c r="AJ80" s="2"/>
    </row>
    <row r="81" spans="4:39" ht="15.75" customHeight="1">
      <c r="D81" s="19" t="str">
        <f>+IF($B$3="esp","Portugal","Portugal")</f>
        <v>Portugal</v>
      </c>
      <c r="F81" s="18">
        <v>0.22492771000000056</v>
      </c>
      <c r="G81" s="26">
        <v>2.5789617599999999</v>
      </c>
      <c r="H81" s="30">
        <v>-0.91278361956014398</v>
      </c>
      <c r="K81" s="18">
        <v>-0.69227220999999861</v>
      </c>
      <c r="L81" s="26">
        <v>-8.0189500000136249E-3</v>
      </c>
      <c r="M81" s="30" t="s">
        <v>16</v>
      </c>
      <c r="Q81" s="10" t="str">
        <f>+IF($B$3="esp","Ingresos de Explotación","Operating Revenues")</f>
        <v>Operating Revenues</v>
      </c>
      <c r="S81" s="11"/>
      <c r="T81" s="11"/>
      <c r="U81" s="11"/>
      <c r="X81" s="11"/>
      <c r="Y81" s="11"/>
      <c r="Z81" s="11"/>
      <c r="AD81" s="19"/>
      <c r="AF81" s="26"/>
      <c r="AG81" s="26"/>
      <c r="AH81" s="55"/>
      <c r="AI81" s="2"/>
      <c r="AJ81" s="2"/>
      <c r="AK81" s="26"/>
      <c r="AL81" s="26"/>
      <c r="AM81" s="55"/>
    </row>
    <row r="82" spans="4:39" ht="15.75" customHeight="1">
      <c r="D82" s="22" t="str">
        <f>+IF($B$3="esp","Margen EBITDA ","EBITDA Margin")</f>
        <v>EBITDA Margin</v>
      </c>
      <c r="E82" s="15"/>
      <c r="F82" s="23">
        <v>9.2232677783464515E-2</v>
      </c>
      <c r="G82" s="27">
        <v>9.1152758733260494E-2</v>
      </c>
      <c r="H82" s="31">
        <v>1.1847354542106373E-2</v>
      </c>
      <c r="I82" s="15"/>
      <c r="J82" s="15"/>
      <c r="K82" s="23">
        <v>0.18652990041451084</v>
      </c>
      <c r="L82" s="27">
        <v>0.19695290057788561</v>
      </c>
      <c r="M82" s="31">
        <v>-5.2921282869114017E-2</v>
      </c>
      <c r="Q82" s="21" t="str">
        <f>+IF($B$3="esp","Total Santillana","Santillana Total")</f>
        <v>Santillana Total</v>
      </c>
      <c r="R82" s="9"/>
      <c r="S82" s="16">
        <v>358.80950094328767</v>
      </c>
      <c r="T82" s="24">
        <v>365.82876402163862</v>
      </c>
      <c r="U82" s="28">
        <v>-1.9187291346876592E-2</v>
      </c>
      <c r="V82" s="9"/>
      <c r="W82" s="9"/>
      <c r="X82" s="16">
        <v>135.4806738797356</v>
      </c>
      <c r="Y82" s="24">
        <v>94.951608868514313</v>
      </c>
      <c r="Z82" s="28">
        <v>0.42683916043323217</v>
      </c>
      <c r="AD82" s="19"/>
      <c r="AF82" s="26"/>
      <c r="AG82" s="26"/>
      <c r="AH82" s="55"/>
      <c r="AI82" s="2"/>
      <c r="AJ82" s="2"/>
      <c r="AK82" s="26"/>
      <c r="AL82" s="26"/>
      <c r="AM82" s="55"/>
    </row>
    <row r="83" spans="4:39" ht="15.75" customHeight="1">
      <c r="D83" s="21" t="str">
        <f>+IF($B$3="esp","EBITDA sin indemnizaciones","EBITDA ex severance expenses")</f>
        <v>EBITDA ex severance expenses</v>
      </c>
      <c r="E83" s="9"/>
      <c r="F83" s="16">
        <v>114.40425185483595</v>
      </c>
      <c r="G83" s="24">
        <v>72.992372218620531</v>
      </c>
      <c r="H83" s="28">
        <v>0.56734530441320752</v>
      </c>
      <c r="I83" s="9"/>
      <c r="J83" s="9"/>
      <c r="K83" s="16">
        <v>67.433888270421392</v>
      </c>
      <c r="L83" s="24">
        <v>45.010951675036559</v>
      </c>
      <c r="M83" s="28">
        <v>0.49816624090222861</v>
      </c>
      <c r="Q83" s="20" t="str">
        <f>+IF($B$3="esp","Campaña Sur","South Campaign")</f>
        <v>South Campaign</v>
      </c>
      <c r="S83" s="17">
        <v>248.57575124624034</v>
      </c>
      <c r="T83" s="25">
        <v>279.55489536350132</v>
      </c>
      <c r="U83" s="29">
        <v>-0.11081596005313814</v>
      </c>
      <c r="X83" s="17">
        <v>116.77774148572939</v>
      </c>
      <c r="Y83" s="25">
        <v>89.380611490188954</v>
      </c>
      <c r="Z83" s="29">
        <v>0.30652206937013116</v>
      </c>
    </row>
    <row r="84" spans="4:39" ht="15.75" customHeight="1">
      <c r="D84" s="20" t="str">
        <f>+IF($B$3="esp","España","Spain")</f>
        <v>Spain</v>
      </c>
      <c r="F84" s="17">
        <v>-1.6535470482329255</v>
      </c>
      <c r="G84" s="25">
        <v>-22.016002147709237</v>
      </c>
      <c r="H84" s="29">
        <v>0.92489340084821081</v>
      </c>
      <c r="K84" s="17">
        <v>14.104259261766813</v>
      </c>
      <c r="L84" s="25">
        <v>12.753277072290381</v>
      </c>
      <c r="M84" s="29">
        <v>0.10593216016703445</v>
      </c>
      <c r="Q84" s="38" t="str">
        <f>+IF($B$3="esp","Brasil","Brazil")</f>
        <v>Brazil</v>
      </c>
      <c r="S84" s="17">
        <v>146.60352982356162</v>
      </c>
      <c r="T84" s="25">
        <v>151.94414476011596</v>
      </c>
      <c r="U84" s="29">
        <v>-3.5148540570522933E-2</v>
      </c>
      <c r="X84" s="17">
        <v>79.998989711885017</v>
      </c>
      <c r="Y84" s="25">
        <v>55.936530756786922</v>
      </c>
      <c r="Z84" s="29">
        <v>0.43017431774097886</v>
      </c>
      <c r="AD84" s="19"/>
      <c r="AF84" s="26"/>
      <c r="AG84" s="26"/>
      <c r="AH84" s="55"/>
      <c r="AI84" s="9"/>
      <c r="AJ84" s="9"/>
      <c r="AK84" s="26"/>
      <c r="AL84" s="26"/>
      <c r="AM84" s="55"/>
    </row>
    <row r="85" spans="4:39" ht="15.75" customHeight="1">
      <c r="D85" s="20" t="str">
        <f>+IF($B$3="esp","Internacional","International")</f>
        <v>International</v>
      </c>
      <c r="F85" s="17">
        <v>116.05779890306887</v>
      </c>
      <c r="G85" s="25">
        <v>95.008374366329761</v>
      </c>
      <c r="H85" s="29">
        <v>0.22155335966046025</v>
      </c>
      <c r="K85" s="17">
        <v>53.329629008654571</v>
      </c>
      <c r="L85" s="25">
        <v>32.257674602746164</v>
      </c>
      <c r="M85" s="29">
        <v>0.65323848248238292</v>
      </c>
      <c r="Q85" s="38" t="str">
        <f>+IF($B$3="esp","Otros países","Other countries")</f>
        <v>Other countries</v>
      </c>
      <c r="S85" s="17">
        <v>101.97222142267873</v>
      </c>
      <c r="T85" s="25">
        <v>127.61075060338536</v>
      </c>
      <c r="U85" s="29">
        <v>-0.20091198476209315</v>
      </c>
      <c r="X85" s="17">
        <v>36.778751773844377</v>
      </c>
      <c r="Y85" s="25">
        <v>33.444080733402032</v>
      </c>
      <c r="Z85" s="29">
        <v>9.9708856315248229E-2</v>
      </c>
      <c r="AD85" s="19"/>
      <c r="AF85" s="26"/>
      <c r="AG85" s="26"/>
      <c r="AH85" s="55"/>
      <c r="AK85" s="26"/>
      <c r="AL85" s="26"/>
      <c r="AM85" s="55"/>
    </row>
    <row r="86" spans="4:39" ht="15.75" customHeight="1">
      <c r="D86" s="19" t="str">
        <f>+IF($B$3="esp","Latam","Latam")</f>
        <v>Latam</v>
      </c>
      <c r="F86" s="18">
        <v>115.82287119306888</v>
      </c>
      <c r="G86" s="26">
        <v>92.38718060632975</v>
      </c>
      <c r="H86" s="30">
        <v>0.25366820843468268</v>
      </c>
      <c r="K86" s="18">
        <v>54.021901218654577</v>
      </c>
      <c r="L86" s="26">
        <v>32.223461552746166</v>
      </c>
      <c r="M86" s="30">
        <v>0.67647728131960094</v>
      </c>
      <c r="Q86" s="20" t="str">
        <f>+IF($B$3="esp","Campaña Norte","North Campaign")</f>
        <v>North Campaign</v>
      </c>
      <c r="S86" s="17">
        <v>104.03765010998988</v>
      </c>
      <c r="T86" s="25">
        <v>83.274399248371282</v>
      </c>
      <c r="U86" s="29">
        <v>0.24933534254256057</v>
      </c>
      <c r="X86" s="17">
        <v>17.098836702833992</v>
      </c>
      <c r="Y86" s="25">
        <v>4.0039415598326826</v>
      </c>
      <c r="Z86" s="29">
        <v>3.2705010668408758</v>
      </c>
    </row>
    <row r="87" spans="4:39" ht="15.75" customHeight="1">
      <c r="D87" s="19" t="str">
        <f>+IF($B$3="esp","Portugal","Portugal")</f>
        <v>Portugal</v>
      </c>
      <c r="F87" s="18">
        <v>0.23492771000000057</v>
      </c>
      <c r="G87" s="26">
        <v>2.6211937599999997</v>
      </c>
      <c r="H87" s="30">
        <v>-0.91037377183440249</v>
      </c>
      <c r="K87" s="18">
        <v>-0.69227220999999861</v>
      </c>
      <c r="L87" s="26">
        <v>3.42130499999862E-2</v>
      </c>
      <c r="M87" s="30" t="s">
        <v>16</v>
      </c>
      <c r="Q87" s="38" t="str">
        <f>+IF($B$3="esp","México","Mexico")</f>
        <v>Mexico</v>
      </c>
      <c r="S87" s="17">
        <v>70.893065562190046</v>
      </c>
      <c r="T87" s="25">
        <v>62.469380303242197</v>
      </c>
      <c r="U87" s="29">
        <v>0.13484502676442678</v>
      </c>
      <c r="X87" s="17">
        <v>6.6130495812233505</v>
      </c>
      <c r="Y87" s="25">
        <v>2.8349796971418968</v>
      </c>
      <c r="Z87" s="29">
        <v>1.3326620602928265</v>
      </c>
    </row>
    <row r="88" spans="4:39" ht="15.75" customHeight="1">
      <c r="D88" s="22" t="str">
        <f>+IF($B$3="esp","Margen EBITDA sin indemnizaciones ","EBITDA ex severance expenses Margin")</f>
        <v>EBITDA ex severance expenses Margin</v>
      </c>
      <c r="E88" s="15"/>
      <c r="F88" s="23">
        <v>0.14932320096990695</v>
      </c>
      <c r="G88" s="27">
        <v>0.10417947606122166</v>
      </c>
      <c r="H88" s="31">
        <v>0.43332647288566056</v>
      </c>
      <c r="I88" s="15"/>
      <c r="J88" s="15"/>
      <c r="K88" s="23">
        <v>0.26171837749301974</v>
      </c>
      <c r="L88" s="27">
        <v>0.2184750796736537</v>
      </c>
      <c r="M88" s="31">
        <v>0.19793240439120352</v>
      </c>
      <c r="Q88" s="38" t="str">
        <f>+IF($B$3="esp","Otros países","Other countries")</f>
        <v>Other countries</v>
      </c>
      <c r="S88" s="17">
        <v>33.144584547799838</v>
      </c>
      <c r="T88" s="25">
        <v>20.805018945129085</v>
      </c>
      <c r="U88" s="29">
        <v>0.59310523269481175</v>
      </c>
      <c r="X88" s="17">
        <v>10.485787121610642</v>
      </c>
      <c r="Y88" s="25">
        <v>1.1689618626907858</v>
      </c>
      <c r="Z88" s="29">
        <v>7.9701704189680189</v>
      </c>
    </row>
    <row r="89" spans="4:39" ht="15.75" customHeight="1">
      <c r="D89" s="21" t="str">
        <f>+IF($B$3="esp","EBIT","EBIT")</f>
        <v>EBIT</v>
      </c>
      <c r="E89" s="9"/>
      <c r="F89" s="16">
        <v>-14.899864777277807</v>
      </c>
      <c r="G89" s="24">
        <v>-29.108441231509378</v>
      </c>
      <c r="H89" s="28">
        <v>0.48812563823757882</v>
      </c>
      <c r="I89" s="9"/>
      <c r="J89" s="9"/>
      <c r="K89" s="16">
        <v>11.961197769378442</v>
      </c>
      <c r="L89" s="24">
        <v>21.214277563099987</v>
      </c>
      <c r="M89" s="28">
        <v>-0.4361722790794586</v>
      </c>
      <c r="Q89" s="20" t="str">
        <f>+IF($B$3="esp","Tecnología Educativa global y Centro Corpor.","Global Educational IT &amp; HQ")</f>
        <v>Global Educational IT &amp; HQ</v>
      </c>
      <c r="S89" s="17">
        <v>6.196440159999999</v>
      </c>
      <c r="T89" s="25">
        <v>3.0737904800000004</v>
      </c>
      <c r="U89" s="29">
        <v>1.0158954230348185</v>
      </c>
      <c r="X89" s="17">
        <v>1.6061793299999989</v>
      </c>
      <c r="Y89" s="25">
        <v>1.6364702700000007</v>
      </c>
      <c r="Z89" s="29">
        <v>-1.8509923800816591E-2</v>
      </c>
    </row>
    <row r="90" spans="4:39" ht="15.75" customHeight="1">
      <c r="D90" s="20" t="str">
        <f>+IF($B$3="esp","España","Spain")</f>
        <v>Spain</v>
      </c>
      <c r="F90" s="17">
        <v>-79.634671508232159</v>
      </c>
      <c r="G90" s="25">
        <v>-56.904778797708509</v>
      </c>
      <c r="H90" s="29">
        <v>-0.39943732654381142</v>
      </c>
      <c r="K90" s="17">
        <v>-25.516788298232022</v>
      </c>
      <c r="L90" s="25">
        <v>3.127134262290987</v>
      </c>
      <c r="M90" s="29" t="s">
        <v>16</v>
      </c>
      <c r="V90" s="9"/>
      <c r="W90" s="9"/>
    </row>
    <row r="91" spans="4:39" ht="15.75" customHeight="1">
      <c r="D91" s="20" t="str">
        <f>+IF($B$3="esp","Internacional","International")</f>
        <v>International</v>
      </c>
      <c r="F91" s="17">
        <v>64.734806730954347</v>
      </c>
      <c r="G91" s="25">
        <v>27.796337566199135</v>
      </c>
      <c r="H91" s="29">
        <v>1.3288969842441789</v>
      </c>
      <c r="K91" s="17">
        <v>37.477986067610459</v>
      </c>
      <c r="L91" s="25">
        <v>18.087143300809</v>
      </c>
      <c r="M91" s="29">
        <v>1.0720787934451841</v>
      </c>
      <c r="Q91" s="10" t="str">
        <f>+IF($B$3="esp","EBITDA","EBITDA")</f>
        <v>EBITDA</v>
      </c>
      <c r="S91" s="11"/>
      <c r="T91" s="11"/>
      <c r="U91" s="11"/>
      <c r="X91" s="11"/>
      <c r="Y91" s="11"/>
      <c r="Z91" s="11"/>
    </row>
    <row r="92" spans="4:39" ht="15.75" customHeight="1">
      <c r="D92" s="19" t="str">
        <f>+IF($B$3="esp","Latam","Latam")</f>
        <v>Latam</v>
      </c>
      <c r="F92" s="18">
        <v>64.603872020954341</v>
      </c>
      <c r="G92" s="26">
        <v>25.337426806199137</v>
      </c>
      <c r="H92" s="30">
        <v>1.549740844447083</v>
      </c>
      <c r="K92" s="18">
        <v>38.251827277610452</v>
      </c>
      <c r="L92" s="26">
        <v>18.085683250809016</v>
      </c>
      <c r="M92" s="30">
        <v>1.1150335736361721</v>
      </c>
      <c r="Q92" s="21" t="str">
        <f>+IF($B$3="esp","Total Santillana","Santillana Total")</f>
        <v>Santillana Total</v>
      </c>
      <c r="R92" s="9"/>
      <c r="S92" s="16">
        <v>69.26787277520333</v>
      </c>
      <c r="T92" s="24">
        <v>77.027322518036357</v>
      </c>
      <c r="U92" s="28">
        <v>-0.10073632951497322</v>
      </c>
      <c r="X92" s="16">
        <v>38.309720453173661</v>
      </c>
      <c r="Y92" s="24">
        <v>25.773338958506436</v>
      </c>
      <c r="Z92" s="28">
        <v>0.48640890165026984</v>
      </c>
      <c r="AI92" s="9"/>
      <c r="AJ92" s="9"/>
    </row>
    <row r="93" spans="4:39" ht="15.75" customHeight="1">
      <c r="D93" s="19" t="str">
        <f>+IF($B$3="esp","Portugal","Portugal")</f>
        <v>Portugal</v>
      </c>
      <c r="F93" s="18">
        <v>0.1309347099999999</v>
      </c>
      <c r="G93" s="26">
        <v>2.4589107600000002</v>
      </c>
      <c r="H93" s="30">
        <v>-0.94675093048110459</v>
      </c>
      <c r="K93" s="18">
        <v>-0.77384120999999961</v>
      </c>
      <c r="L93" s="26">
        <v>1.4600499999866123E-3</v>
      </c>
      <c r="M93" s="30" t="s">
        <v>16</v>
      </c>
      <c r="Q93" s="20" t="str">
        <f>+IF($B$3="esp","Campaña Sur","South Campaign")</f>
        <v>South Campaign</v>
      </c>
      <c r="S93" s="17">
        <v>58.367166685029559</v>
      </c>
      <c r="T93" s="25">
        <v>82.275723542549841</v>
      </c>
      <c r="U93" s="29">
        <v>-0.29059066062367345</v>
      </c>
      <c r="X93" s="17">
        <v>41.847656765028063</v>
      </c>
      <c r="Y93" s="25">
        <v>31.421798467753938</v>
      </c>
      <c r="Z93" s="29">
        <v>0.33180335963180074</v>
      </c>
    </row>
    <row r="94" spans="4:39" ht="15.75" customHeight="1">
      <c r="D94" s="22" t="str">
        <f>+IF($B$3="esp","Margen EBIT ","EBIT Margin")</f>
        <v>EBIT Margin</v>
      </c>
      <c r="E94" s="15"/>
      <c r="F94" s="23">
        <v>-1.9447664457305256E-2</v>
      </c>
      <c r="G94" s="27">
        <v>-4.1545466523198023E-2</v>
      </c>
      <c r="H94" s="31">
        <v>0.53189442591898362</v>
      </c>
      <c r="I94" s="15"/>
      <c r="J94" s="15"/>
      <c r="K94" s="23">
        <v>4.6422731261189523E-2</v>
      </c>
      <c r="L94" s="27">
        <v>0.10297029519124268</v>
      </c>
      <c r="M94" s="31">
        <v>-0.54916385181794025</v>
      </c>
      <c r="Q94" s="38" t="str">
        <f>+IF($B$3="esp","Brasil","Brazil")</f>
        <v>Brazil</v>
      </c>
      <c r="S94" s="17">
        <v>36.902758427735229</v>
      </c>
      <c r="T94" s="25">
        <v>47.550560463373749</v>
      </c>
      <c r="U94" s="29">
        <v>-0.22392589975548419</v>
      </c>
      <c r="X94" s="17">
        <v>31.793212702853843</v>
      </c>
      <c r="Y94" s="25">
        <v>23.97810760986096</v>
      </c>
      <c r="Z94" s="29">
        <v>0.32592668362948435</v>
      </c>
    </row>
    <row r="95" spans="4:39">
      <c r="Q95" s="38" t="str">
        <f>+IF($B$3="esp","Otros países","Other countries")</f>
        <v>Other countries</v>
      </c>
      <c r="S95" s="17">
        <v>21.46440825729433</v>
      </c>
      <c r="T95" s="25">
        <v>34.725163079176092</v>
      </c>
      <c r="U95" s="29">
        <v>-0.38187739512255714</v>
      </c>
      <c r="X95" s="17">
        <v>10.054444062174223</v>
      </c>
      <c r="Y95" s="25">
        <v>7.4436908578929781</v>
      </c>
      <c r="Z95" s="29">
        <v>0.35073369570592949</v>
      </c>
    </row>
    <row r="96" spans="4:39">
      <c r="Q96" s="20" t="str">
        <f>+IF($B$3="esp","Campaña Norte","North Campaign")</f>
        <v>North Campaign</v>
      </c>
      <c r="S96" s="17">
        <v>30.881391539275491</v>
      </c>
      <c r="T96" s="25">
        <v>14.635957119968456</v>
      </c>
      <c r="U96" s="29">
        <v>1.1099673418107177</v>
      </c>
      <c r="X96" s="17">
        <v>3.1256456529148018</v>
      </c>
      <c r="Y96" s="25">
        <v>-4.4799569148430294</v>
      </c>
      <c r="Z96" s="29" t="s">
        <v>16</v>
      </c>
    </row>
    <row r="97" spans="1:36">
      <c r="Q97" s="38" t="str">
        <f>+IF($B$3="esp","México","Mexico")</f>
        <v>Mexico</v>
      </c>
      <c r="S97" s="17">
        <v>19.081705534187023</v>
      </c>
      <c r="T97" s="25">
        <v>15.701630246411485</v>
      </c>
      <c r="U97" s="29">
        <v>0.2152690666338952</v>
      </c>
      <c r="X97" s="17">
        <v>-0.32644350236894226</v>
      </c>
      <c r="Y97" s="25">
        <v>-1.8126584746763452</v>
      </c>
      <c r="Z97" s="29">
        <v>0.8199089862047898</v>
      </c>
    </row>
    <row r="98" spans="1:36" ht="15">
      <c r="D98" s="68" t="str">
        <f>+IF($B$3="esp","Resultados por Negocio","Perfomance by Business")</f>
        <v>Perfomance by Business</v>
      </c>
      <c r="E98" s="2"/>
      <c r="F98" s="6" t="s">
        <v>17</v>
      </c>
      <c r="G98" s="7"/>
      <c r="H98" s="7"/>
      <c r="I98" s="2"/>
      <c r="J98" s="2"/>
      <c r="K98" s="6" t="s">
        <v>18</v>
      </c>
      <c r="L98" s="7"/>
      <c r="M98" s="7"/>
      <c r="Q98" s="38" t="str">
        <f>+IF($B$3="esp","Otros países","Other countries")</f>
        <v>Other countries</v>
      </c>
      <c r="S98" s="17">
        <v>11.799686005088468</v>
      </c>
      <c r="T98" s="25">
        <v>-1.0656731264430288</v>
      </c>
      <c r="U98" s="29" t="s">
        <v>16</v>
      </c>
      <c r="V98" s="9"/>
      <c r="W98" s="9"/>
      <c r="X98" s="17">
        <v>3.452089155283744</v>
      </c>
      <c r="Y98" s="25">
        <v>-2.6672984401666842</v>
      </c>
      <c r="Z98" s="29" t="s">
        <v>16</v>
      </c>
    </row>
    <row r="99" spans="1:36">
      <c r="D99" s="69"/>
      <c r="E99" s="2"/>
      <c r="F99" s="2"/>
      <c r="G99" s="2"/>
      <c r="H99" s="2"/>
      <c r="I99" s="2"/>
      <c r="J99" s="2"/>
      <c r="K99" s="2"/>
      <c r="L99" s="2"/>
      <c r="M99" s="2"/>
      <c r="Q99" s="20" t="str">
        <f>+IF($B$3="esp","Tecnología Educativa global y Centro Corpor.","Global Educational IT &amp; HQ")</f>
        <v>Global Educational IT &amp; HQ</v>
      </c>
      <c r="S99" s="17">
        <v>-18.565185040000003</v>
      </c>
      <c r="T99" s="25">
        <v>-18.150568349999993</v>
      </c>
      <c r="U99" s="29">
        <v>-2.2843179453386639E-2</v>
      </c>
      <c r="X99" s="17">
        <v>-5.1591772600000017</v>
      </c>
      <c r="Y99" s="25">
        <v>-2.6751937099999914</v>
      </c>
      <c r="Z99" s="29">
        <v>-0.92852474223259829</v>
      </c>
    </row>
    <row r="100" spans="1:36" ht="15">
      <c r="D100" s="4" t="str">
        <f>+IF($B$3="esp","Millones de €","€ Millions")</f>
        <v>€ Millions</v>
      </c>
      <c r="E100" s="2"/>
      <c r="F100" s="8">
        <v>2021</v>
      </c>
      <c r="G100" s="8">
        <v>2020</v>
      </c>
      <c r="H100" s="8" t="s">
        <v>19</v>
      </c>
      <c r="I100" s="2"/>
      <c r="J100" s="2"/>
      <c r="K100" s="8">
        <v>2021</v>
      </c>
      <c r="L100" s="8">
        <v>2020</v>
      </c>
      <c r="M100" s="8" t="s">
        <v>19</v>
      </c>
      <c r="AI100" s="9"/>
      <c r="AJ100" s="9"/>
    </row>
    <row r="101" spans="1:36" ht="15">
      <c r="D101" s="10" t="str">
        <f>+IF($B$3="esp","Ingresos de Explotación","Operating Revenues")</f>
        <v>Operating Revenues</v>
      </c>
      <c r="F101" s="11"/>
      <c r="G101" s="11"/>
      <c r="H101" s="11"/>
      <c r="K101" s="11"/>
      <c r="L101" s="11"/>
      <c r="M101" s="11"/>
      <c r="Q101" s="10" t="str">
        <f>+IF($B$3="esp","EBITDA sin indemnizaciones","EBITDA ex severance expenses")</f>
        <v>EBITDA ex severance expenses</v>
      </c>
      <c r="S101" s="11"/>
      <c r="T101" s="11"/>
      <c r="U101" s="11"/>
      <c r="X101" s="11"/>
      <c r="Y101" s="11"/>
      <c r="Z101" s="11"/>
    </row>
    <row r="102" spans="1:36" ht="15.75" customHeight="1">
      <c r="D102" s="21" t="str">
        <f>+IF($B$3="esp","GRUPO","GROUP")</f>
        <v>GROUP</v>
      </c>
      <c r="E102" s="9"/>
      <c r="F102" s="16">
        <v>741.16787096637722</v>
      </c>
      <c r="G102" s="24">
        <v>700.64061539075271</v>
      </c>
      <c r="H102" s="28">
        <v>5.7843143382463123E-2</v>
      </c>
      <c r="I102" s="9"/>
      <c r="J102" s="9"/>
      <c r="K102" s="16">
        <v>255.43315201882251</v>
      </c>
      <c r="L102" s="24">
        <v>206.02327616619476</v>
      </c>
      <c r="M102" s="28">
        <v>0.23982666799633753</v>
      </c>
      <c r="Q102" s="21" t="str">
        <f>+IF($B$3="esp","Total Santillana","Santillana Total")</f>
        <v>Santillana Total</v>
      </c>
      <c r="R102" s="9"/>
      <c r="S102" s="16">
        <v>75.450503614404511</v>
      </c>
      <c r="T102" s="24">
        <v>80.881857585791465</v>
      </c>
      <c r="U102" s="28">
        <v>-6.7151696727859048E-2</v>
      </c>
      <c r="X102" s="16">
        <v>40.877564783025448</v>
      </c>
      <c r="Y102" s="24">
        <v>27.718393178851017</v>
      </c>
      <c r="Z102" s="28">
        <v>0.47474510947535042</v>
      </c>
    </row>
    <row r="103" spans="1:36" ht="15.75" customHeight="1">
      <c r="D103" s="20" t="str">
        <f>+IF($B$3="esp","Educación","Education")</f>
        <v>Education</v>
      </c>
      <c r="F103" s="17">
        <v>358.80950094328767</v>
      </c>
      <c r="G103" s="25">
        <v>365.82876402163862</v>
      </c>
      <c r="H103" s="29">
        <v>-1.9187291346876592E-2</v>
      </c>
      <c r="K103" s="17">
        <v>135.4806738797356</v>
      </c>
      <c r="L103" s="25">
        <v>94.951608868514313</v>
      </c>
      <c r="M103" s="29">
        <v>0.42683916043323217</v>
      </c>
      <c r="Q103" s="20" t="str">
        <f>+IF($B$3="esp","Campaña Sur","South Campaign")</f>
        <v>South Campaign</v>
      </c>
      <c r="S103" s="17">
        <v>61.609909524734618</v>
      </c>
      <c r="T103" s="25">
        <v>84.796779139493651</v>
      </c>
      <c r="U103" s="29">
        <v>-0.27344045198480743</v>
      </c>
      <c r="X103" s="17">
        <v>42.905697349759919</v>
      </c>
      <c r="Y103" s="25">
        <v>32.746560470103184</v>
      </c>
      <c r="Z103" s="29">
        <v>0.31023523490144195</v>
      </c>
    </row>
    <row r="104" spans="1:36" ht="15.75" customHeight="1">
      <c r="D104" s="20" t="str">
        <f>+IF($B$3="esp","Media","Media")</f>
        <v>Media</v>
      </c>
      <c r="F104" s="17">
        <v>383.34343851169962</v>
      </c>
      <c r="G104" s="25">
        <v>335.87835637513354</v>
      </c>
      <c r="H104" s="29">
        <v>0.14131628679150021</v>
      </c>
      <c r="K104" s="17">
        <v>119.89135049372749</v>
      </c>
      <c r="L104" s="25">
        <v>111.49950008629034</v>
      </c>
      <c r="M104" s="29">
        <v>7.5263569800246885E-2</v>
      </c>
      <c r="Q104" s="38" t="str">
        <f>+IF($B$3="esp","Brasil","Brazil")</f>
        <v>Brazil</v>
      </c>
      <c r="S104" s="17">
        <v>37.891566879797161</v>
      </c>
      <c r="T104" s="25">
        <v>48.855758252239347</v>
      </c>
      <c r="U104" s="29">
        <v>-0.22441963372740475</v>
      </c>
      <c r="X104" s="17">
        <v>32.627581849428282</v>
      </c>
      <c r="Y104" s="25">
        <v>24.527588978717564</v>
      </c>
      <c r="Z104" s="29">
        <v>0.3302400769084573</v>
      </c>
    </row>
    <row r="105" spans="1:36" ht="15.75" customHeight="1">
      <c r="D105" s="38" t="s">
        <v>6</v>
      </c>
      <c r="F105" s="17">
        <v>219.19325068404044</v>
      </c>
      <c r="G105" s="25">
        <v>186.2867008118952</v>
      </c>
      <c r="H105" s="29">
        <v>0.17664465433510973</v>
      </c>
      <c r="K105" s="17">
        <v>72.443481941257147</v>
      </c>
      <c r="L105" s="25">
        <v>63.825934267534407</v>
      </c>
      <c r="M105" s="29">
        <v>0.1350163969022562</v>
      </c>
      <c r="Q105" s="38" t="str">
        <f>+IF($B$3="esp","Otros países","Other countries")</f>
        <v>Other countries</v>
      </c>
      <c r="S105" s="17">
        <v>23.718342644937458</v>
      </c>
      <c r="T105" s="25">
        <v>35.941020887254304</v>
      </c>
      <c r="U105" s="29">
        <v>-0.34007598951234441</v>
      </c>
      <c r="X105" s="17">
        <v>10.278115500331644</v>
      </c>
      <c r="Y105" s="25">
        <v>8.21897149138562</v>
      </c>
      <c r="Z105" s="29">
        <v>0.25053548501831796</v>
      </c>
    </row>
    <row r="106" spans="1:36" ht="15.75" customHeight="1">
      <c r="D106" s="38" t="s">
        <v>7</v>
      </c>
      <c r="F106" s="17">
        <v>181.05524163884138</v>
      </c>
      <c r="G106" s="25">
        <v>164.70120781854948</v>
      </c>
      <c r="H106" s="29">
        <v>9.9295166300838927E-2</v>
      </c>
      <c r="K106" s="17">
        <v>51.598246391227406</v>
      </c>
      <c r="L106" s="25">
        <v>51.243914303310433</v>
      </c>
      <c r="M106" s="29">
        <v>6.9146179157918526E-3</v>
      </c>
      <c r="Q106" s="20" t="str">
        <f>+IF($B$3="esp","Campaña Norte","North Campaign")</f>
        <v>North Campaign</v>
      </c>
      <c r="S106" s="17">
        <v>33.44757493999888</v>
      </c>
      <c r="T106" s="25">
        <v>15.687775913127787</v>
      </c>
      <c r="U106" s="29">
        <v>1.1320788316468369</v>
      </c>
      <c r="X106" s="17">
        <v>4.0044309208583151</v>
      </c>
      <c r="Y106" s="25">
        <v>-3.8605393308129585</v>
      </c>
      <c r="Z106" s="29" t="s">
        <v>16</v>
      </c>
    </row>
    <row r="107" spans="1:36" ht="15.75" customHeight="1">
      <c r="A107" s="41"/>
      <c r="D107" s="20" t="str">
        <f>+IF($B$3="esp","Otros","Other")</f>
        <v>Other</v>
      </c>
      <c r="F107" s="17">
        <v>-0.98506848861006802</v>
      </c>
      <c r="G107" s="25">
        <v>-1.0665050060194403</v>
      </c>
      <c r="H107" s="29">
        <v>7.6358307696389627E-2</v>
      </c>
      <c r="K107" s="17">
        <v>6.1127645359420058E-2</v>
      </c>
      <c r="L107" s="25">
        <v>-0.42783278860989071</v>
      </c>
      <c r="M107" s="29" t="s">
        <v>16</v>
      </c>
      <c r="Q107" s="38" t="str">
        <f>+IF($B$3="esp","México","Mexico")</f>
        <v>Mexico</v>
      </c>
      <c r="S107" s="17">
        <v>20.45011604949616</v>
      </c>
      <c r="T107" s="25">
        <v>16.661938731690391</v>
      </c>
      <c r="U107" s="29">
        <v>0.22735513428583165</v>
      </c>
      <c r="X107" s="17">
        <v>0.41318357045476972</v>
      </c>
      <c r="Y107" s="25">
        <v>-1.2707313424677444</v>
      </c>
      <c r="Z107" s="29" t="s">
        <v>16</v>
      </c>
    </row>
    <row r="108" spans="1:36">
      <c r="Q108" s="38" t="str">
        <f>+IF($B$3="esp","Otros países","Other countries")</f>
        <v>Other countries</v>
      </c>
      <c r="S108" s="17">
        <v>12.99745889050272</v>
      </c>
      <c r="T108" s="25">
        <v>-0.97416281856260412</v>
      </c>
      <c r="U108" s="29" t="s">
        <v>16</v>
      </c>
      <c r="X108" s="17">
        <v>3.5912473504035454</v>
      </c>
      <c r="Y108" s="25">
        <v>-2.5898079883452141</v>
      </c>
      <c r="Z108" s="29" t="s">
        <v>16</v>
      </c>
    </row>
    <row r="109" spans="1:36" ht="15">
      <c r="D109" s="10" t="str">
        <f>+IF($B$3="esp","EBITDA","EBITDA")</f>
        <v>EBITDA</v>
      </c>
      <c r="F109" s="11"/>
      <c r="G109" s="11"/>
      <c r="H109" s="11"/>
      <c r="K109" s="11"/>
      <c r="L109" s="11"/>
      <c r="M109" s="11"/>
      <c r="Q109" s="20" t="str">
        <f>+IF($B$3="esp","Tecnología Educativa global y Centro Corpor.","Global Educational IT &amp; HQ")</f>
        <v>Global Educational IT &amp; HQ</v>
      </c>
      <c r="S109" s="17">
        <v>-18.188208530000004</v>
      </c>
      <c r="T109" s="25">
        <v>-17.836106989999994</v>
      </c>
      <c r="U109" s="29">
        <v>-1.9740941237761121E-2</v>
      </c>
      <c r="X109" s="17">
        <v>-4.5254451100000033</v>
      </c>
      <c r="Y109" s="25">
        <v>-2.641526839999992</v>
      </c>
      <c r="Z109" s="29">
        <v>-0.71319293125184258</v>
      </c>
    </row>
    <row r="110" spans="1:36" ht="15.75" customHeight="1">
      <c r="D110" s="21" t="str">
        <f>+IF($B$3="esp","GRUPO","GROUP")</f>
        <v>GROUP</v>
      </c>
      <c r="E110" s="9"/>
      <c r="F110" s="16">
        <v>63.089239195781353</v>
      </c>
      <c r="G110" s="24">
        <v>63.865324973436444</v>
      </c>
      <c r="H110" s="28">
        <v>-1.2151911510320955E-2</v>
      </c>
      <c r="I110" s="9"/>
      <c r="J110" s="9"/>
      <c r="K110" s="16">
        <v>45.125857929464615</v>
      </c>
      <c r="L110" s="24">
        <v>40.57688182749083</v>
      </c>
      <c r="M110" s="28">
        <v>0.11210758188155934</v>
      </c>
    </row>
    <row r="111" spans="1:36" ht="15.75" customHeight="1">
      <c r="D111" s="20" t="str">
        <f>+IF($B$3="esp","Educación","Education")</f>
        <v>Education</v>
      </c>
      <c r="F111" s="17">
        <v>69.26787277520333</v>
      </c>
      <c r="G111" s="25">
        <v>77.027322518036357</v>
      </c>
      <c r="H111" s="29">
        <v>-0.10073632951497322</v>
      </c>
      <c r="K111" s="17">
        <v>38.309720453173661</v>
      </c>
      <c r="L111" s="25">
        <v>25.773338958506436</v>
      </c>
      <c r="M111" s="29">
        <v>0.48640890165026984</v>
      </c>
    </row>
    <row r="112" spans="1:36" ht="15.75" customHeight="1">
      <c r="D112" s="20" t="str">
        <f>+IF($B$3="esp","Media","Media")</f>
        <v>Media</v>
      </c>
      <c r="F112" s="17">
        <v>9.9034569005782469</v>
      </c>
      <c r="G112" s="25">
        <v>-5.3748760945990499</v>
      </c>
      <c r="H112" s="29" t="s">
        <v>16</v>
      </c>
      <c r="K112" s="17">
        <v>10.092072426291532</v>
      </c>
      <c r="L112" s="25">
        <v>17.809671538985249</v>
      </c>
      <c r="M112" s="29">
        <v>-0.43333753212685283</v>
      </c>
      <c r="Q112" s="62" t="str">
        <f>+IF($B$3="esp","Resultados por Campaña                                                                                                        a tipo de cambio constante","Perfomance by Campaign on constant currency")</f>
        <v>Perfomance by Campaign on constant currency</v>
      </c>
      <c r="R112" s="2"/>
      <c r="S112" s="64" t="str">
        <f>+$F$6</f>
        <v>JANUARY - DECEMBER</v>
      </c>
      <c r="T112" s="65"/>
      <c r="U112" s="65"/>
      <c r="V112" s="2"/>
      <c r="W112" s="2"/>
      <c r="X112" s="64" t="str">
        <f>+X78</f>
        <v>OCTOBER - DECEMBER</v>
      </c>
      <c r="Y112" s="65"/>
      <c r="Z112" s="65"/>
    </row>
    <row r="113" spans="1:36" ht="15.75" customHeight="1">
      <c r="D113" s="38" t="s">
        <v>6</v>
      </c>
      <c r="F113" s="17">
        <v>17.695431645482632</v>
      </c>
      <c r="G113" s="25">
        <v>4.873676614331468</v>
      </c>
      <c r="H113" s="29">
        <v>2.6308177677295377</v>
      </c>
      <c r="K113" s="17">
        <v>16.346701037725019</v>
      </c>
      <c r="L113" s="25">
        <v>11.076972873017599</v>
      </c>
      <c r="M113" s="29">
        <v>0.47573720953528303</v>
      </c>
      <c r="Q113" s="63"/>
      <c r="R113" s="2"/>
      <c r="S113" s="2"/>
      <c r="T113" s="2"/>
      <c r="U113" s="2"/>
      <c r="V113" s="2"/>
      <c r="W113" s="2"/>
      <c r="X113" s="2"/>
      <c r="Y113" s="2"/>
      <c r="Z113" s="2"/>
    </row>
    <row r="114" spans="1:36" ht="15.75" customHeight="1">
      <c r="D114" s="38" t="s">
        <v>7</v>
      </c>
      <c r="F114" s="17">
        <v>-6.0338117949049073</v>
      </c>
      <c r="G114" s="25">
        <v>-10.248552708930587</v>
      </c>
      <c r="H114" s="29">
        <v>0.41125230398170809</v>
      </c>
      <c r="K114" s="17">
        <v>-5.1361847214338345</v>
      </c>
      <c r="L114" s="25">
        <v>6.7326986659675736</v>
      </c>
      <c r="M114" s="29" t="s">
        <v>16</v>
      </c>
      <c r="Q114" s="4" t="str">
        <f>+IF($B$3="esp","Millones de €","€ Millions")</f>
        <v>€ Millions</v>
      </c>
      <c r="R114" s="2"/>
      <c r="S114" s="8">
        <v>2021</v>
      </c>
      <c r="T114" s="8">
        <v>2020</v>
      </c>
      <c r="U114" s="8" t="str">
        <f>+IF($B$3="esp","Var.","Chg.")</f>
        <v>Chg.</v>
      </c>
      <c r="V114" s="2"/>
      <c r="W114" s="2"/>
      <c r="X114" s="8">
        <v>2021</v>
      </c>
      <c r="Y114" s="8">
        <v>2020</v>
      </c>
      <c r="Z114" s="8" t="str">
        <f>+IF($B$3="esp","Var.","Chg.")</f>
        <v>Chg.</v>
      </c>
      <c r="AI114" s="2"/>
      <c r="AJ114" s="2"/>
    </row>
    <row r="115" spans="1:36" ht="15.75" customHeight="1">
      <c r="A115" s="41"/>
      <c r="D115" s="20" t="str">
        <f>+IF($B$3="esp","Otros","Other")</f>
        <v>Other</v>
      </c>
      <c r="F115" s="17">
        <v>-16.082090480000225</v>
      </c>
      <c r="G115" s="25">
        <v>-7.7871214500008632</v>
      </c>
      <c r="H115" s="29">
        <v>-1.0652163425547243</v>
      </c>
      <c r="K115" s="17">
        <v>-3.2759349500005825</v>
      </c>
      <c r="L115" s="25">
        <v>-3.0061286700008543</v>
      </c>
      <c r="M115" s="29">
        <v>-8.9752073054029186E-2</v>
      </c>
      <c r="Q115" s="10" t="str">
        <f>+IF($B$3="esp","Ingresos de Explotación a tipo constante","Operating Revenues on constant currency")</f>
        <v>Operating Revenues on constant currency</v>
      </c>
      <c r="S115" s="11"/>
      <c r="T115" s="11"/>
      <c r="U115" s="11"/>
      <c r="X115" s="11"/>
      <c r="Y115" s="11"/>
      <c r="Z115" s="11"/>
      <c r="AI115" s="2"/>
      <c r="AJ115" s="2"/>
    </row>
    <row r="116" spans="1:36" ht="15">
      <c r="Q116" s="21" t="str">
        <f>+IF($B$3="esp","Total Santillana","Santillana Total")</f>
        <v>Santillana Total</v>
      </c>
      <c r="R116" s="9"/>
      <c r="S116" s="16">
        <v>381.98994768882687</v>
      </c>
      <c r="T116" s="24">
        <v>365.82876402163862</v>
      </c>
      <c r="U116" s="28">
        <v>4.4176908041687848E-2</v>
      </c>
      <c r="V116" s="9"/>
      <c r="W116" s="9"/>
      <c r="X116" s="16">
        <v>137.21704958759673</v>
      </c>
      <c r="Y116" s="24">
        <v>94.951608868514313</v>
      </c>
      <c r="Z116" s="28">
        <v>0.4451261144780615</v>
      </c>
      <c r="AI116" s="2"/>
      <c r="AJ116" s="2"/>
    </row>
    <row r="117" spans="1:36" ht="15">
      <c r="D117" s="10" t="str">
        <f>+IF($B$3="esp","EBITDA sin indemnizaciones","EBITDA ex severance expenses")</f>
        <v>EBITDA ex severance expenses</v>
      </c>
      <c r="F117" s="11"/>
      <c r="G117" s="11"/>
      <c r="H117" s="11"/>
      <c r="K117" s="11"/>
      <c r="L117" s="11"/>
      <c r="M117" s="11"/>
      <c r="Q117" s="20" t="str">
        <f>+IF($B$3="esp","Campaña Sur","South Campaign")</f>
        <v>South Campaign</v>
      </c>
      <c r="S117" s="17">
        <v>274.98993230096488</v>
      </c>
      <c r="T117" s="25">
        <v>279.55489536350132</v>
      </c>
      <c r="U117" s="29">
        <v>-1.6329397689855075E-2</v>
      </c>
      <c r="X117" s="17">
        <v>119.27856755725443</v>
      </c>
      <c r="Y117" s="25">
        <v>89.380611490188954</v>
      </c>
      <c r="Z117" s="29">
        <v>0.33450158338139463</v>
      </c>
    </row>
    <row r="118" spans="1:36" ht="15.75" customHeight="1">
      <c r="D118" s="21" t="str">
        <f>+IF($B$3="esp","GRUPO","GROUP")</f>
        <v>GROUP</v>
      </c>
      <c r="E118" s="9"/>
      <c r="F118" s="16">
        <v>106.71687339368067</v>
      </c>
      <c r="G118" s="24">
        <v>72.992372218620531</v>
      </c>
      <c r="H118" s="28">
        <v>0.46202774550265868</v>
      </c>
      <c r="I118" s="9"/>
      <c r="J118" s="9"/>
      <c r="K118" s="16">
        <v>64.648027404418485</v>
      </c>
      <c r="L118" s="24">
        <v>45.010951675036559</v>
      </c>
      <c r="M118" s="28">
        <v>0.43627328458093478</v>
      </c>
      <c r="Q118" s="38" t="str">
        <f>+IF($B$3="esp","Brasil","Brazil")</f>
        <v>Brazil</v>
      </c>
      <c r="S118" s="17">
        <v>165.70000955967748</v>
      </c>
      <c r="T118" s="25">
        <v>151.94414476011596</v>
      </c>
      <c r="U118" s="29">
        <v>9.0532378337308053E-2</v>
      </c>
      <c r="X118" s="17">
        <v>84.0031709432469</v>
      </c>
      <c r="Y118" s="25">
        <v>55.936530756786922</v>
      </c>
      <c r="Z118" s="29">
        <v>0.50175868625986575</v>
      </c>
      <c r="AI118" s="9"/>
      <c r="AJ118" s="9"/>
    </row>
    <row r="119" spans="1:36" ht="15.75" customHeight="1">
      <c r="D119" s="20" t="str">
        <f>+IF($B$3="esp","Educación","Education")</f>
        <v>Education</v>
      </c>
      <c r="F119" s="17">
        <v>75.450503614404511</v>
      </c>
      <c r="G119" s="25">
        <v>80.881857585791465</v>
      </c>
      <c r="H119" s="29">
        <v>-6.7151696727859048E-2</v>
      </c>
      <c r="K119" s="17">
        <v>40.877564783025448</v>
      </c>
      <c r="L119" s="25">
        <v>27.718393178851017</v>
      </c>
      <c r="M119" s="29">
        <v>0.47474510947535042</v>
      </c>
      <c r="Q119" s="38" t="str">
        <f>+IF($B$3="esp","Otros países","Other countries")</f>
        <v>Other countries</v>
      </c>
      <c r="S119" s="17">
        <v>109.2899227412874</v>
      </c>
      <c r="T119" s="25">
        <v>127.61075060338536</v>
      </c>
      <c r="U119" s="29">
        <v>-0.14356805970869296</v>
      </c>
      <c r="X119" s="17">
        <v>35.275396614007533</v>
      </c>
      <c r="Y119" s="25">
        <v>33.444080733402032</v>
      </c>
      <c r="Z119" s="29">
        <v>5.4757548733474021E-2</v>
      </c>
    </row>
    <row r="120" spans="1:36" ht="15.75" customHeight="1">
      <c r="D120" s="20" t="str">
        <f>+IF($B$3="esp","Media","Media")</f>
        <v>Media</v>
      </c>
      <c r="F120" s="17">
        <v>41.861623649276368</v>
      </c>
      <c r="G120" s="25">
        <v>-0.77382043717008486</v>
      </c>
      <c r="H120" s="29" t="s">
        <v>16</v>
      </c>
      <c r="K120" s="17">
        <v>27.022869011393595</v>
      </c>
      <c r="L120" s="25">
        <v>20.356331476186373</v>
      </c>
      <c r="M120" s="29">
        <v>0.32749208977098831</v>
      </c>
      <c r="Q120" s="20" t="str">
        <f>+IF($B$3="esp","Campaña Norte","North Campaign")</f>
        <v>North Campaign</v>
      </c>
      <c r="S120" s="17">
        <v>100.80391580080453</v>
      </c>
      <c r="T120" s="25">
        <v>83.274399248371282</v>
      </c>
      <c r="U120" s="29">
        <v>0.21050306829774099</v>
      </c>
      <c r="X120" s="17">
        <v>16.334386339170067</v>
      </c>
      <c r="Y120" s="25">
        <v>4.0039415598326826</v>
      </c>
      <c r="Z120" s="29">
        <v>3.0795766109664822</v>
      </c>
    </row>
    <row r="121" spans="1:36" ht="15.75" customHeight="1">
      <c r="D121" s="38" t="s">
        <v>6</v>
      </c>
      <c r="F121" s="17">
        <v>30.647282227504203</v>
      </c>
      <c r="G121" s="25">
        <v>7.5692164007814737</v>
      </c>
      <c r="H121" s="29">
        <v>3.0489372485558826</v>
      </c>
      <c r="K121" s="17">
        <v>19.887966166210177</v>
      </c>
      <c r="L121" s="25">
        <v>13.278607429703021</v>
      </c>
      <c r="M121" s="29">
        <v>0.4977448705745024</v>
      </c>
      <c r="Q121" s="38" t="str">
        <f>+IF($B$3="esp","México","Mexico")</f>
        <v>Mexico</v>
      </c>
      <c r="S121" s="17">
        <v>67.176687504547473</v>
      </c>
      <c r="T121" s="25">
        <v>62.469380303242197</v>
      </c>
      <c r="U121" s="29">
        <v>7.5353832204750795E-2</v>
      </c>
      <c r="X121" s="17">
        <v>6.2712181651050614</v>
      </c>
      <c r="Y121" s="25">
        <v>2.8349796971418968</v>
      </c>
      <c r="Z121" s="29">
        <v>1.2120857413643671</v>
      </c>
    </row>
    <row r="122" spans="1:36" ht="15.75" customHeight="1">
      <c r="D122" s="38" t="s">
        <v>7</v>
      </c>
      <c r="F122" s="17">
        <v>12.680749771771643</v>
      </c>
      <c r="G122" s="25">
        <v>-8.3430368379516278</v>
      </c>
      <c r="H122" s="29" t="s">
        <v>16</v>
      </c>
      <c r="K122" s="17">
        <v>7.6622138251830769</v>
      </c>
      <c r="L122" s="25">
        <v>7.0777240464832758</v>
      </c>
      <c r="M122" s="29">
        <v>8.2581600364910787E-2</v>
      </c>
      <c r="Q122" s="38" t="str">
        <f>+IF($B$3="esp","Otros países","Other countries")</f>
        <v>Other countries</v>
      </c>
      <c r="S122" s="17">
        <v>33.627228296257059</v>
      </c>
      <c r="T122" s="25">
        <v>20.805018945129085</v>
      </c>
      <c r="U122" s="29">
        <v>0.61630366138791415</v>
      </c>
      <c r="X122" s="17">
        <v>10.063168174065005</v>
      </c>
      <c r="Y122" s="25">
        <v>1.1689618626907858</v>
      </c>
      <c r="Z122" s="29">
        <v>7.6086368556977613</v>
      </c>
    </row>
    <row r="123" spans="1:36" ht="15.75" customHeight="1">
      <c r="A123" s="41"/>
      <c r="D123" s="20" t="str">
        <f>+IF($B$3="esp","Otros","Other")</f>
        <v>Other</v>
      </c>
      <c r="F123" s="17">
        <v>-10.595253870000207</v>
      </c>
      <c r="G123" s="25">
        <v>-7.1156649300008494</v>
      </c>
      <c r="H123" s="29">
        <v>-0.48900404589440694</v>
      </c>
      <c r="K123" s="17">
        <v>-3.2524063900005533</v>
      </c>
      <c r="L123" s="25">
        <v>-3.06377298000083</v>
      </c>
      <c r="M123" s="29">
        <v>-6.1568990663163375E-2</v>
      </c>
      <c r="Q123" s="20" t="str">
        <f>+IF($B$3="esp","Tecnología Educativa global y Centro Corpor.","Global Educational IT &amp; HQ")</f>
        <v>Global Educational IT &amp; HQ</v>
      </c>
      <c r="S123" s="17">
        <v>6.196440159999999</v>
      </c>
      <c r="T123" s="25">
        <v>3.0737904800000004</v>
      </c>
      <c r="U123" s="29">
        <v>1.0158954230348185</v>
      </c>
      <c r="X123" s="17">
        <v>1.6061793299999989</v>
      </c>
      <c r="Y123" s="25">
        <v>1.6364702700000007</v>
      </c>
      <c r="Z123" s="29">
        <v>-1.8509923800816591E-2</v>
      </c>
    </row>
    <row r="124" spans="1:36" ht="15">
      <c r="V124" s="9"/>
      <c r="W124" s="9"/>
    </row>
    <row r="125" spans="1:36" ht="15">
      <c r="Q125" s="10" t="str">
        <f>+IF($B$3="esp","EBITDA a tipo constante","EBITDA on constant currency")</f>
        <v>EBITDA on constant currency</v>
      </c>
      <c r="S125" s="11"/>
      <c r="T125" s="11"/>
      <c r="U125" s="11"/>
      <c r="X125" s="11"/>
      <c r="Y125" s="11"/>
      <c r="Z125" s="11"/>
    </row>
    <row r="126" spans="1:36" ht="15">
      <c r="Q126" s="21" t="str">
        <f>+IF($B$3="esp","Total Santillana","Santillana Total")</f>
        <v>Santillana Total</v>
      </c>
      <c r="R126" s="9"/>
      <c r="S126" s="16">
        <v>76.463969037929246</v>
      </c>
      <c r="T126" s="24">
        <v>77.027322518036357</v>
      </c>
      <c r="U126" s="28">
        <v>-7.3136837902576524E-3</v>
      </c>
      <c r="X126" s="16">
        <v>40.728249810721636</v>
      </c>
      <c r="Y126" s="24">
        <v>25.773338958506436</v>
      </c>
      <c r="Z126" s="28">
        <v>0.58024731977070299</v>
      </c>
      <c r="AI126" s="9"/>
      <c r="AJ126" s="9"/>
    </row>
    <row r="127" spans="1:36">
      <c r="Q127" s="20" t="str">
        <f>+IF($B$3="esp","Campaña Sur","South Campaign")</f>
        <v>South Campaign</v>
      </c>
      <c r="S127" s="17">
        <v>67.854471312851416</v>
      </c>
      <c r="T127" s="25">
        <v>82.275723542549841</v>
      </c>
      <c r="U127" s="29">
        <v>-0.17527955524135022</v>
      </c>
      <c r="X127" s="17">
        <v>43.906074455679857</v>
      </c>
      <c r="Y127" s="25">
        <v>31.421798467753938</v>
      </c>
      <c r="Z127" s="29">
        <v>0.39731258542497766</v>
      </c>
    </row>
    <row r="128" spans="1:36">
      <c r="Q128" s="38" t="str">
        <f>+IF($B$3="esp","Brasil","Brazil")</f>
        <v>Brazil</v>
      </c>
      <c r="S128" s="17">
        <v>44.272429133804948</v>
      </c>
      <c r="T128" s="25">
        <v>47.550560463373749</v>
      </c>
      <c r="U128" s="29">
        <v>-6.8939909385375406E-2</v>
      </c>
      <c r="X128" s="17">
        <v>34.325608234633705</v>
      </c>
      <c r="Y128" s="25">
        <v>23.97810760986096</v>
      </c>
      <c r="Z128" s="29">
        <v>0.43153950232992333</v>
      </c>
    </row>
    <row r="129" spans="1:36">
      <c r="Q129" s="38" t="str">
        <f>+IF($B$3="esp","Otros países","Other countries")</f>
        <v>Other countries</v>
      </c>
      <c r="S129" s="17">
        <v>23.582042179046468</v>
      </c>
      <c r="T129" s="25">
        <v>34.725163079176092</v>
      </c>
      <c r="U129" s="29">
        <v>-0.32089470320765479</v>
      </c>
      <c r="X129" s="17">
        <v>9.5804662210461533</v>
      </c>
      <c r="Y129" s="25">
        <v>7.4436908578929781</v>
      </c>
      <c r="Z129" s="29">
        <v>0.28705858477282514</v>
      </c>
    </row>
    <row r="130" spans="1:36" ht="15.75" customHeight="1">
      <c r="Q130" s="20" t="str">
        <f>+IF($B$3="esp","Campaña Norte","North Campaign")</f>
        <v>North Campaign</v>
      </c>
      <c r="S130" s="17">
        <v>28.590183174179518</v>
      </c>
      <c r="T130" s="25">
        <v>14.635957119968456</v>
      </c>
      <c r="U130" s="29">
        <v>0.95342080738763035</v>
      </c>
      <c r="X130" s="17">
        <v>3.4857573198109506</v>
      </c>
      <c r="Y130" s="25">
        <v>-4.4799569148430294</v>
      </c>
      <c r="Z130" s="29" t="s">
        <v>16</v>
      </c>
    </row>
    <row r="131" spans="1:36" ht="15.75" customHeight="1">
      <c r="Q131" s="38" t="str">
        <f>+IF($B$3="esp","México","Mexico")</f>
        <v>Mexico</v>
      </c>
      <c r="S131" s="17">
        <v>16.981312464213872</v>
      </c>
      <c r="T131" s="25">
        <v>15.701630246411485</v>
      </c>
      <c r="U131" s="29">
        <v>8.1499958776245593E-2</v>
      </c>
      <c r="X131" s="17">
        <v>-0.30065644188481855</v>
      </c>
      <c r="Y131" s="25">
        <v>-1.8126584746763452</v>
      </c>
      <c r="Z131" s="29">
        <v>0.83413508607102527</v>
      </c>
    </row>
    <row r="132" spans="1:36" ht="15.75" customHeight="1">
      <c r="D132" s="68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32" s="2"/>
      <c r="F132" s="6" t="str">
        <f>+$F$6</f>
        <v>JANUARY - DECEMBER</v>
      </c>
      <c r="G132" s="6"/>
      <c r="H132" s="6"/>
      <c r="I132" s="2"/>
      <c r="J132" s="2"/>
      <c r="K132" s="6" t="str">
        <f>+K98</f>
        <v>OCTOBER - DECEMBER</v>
      </c>
      <c r="L132" s="6"/>
      <c r="M132" s="6"/>
      <c r="Q132" s="38" t="str">
        <f>+IF($B$3="esp","Otros países","Other countries")</f>
        <v>Other countries</v>
      </c>
      <c r="S132" s="17">
        <v>11.608870709965647</v>
      </c>
      <c r="T132" s="25">
        <v>-1.0656731264430288</v>
      </c>
      <c r="U132" s="29" t="s">
        <v>16</v>
      </c>
      <c r="V132" s="9"/>
      <c r="W132" s="9"/>
      <c r="X132" s="17">
        <v>3.7864137616957692</v>
      </c>
      <c r="Y132" s="25">
        <v>-2.6672984401666842</v>
      </c>
      <c r="Z132" s="29" t="s">
        <v>16</v>
      </c>
    </row>
    <row r="133" spans="1:36" ht="15.75" customHeight="1">
      <c r="D133" s="69"/>
      <c r="E133" s="2"/>
      <c r="F133" s="2"/>
      <c r="G133" s="2"/>
      <c r="H133" s="2"/>
      <c r="I133" s="2"/>
      <c r="J133" s="2"/>
      <c r="K133" s="2"/>
      <c r="L133" s="2"/>
      <c r="M133" s="2"/>
      <c r="Q133" s="20" t="str">
        <f>+IF($B$3="esp","Tecnología Educativa global y Centro Corpor.","Global Educational IT &amp; HQ")</f>
        <v>Global Educational IT &amp; HQ</v>
      </c>
      <c r="S133" s="17">
        <v>-18.565185040000003</v>
      </c>
      <c r="T133" s="25">
        <v>-18.150568349999993</v>
      </c>
      <c r="U133" s="29">
        <v>-2.2843179453386639E-2</v>
      </c>
      <c r="X133" s="17">
        <v>-5.1591772600000017</v>
      </c>
      <c r="Y133" s="25">
        <v>-2.6751937099999914</v>
      </c>
      <c r="Z133" s="29">
        <v>-0.92852474223259829</v>
      </c>
    </row>
    <row r="134" spans="1:36" ht="15.75" customHeight="1">
      <c r="D134" s="4" t="str">
        <f>+IF($B$3="esp","Millones de €","€ Millions")</f>
        <v>€ Millions</v>
      </c>
      <c r="E134" s="2"/>
      <c r="F134" s="8">
        <v>2021</v>
      </c>
      <c r="G134" s="8">
        <v>2020</v>
      </c>
      <c r="H134" s="8" t="str">
        <f>+IF($B$3="esp","Var.","Chg.")</f>
        <v>Chg.</v>
      </c>
      <c r="I134" s="2"/>
      <c r="J134" s="2"/>
      <c r="K134" s="8">
        <v>2021</v>
      </c>
      <c r="L134" s="8">
        <v>2020</v>
      </c>
      <c r="M134" s="8" t="str">
        <f>+IF($B$3="esp","Var.","Chg.")</f>
        <v>Chg.</v>
      </c>
      <c r="AI134" s="9"/>
      <c r="AJ134" s="9"/>
    </row>
    <row r="135" spans="1:36" ht="15.75" customHeight="1">
      <c r="A135" s="41"/>
      <c r="D135" s="10" t="str">
        <f>+IF($B$3="esp","Ingresos de Explotación a tipo constante","Operating Revenues on constant currency")</f>
        <v>Operating Revenues on constant currency</v>
      </c>
      <c r="F135" s="11"/>
      <c r="G135" s="11"/>
      <c r="H135" s="11"/>
      <c r="K135" s="11"/>
      <c r="L135" s="11"/>
      <c r="M135" s="11"/>
      <c r="Q135" s="10" t="str">
        <f>+IF($B$3="esp","EBITDA sin indemnizaciones a tipo constante","EBITDA ex severance expenses on constant currency")</f>
        <v>EBITDA ex severance expenses on constant currency</v>
      </c>
      <c r="S135" s="11"/>
      <c r="T135" s="11"/>
      <c r="U135" s="11"/>
      <c r="X135" s="11"/>
      <c r="Y135" s="11"/>
      <c r="Z135" s="11"/>
    </row>
    <row r="136" spans="1:36" ht="15">
      <c r="D136" s="21" t="str">
        <f>+IF($B$3="esp","GRUPO","GROUP")</f>
        <v>GROUP</v>
      </c>
      <c r="E136" s="9"/>
      <c r="F136" s="16">
        <v>766.15188471543547</v>
      </c>
      <c r="G136" s="24">
        <v>700.64061539075271</v>
      </c>
      <c r="H136" s="28">
        <v>9.3501957901978905E-2</v>
      </c>
      <c r="I136" s="9"/>
      <c r="J136" s="9"/>
      <c r="K136" s="16">
        <v>257.65820847723967</v>
      </c>
      <c r="L136" s="24">
        <v>206.02327616619476</v>
      </c>
      <c r="M136" s="28">
        <v>0.2506266926334676</v>
      </c>
      <c r="Q136" s="21" t="str">
        <f>+IF($B$3="esp","Total Santillana","Santillana Total")</f>
        <v>Santillana Total</v>
      </c>
      <c r="R136" s="9"/>
      <c r="S136" s="16">
        <v>82.740997785204698</v>
      </c>
      <c r="T136" s="24">
        <v>80.881857585791465</v>
      </c>
      <c r="U136" s="28">
        <v>2.2985874149109901E-2</v>
      </c>
      <c r="X136" s="16">
        <v>43.135040442664483</v>
      </c>
      <c r="Y136" s="24">
        <v>27.718393178851017</v>
      </c>
      <c r="Z136" s="28">
        <v>0.55618834628467151</v>
      </c>
    </row>
    <row r="137" spans="1:36">
      <c r="D137" s="20" t="str">
        <f>+IF($B$3="esp","Educación","Education")</f>
        <v>Education</v>
      </c>
      <c r="F137" s="17">
        <v>381.98994768882687</v>
      </c>
      <c r="G137" s="25">
        <v>365.82876402163862</v>
      </c>
      <c r="H137" s="29">
        <v>4.4176908041687848E-2</v>
      </c>
      <c r="K137" s="17">
        <v>137.21704958759673</v>
      </c>
      <c r="L137" s="25">
        <v>94.951608868514313</v>
      </c>
      <c r="M137" s="29">
        <v>0.4451261144780615</v>
      </c>
      <c r="Q137" s="20" t="str">
        <f>+IF($B$3="esp","Campaña Sur","South Campaign")</f>
        <v>South Campaign</v>
      </c>
      <c r="S137" s="17">
        <v>71.242393138664411</v>
      </c>
      <c r="T137" s="25">
        <v>84.796779139493651</v>
      </c>
      <c r="U137" s="29">
        <v>-0.15984552878514174</v>
      </c>
      <c r="X137" s="17">
        <v>44.879160089838308</v>
      </c>
      <c r="Y137" s="25">
        <v>32.746560470103184</v>
      </c>
      <c r="Z137" s="29">
        <v>0.37049996841078603</v>
      </c>
    </row>
    <row r="138" spans="1:36" ht="15.75" customHeight="1">
      <c r="D138" s="20" t="str">
        <f>+IF($B$3="esp","Media","Media")</f>
        <v>Media</v>
      </c>
      <c r="F138" s="17">
        <v>385.14700551521872</v>
      </c>
      <c r="G138" s="25">
        <v>335.87835637513354</v>
      </c>
      <c r="H138" s="29">
        <v>0.14668598974879571</v>
      </c>
      <c r="K138" s="17">
        <v>120.38003124428354</v>
      </c>
      <c r="L138" s="25">
        <v>111.49950008629034</v>
      </c>
      <c r="M138" s="29">
        <v>7.9646376451199249E-2</v>
      </c>
      <c r="Q138" s="38" t="str">
        <f>+IF($B$3="esp","Brasil","Brazil")</f>
        <v>Brazil</v>
      </c>
      <c r="S138" s="17">
        <v>45.359142921299586</v>
      </c>
      <c r="T138" s="25">
        <v>48.855758252239347</v>
      </c>
      <c r="U138" s="29">
        <v>-7.1570178337770254E-2</v>
      </c>
      <c r="X138" s="17">
        <v>35.195531633358001</v>
      </c>
      <c r="Y138" s="25">
        <v>24.527588978717564</v>
      </c>
      <c r="Z138" s="29">
        <v>0.43493645722361646</v>
      </c>
    </row>
    <row r="139" spans="1:36" ht="15.75" customHeight="1">
      <c r="D139" s="38" t="s">
        <v>6</v>
      </c>
      <c r="F139" s="17">
        <v>220.96942937507478</v>
      </c>
      <c r="G139" s="25">
        <v>186.2867008118952</v>
      </c>
      <c r="H139" s="29">
        <v>0.18617930540409752</v>
      </c>
      <c r="K139" s="17">
        <v>73.015802491060583</v>
      </c>
      <c r="L139" s="25">
        <v>63.825934267534407</v>
      </c>
      <c r="M139" s="29">
        <v>0.14398329345255945</v>
      </c>
      <c r="Q139" s="38" t="str">
        <f>+IF($B$3="esp","Otros países","Other countries")</f>
        <v>Other countries</v>
      </c>
      <c r="S139" s="17">
        <v>25.883250217364825</v>
      </c>
      <c r="T139" s="25">
        <v>35.941020887254304</v>
      </c>
      <c r="U139" s="29">
        <v>-0.27984098452407197</v>
      </c>
      <c r="X139" s="17">
        <v>9.6836284564803066</v>
      </c>
      <c r="Y139" s="25">
        <v>8.21897149138562</v>
      </c>
      <c r="Z139" s="29">
        <v>0.17820440995930051</v>
      </c>
    </row>
    <row r="140" spans="1:36" ht="15.75" customHeight="1">
      <c r="D140" s="38" t="s">
        <v>7</v>
      </c>
      <c r="F140" s="17">
        <v>181.08262995132608</v>
      </c>
      <c r="G140" s="25">
        <v>164.70120781854948</v>
      </c>
      <c r="H140" s="29">
        <v>9.9461457203300782E-2</v>
      </c>
      <c r="K140" s="17">
        <v>51.51460659197997</v>
      </c>
      <c r="L140" s="25">
        <v>51.243914303310433</v>
      </c>
      <c r="M140" s="29">
        <v>5.282428018033929E-3</v>
      </c>
      <c r="Q140" s="20" t="str">
        <f>+IF($B$3="esp","Campaña Norte","North Campaign")</f>
        <v>North Campaign</v>
      </c>
      <c r="S140" s="17">
        <v>31.105585496869281</v>
      </c>
      <c r="T140" s="25">
        <v>15.687775913127787</v>
      </c>
      <c r="U140" s="29">
        <v>0.98279129362369455</v>
      </c>
      <c r="X140" s="17">
        <v>4.2884438404189851</v>
      </c>
      <c r="Y140" s="25">
        <v>-3.8605393308129585</v>
      </c>
      <c r="Z140" s="29" t="s">
        <v>16</v>
      </c>
    </row>
    <row r="141" spans="1:36" ht="15.75" customHeight="1">
      <c r="D141" s="20" t="str">
        <f>+IF($B$3="esp","Otros","Other")</f>
        <v>Other</v>
      </c>
      <c r="F141" s="17">
        <v>-0.98506848861012486</v>
      </c>
      <c r="G141" s="25">
        <v>-1.0665050060194403</v>
      </c>
      <c r="H141" s="29">
        <v>7.6358307696336336E-2</v>
      </c>
      <c r="K141" s="17">
        <v>6.1127645359363214E-2</v>
      </c>
      <c r="L141" s="25">
        <v>-0.42783278860989071</v>
      </c>
      <c r="M141" s="29" t="s">
        <v>16</v>
      </c>
      <c r="Q141" s="38" t="str">
        <f>+IF($B$3="esp","México","Mexico")</f>
        <v>Mexico</v>
      </c>
      <c r="S141" s="17">
        <v>18.293207321267506</v>
      </c>
      <c r="T141" s="25">
        <v>16.661938731690391</v>
      </c>
      <c r="U141" s="29">
        <v>9.7903888367714506E-2</v>
      </c>
      <c r="X141" s="17">
        <v>0.41350718396716957</v>
      </c>
      <c r="Y141" s="25">
        <v>-1.2707313424677444</v>
      </c>
      <c r="Z141" s="29" t="s">
        <v>16</v>
      </c>
    </row>
    <row r="142" spans="1:36" ht="15.75" customHeight="1">
      <c r="Q142" s="38" t="str">
        <f>+IF($B$3="esp","Otros países","Other countries")</f>
        <v>Other countries</v>
      </c>
      <c r="S142" s="17">
        <v>12.812378175601776</v>
      </c>
      <c r="T142" s="25">
        <v>-0.97416281856260412</v>
      </c>
      <c r="U142" s="29" t="s">
        <v>16</v>
      </c>
      <c r="X142" s="17">
        <v>3.8749366564518155</v>
      </c>
      <c r="Y142" s="25">
        <v>-2.5898079883452141</v>
      </c>
      <c r="Z142" s="29" t="s">
        <v>16</v>
      </c>
    </row>
    <row r="143" spans="1:36" ht="15.75" customHeight="1">
      <c r="A143" s="41"/>
      <c r="D143" s="10" t="str">
        <f>+IF($B$3="esp","EBITDA a tipo constante","EBITDA on constant currency")</f>
        <v>EBITDA on constant currency</v>
      </c>
      <c r="F143" s="11"/>
      <c r="G143" s="11"/>
      <c r="H143" s="11"/>
      <c r="K143" s="11"/>
      <c r="L143" s="11"/>
      <c r="M143" s="11"/>
      <c r="Q143" s="20" t="str">
        <f>+IF($B$3="esp","Tecnología Educativa global y Centro Corpor.","Global Educational IT &amp; HQ")</f>
        <v>Global Educational IT &amp; HQ</v>
      </c>
      <c r="S143" s="17">
        <v>-18.188208530000004</v>
      </c>
      <c r="T143" s="25">
        <v>-17.836106989999994</v>
      </c>
      <c r="U143" s="29">
        <v>-1.9740941237761121E-2</v>
      </c>
      <c r="X143" s="17">
        <v>-4.5254451100000033</v>
      </c>
      <c r="Y143" s="25">
        <v>-2.641526839999992</v>
      </c>
      <c r="Z143" s="29">
        <v>-0.71319293125184258</v>
      </c>
    </row>
    <row r="144" spans="1:36" ht="15">
      <c r="D144" s="21" t="str">
        <f>+IF($B$3="esp","GRUPO","GROUP")</f>
        <v>GROUP</v>
      </c>
      <c r="E144" s="9"/>
      <c r="F144" s="16">
        <v>70.664239916152809</v>
      </c>
      <c r="G144" s="24">
        <v>63.865324973436444</v>
      </c>
      <c r="H144" s="28">
        <v>0.10645706328973106</v>
      </c>
      <c r="I144" s="9"/>
      <c r="J144" s="9"/>
      <c r="K144" s="16">
        <v>48.060959968240788</v>
      </c>
      <c r="L144" s="24">
        <v>40.57688182749083</v>
      </c>
      <c r="M144" s="28">
        <v>0.18444192366894729</v>
      </c>
    </row>
    <row r="145" spans="1:13">
      <c r="D145" s="20" t="str">
        <f>+IF($B$3="esp","Educación","Education")</f>
        <v>Education</v>
      </c>
      <c r="F145" s="17">
        <v>76.463969037929246</v>
      </c>
      <c r="G145" s="25">
        <v>77.027322518036357</v>
      </c>
      <c r="H145" s="29">
        <v>-7.3136837902576524E-3</v>
      </c>
      <c r="K145" s="17">
        <v>40.728249810721636</v>
      </c>
      <c r="L145" s="25">
        <v>25.773338958506436</v>
      </c>
      <c r="M145" s="29">
        <v>0.58024731977070299</v>
      </c>
    </row>
    <row r="146" spans="1:13" ht="15.75" customHeight="1">
      <c r="D146" s="20" t="str">
        <f>+IF($B$3="esp","Media","Media")</f>
        <v>Media</v>
      </c>
      <c r="F146" s="17">
        <v>10.282361358223802</v>
      </c>
      <c r="G146" s="25">
        <v>-5.3748760945990499</v>
      </c>
      <c r="H146" s="29" t="s">
        <v>16</v>
      </c>
      <c r="K146" s="17">
        <v>10.608645107519745</v>
      </c>
      <c r="L146" s="25">
        <v>17.809671538985249</v>
      </c>
      <c r="M146" s="29">
        <v>-0.40433235479399532</v>
      </c>
    </row>
    <row r="147" spans="1:13" ht="15.75" customHeight="1">
      <c r="D147" s="38" t="s">
        <v>6</v>
      </c>
      <c r="F147" s="17">
        <v>17.644619683461652</v>
      </c>
      <c r="G147" s="25">
        <v>4.873676614331468</v>
      </c>
      <c r="H147" s="29">
        <v>2.6203919709354779</v>
      </c>
      <c r="K147" s="17">
        <v>16.596603145405705</v>
      </c>
      <c r="L147" s="25">
        <v>11.076972873017599</v>
      </c>
      <c r="M147" s="29">
        <v>0.4982977150583599</v>
      </c>
    </row>
    <row r="148" spans="1:13" ht="15.75" customHeight="1">
      <c r="D148" s="38" t="s">
        <v>7</v>
      </c>
      <c r="F148" s="17">
        <v>-5.6040953752383711</v>
      </c>
      <c r="G148" s="25">
        <v>-10.248552708930587</v>
      </c>
      <c r="H148" s="29">
        <v>0.45318177752503891</v>
      </c>
      <c r="K148" s="17">
        <v>-4.8695141478863091</v>
      </c>
      <c r="L148" s="25">
        <v>6.7326986659675736</v>
      </c>
      <c r="M148" s="29" t="s">
        <v>16</v>
      </c>
    </row>
    <row r="149" spans="1:13" ht="15.75" customHeight="1">
      <c r="D149" s="20" t="str">
        <f>+IF($B$3="esp","Otros","Other")</f>
        <v>Other</v>
      </c>
      <c r="F149" s="17">
        <v>-16.08209048000024</v>
      </c>
      <c r="G149" s="25">
        <v>-7.7871214500008632</v>
      </c>
      <c r="H149" s="29">
        <v>-1.0652163425547261</v>
      </c>
      <c r="K149" s="17">
        <v>-3.2759349500005932</v>
      </c>
      <c r="L149" s="25">
        <v>-3.0061286700008543</v>
      </c>
      <c r="M149" s="29">
        <v>-8.9752073054032738E-2</v>
      </c>
    </row>
    <row r="150" spans="1:13" ht="15.75" customHeight="1"/>
    <row r="151" spans="1:13" ht="15.75" customHeight="1">
      <c r="A151" s="41"/>
      <c r="D151" s="10" t="str">
        <f>+IF($B$3="esp","EBITDA sin indemnizaciones a tipo constante","EBITDA ex severance expenses on constant currency")</f>
        <v>EBITDA ex severance expenses on constant currency</v>
      </c>
      <c r="F151" s="11"/>
      <c r="G151" s="11"/>
      <c r="H151" s="11"/>
      <c r="K151" s="11"/>
      <c r="L151" s="11"/>
      <c r="M151" s="11"/>
    </row>
    <row r="152" spans="1:13" ht="15">
      <c r="D152" s="21" t="str">
        <f>+IF($B$3="esp","GRUPO","GROUP")</f>
        <v>GROUP</v>
      </c>
      <c r="E152" s="9"/>
      <c r="F152" s="16">
        <v>114.40425185483595</v>
      </c>
      <c r="G152" s="24">
        <v>72.992372218620531</v>
      </c>
      <c r="H152" s="28">
        <v>0.56734530441320752</v>
      </c>
      <c r="I152" s="9"/>
      <c r="J152" s="9"/>
      <c r="K152" s="16">
        <v>67.433888270421392</v>
      </c>
      <c r="L152" s="24">
        <v>45.010951675036559</v>
      </c>
      <c r="M152" s="28">
        <v>0.49816624090222861</v>
      </c>
    </row>
    <row r="153" spans="1:13">
      <c r="D153" s="20" t="str">
        <f>+IF($B$3="esp","Educación","Education")</f>
        <v>Education</v>
      </c>
      <c r="F153" s="17">
        <v>82.740997785204698</v>
      </c>
      <c r="G153" s="25">
        <v>80.881857585791465</v>
      </c>
      <c r="H153" s="29">
        <v>2.2985874149109901E-2</v>
      </c>
      <c r="K153" s="17">
        <v>43.135040442664483</v>
      </c>
      <c r="L153" s="25">
        <v>27.718393178851017</v>
      </c>
      <c r="M153" s="29">
        <v>0.55618834628467151</v>
      </c>
    </row>
    <row r="154" spans="1:13">
      <c r="D154" s="20" t="str">
        <f>+IF($B$3="esp","Media","Media")</f>
        <v>Media</v>
      </c>
      <c r="F154" s="17">
        <v>42.258507939631471</v>
      </c>
      <c r="G154" s="25">
        <v>-0.77382043717008486</v>
      </c>
      <c r="H154" s="29" t="s">
        <v>16</v>
      </c>
      <c r="K154" s="17">
        <v>27.551254217757464</v>
      </c>
      <c r="L154" s="25">
        <v>20.356331476186373</v>
      </c>
      <c r="M154" s="29">
        <v>0.3534488888623174</v>
      </c>
    </row>
    <row r="155" spans="1:13">
      <c r="D155" s="38" t="s">
        <v>6</v>
      </c>
      <c r="F155" s="17">
        <v>30.608089320648062</v>
      </c>
      <c r="G155" s="25">
        <v>7.5692164007814737</v>
      </c>
      <c r="H155" s="29">
        <v>3.0437593140404826</v>
      </c>
      <c r="K155" s="17">
        <v>20.142502497380171</v>
      </c>
      <c r="L155" s="25">
        <v>13.278607429703021</v>
      </c>
      <c r="M155" s="29">
        <v>0.51691377307557496</v>
      </c>
    </row>
    <row r="156" spans="1:13">
      <c r="D156" s="38" t="s">
        <v>7</v>
      </c>
      <c r="F156" s="17">
        <v>13.116826968982885</v>
      </c>
      <c r="G156" s="25">
        <v>-8.3430368379516278</v>
      </c>
      <c r="H156" s="29" t="s">
        <v>16</v>
      </c>
      <c r="K156" s="17">
        <v>7.9360627003769491</v>
      </c>
      <c r="L156" s="25">
        <v>7.0777240464832758</v>
      </c>
      <c r="M156" s="29">
        <v>0.12127325793666084</v>
      </c>
    </row>
    <row r="157" spans="1:13">
      <c r="D157" s="20" t="str">
        <f>+IF($B$3="esp","Otros","Other")</f>
        <v>Other</v>
      </c>
      <c r="F157" s="17">
        <v>-10.595253870000221</v>
      </c>
      <c r="G157" s="25">
        <v>-7.1156649300008494</v>
      </c>
      <c r="H157" s="29">
        <v>-0.48900404589440893</v>
      </c>
      <c r="K157" s="17">
        <v>-3.2524063900005622</v>
      </c>
      <c r="L157" s="25">
        <v>-3.06377298000083</v>
      </c>
      <c r="M157" s="29">
        <v>-6.1568990663166276E-2</v>
      </c>
    </row>
  </sheetData>
  <mergeCells count="2">
    <mergeCell ref="D98:D99"/>
    <mergeCell ref="D132:D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MEDIA versión Rad vs Not</vt:lpstr>
      <vt:lpstr>To Publish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Alejandro Juan Chamorro Aparicio</cp:lastModifiedBy>
  <dcterms:created xsi:type="dcterms:W3CDTF">2021-03-22T08:53:48Z</dcterms:created>
  <dcterms:modified xsi:type="dcterms:W3CDTF">2022-02-28T09:21:18Z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