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O:\RELACIÓN CON INVERSORES\NEW\RESULTS\2022\1Q2022\"/>
    </mc:Choice>
  </mc:AlternateContent>
  <xr:revisionPtr revIDLastSave="0" documentId="13_ncr:1_{927FEA9D-097C-4D19-9896-B79EED626B70}" xr6:coauthVersionLast="47" xr6:coauthVersionMax="47" xr10:uidLastSave="{00000000-0000-0000-0000-000000000000}"/>
  <bookViews>
    <workbookView xWindow="-120" yWindow="-120" windowWidth="29040" windowHeight="15840" xr2:uid="{67E9D4F5-58C1-4611-B2AB-B5242ED4D2E8}"/>
  </bookViews>
  <sheets>
    <sheet name="To Publish" sheetId="1" r:id="rId1"/>
  </sheets>
  <externalReferences>
    <externalReference r:id="rId2"/>
  </externalReferenc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39" i="1" l="1"/>
  <c r="F139" i="1"/>
  <c r="H139" i="1"/>
  <c r="D139" i="1"/>
  <c r="G138" i="1"/>
  <c r="F138" i="1"/>
  <c r="H138" i="1"/>
  <c r="D138" i="1"/>
  <c r="G137" i="1"/>
  <c r="F137" i="1"/>
  <c r="H137" i="1"/>
  <c r="G136" i="1"/>
  <c r="F136" i="1"/>
  <c r="H136" i="1"/>
  <c r="G135" i="1"/>
  <c r="F135" i="1"/>
  <c r="H135" i="1"/>
  <c r="D135" i="1"/>
  <c r="G134" i="1"/>
  <c r="F134" i="1"/>
  <c r="H134" i="1"/>
  <c r="D134" i="1"/>
  <c r="G133" i="1"/>
  <c r="F133" i="1"/>
  <c r="H133" i="1"/>
  <c r="D133" i="1"/>
  <c r="D132" i="1"/>
  <c r="G130" i="1"/>
  <c r="F130" i="1"/>
  <c r="H130" i="1"/>
  <c r="D130" i="1"/>
  <c r="G129" i="1"/>
  <c r="F129" i="1"/>
  <c r="H129" i="1"/>
  <c r="D129" i="1"/>
  <c r="G128" i="1"/>
  <c r="F128" i="1"/>
  <c r="H128" i="1"/>
  <c r="G127" i="1"/>
  <c r="F127" i="1"/>
  <c r="H127" i="1"/>
  <c r="G126" i="1"/>
  <c r="F126" i="1"/>
  <c r="H126" i="1"/>
  <c r="D126" i="1"/>
  <c r="G125" i="1"/>
  <c r="F125" i="1"/>
  <c r="H125" i="1"/>
  <c r="D125" i="1"/>
  <c r="G124" i="1"/>
  <c r="F124" i="1"/>
  <c r="H124" i="1"/>
  <c r="D124" i="1"/>
  <c r="D123" i="1"/>
  <c r="G121" i="1"/>
  <c r="F121" i="1"/>
  <c r="H121" i="1"/>
  <c r="D121" i="1"/>
  <c r="G120" i="1"/>
  <c r="F120" i="1"/>
  <c r="H120" i="1"/>
  <c r="D120" i="1"/>
  <c r="G119" i="1"/>
  <c r="F119" i="1"/>
  <c r="H119" i="1"/>
  <c r="G118" i="1"/>
  <c r="F118" i="1"/>
  <c r="H118" i="1"/>
  <c r="G117" i="1"/>
  <c r="F117" i="1"/>
  <c r="H117" i="1"/>
  <c r="D117" i="1"/>
  <c r="G116" i="1"/>
  <c r="F116" i="1"/>
  <c r="H116" i="1"/>
  <c r="D116" i="1"/>
  <c r="G115" i="1"/>
  <c r="F115" i="1"/>
  <c r="H115" i="1"/>
  <c r="D115" i="1"/>
  <c r="D114" i="1"/>
  <c r="H113" i="1"/>
  <c r="D113" i="1"/>
  <c r="F6" i="1"/>
  <c r="F111" i="1"/>
  <c r="D111" i="1"/>
  <c r="G107" i="1"/>
  <c r="F107" i="1"/>
  <c r="H107" i="1"/>
  <c r="D107" i="1"/>
  <c r="G106" i="1"/>
  <c r="F106" i="1"/>
  <c r="H106" i="1"/>
  <c r="D106" i="1"/>
  <c r="G105" i="1"/>
  <c r="F105" i="1"/>
  <c r="H105" i="1"/>
  <c r="G104" i="1"/>
  <c r="F104" i="1"/>
  <c r="H104" i="1"/>
  <c r="G103" i="1"/>
  <c r="F103" i="1"/>
  <c r="H103" i="1"/>
  <c r="D103" i="1"/>
  <c r="G102" i="1"/>
  <c r="F102" i="1"/>
  <c r="H102" i="1"/>
  <c r="D102" i="1"/>
  <c r="G101" i="1"/>
  <c r="F101" i="1"/>
  <c r="H101" i="1"/>
  <c r="D101" i="1"/>
  <c r="D100" i="1"/>
  <c r="G98" i="1"/>
  <c r="F98" i="1"/>
  <c r="H98" i="1"/>
  <c r="D98" i="1"/>
  <c r="G97" i="1"/>
  <c r="F97" i="1"/>
  <c r="H97" i="1"/>
  <c r="D97" i="1"/>
  <c r="G96" i="1"/>
  <c r="F96" i="1"/>
  <c r="H96" i="1"/>
  <c r="G95" i="1"/>
  <c r="F95" i="1"/>
  <c r="H95" i="1"/>
  <c r="G94" i="1"/>
  <c r="F94" i="1"/>
  <c r="H94" i="1"/>
  <c r="D94" i="1"/>
  <c r="G93" i="1"/>
  <c r="F93" i="1"/>
  <c r="H93" i="1"/>
  <c r="D93" i="1"/>
  <c r="G92" i="1"/>
  <c r="F92" i="1"/>
  <c r="H92" i="1"/>
  <c r="D92" i="1"/>
  <c r="D91" i="1"/>
  <c r="G89" i="1"/>
  <c r="F89" i="1"/>
  <c r="H89" i="1"/>
  <c r="D89" i="1"/>
  <c r="G88" i="1"/>
  <c r="F88" i="1"/>
  <c r="H88" i="1"/>
  <c r="D88" i="1"/>
  <c r="G87" i="1"/>
  <c r="F87" i="1"/>
  <c r="H87" i="1"/>
  <c r="G86" i="1"/>
  <c r="F86" i="1"/>
  <c r="H86" i="1"/>
  <c r="G85" i="1"/>
  <c r="F85" i="1"/>
  <c r="H85" i="1"/>
  <c r="D85" i="1"/>
  <c r="G84" i="1"/>
  <c r="F84" i="1"/>
  <c r="H84" i="1"/>
  <c r="D84" i="1"/>
  <c r="G83" i="1"/>
  <c r="F83" i="1"/>
  <c r="H83" i="1"/>
  <c r="D83" i="1"/>
  <c r="D82" i="1"/>
  <c r="H81" i="1"/>
  <c r="D81" i="1"/>
  <c r="F79" i="1"/>
  <c r="D79" i="1"/>
  <c r="T71" i="1"/>
  <c r="T57" i="1"/>
  <c r="T74" i="1"/>
  <c r="S71" i="1"/>
  <c r="S57" i="1"/>
  <c r="S74" i="1"/>
  <c r="U74" i="1"/>
  <c r="Q74" i="1"/>
  <c r="G71" i="1"/>
  <c r="G57" i="1"/>
  <c r="G74" i="1"/>
  <c r="F71" i="1"/>
  <c r="F57" i="1"/>
  <c r="F74" i="1"/>
  <c r="H74" i="1"/>
  <c r="D74" i="1"/>
  <c r="T73" i="1"/>
  <c r="S73" i="1"/>
  <c r="U73" i="1"/>
  <c r="Q73" i="1"/>
  <c r="G73" i="1"/>
  <c r="F73" i="1"/>
  <c r="H73" i="1"/>
  <c r="D73" i="1"/>
  <c r="T72" i="1"/>
  <c r="S72" i="1"/>
  <c r="U72" i="1"/>
  <c r="Q72" i="1"/>
  <c r="G72" i="1"/>
  <c r="F72" i="1"/>
  <c r="H72" i="1"/>
  <c r="D72" i="1"/>
  <c r="U71" i="1"/>
  <c r="Q71" i="1"/>
  <c r="H71" i="1"/>
  <c r="D71" i="1"/>
  <c r="T67" i="1"/>
  <c r="T70" i="1"/>
  <c r="S67" i="1"/>
  <c r="S70" i="1"/>
  <c r="U70" i="1"/>
  <c r="Q70" i="1"/>
  <c r="G67" i="1"/>
  <c r="G70" i="1"/>
  <c r="F67" i="1"/>
  <c r="F70" i="1"/>
  <c r="H70" i="1"/>
  <c r="D70" i="1"/>
  <c r="T69" i="1"/>
  <c r="S69" i="1"/>
  <c r="U69" i="1"/>
  <c r="Q69" i="1"/>
  <c r="G69" i="1"/>
  <c r="F69" i="1"/>
  <c r="H69" i="1"/>
  <c r="D69" i="1"/>
  <c r="T68" i="1"/>
  <c r="S68" i="1"/>
  <c r="U68" i="1"/>
  <c r="Q68" i="1"/>
  <c r="G68" i="1"/>
  <c r="F68" i="1"/>
  <c r="H68" i="1"/>
  <c r="D68" i="1"/>
  <c r="U67" i="1"/>
  <c r="Q67" i="1"/>
  <c r="H67" i="1"/>
  <c r="D67" i="1"/>
  <c r="T63" i="1"/>
  <c r="T66" i="1"/>
  <c r="S63" i="1"/>
  <c r="S66" i="1"/>
  <c r="U66" i="1"/>
  <c r="Q66" i="1"/>
  <c r="G63" i="1"/>
  <c r="G66" i="1"/>
  <c r="F63" i="1"/>
  <c r="F66" i="1"/>
  <c r="H66" i="1"/>
  <c r="D66" i="1"/>
  <c r="T65" i="1"/>
  <c r="S65" i="1"/>
  <c r="U65" i="1"/>
  <c r="Q65" i="1"/>
  <c r="G65" i="1"/>
  <c r="F65" i="1"/>
  <c r="H65" i="1"/>
  <c r="D65" i="1"/>
  <c r="T64" i="1"/>
  <c r="S64" i="1"/>
  <c r="U64" i="1"/>
  <c r="Q64" i="1"/>
  <c r="G64" i="1"/>
  <c r="F64" i="1"/>
  <c r="H64" i="1"/>
  <c r="D64" i="1"/>
  <c r="U63" i="1"/>
  <c r="Q63" i="1"/>
  <c r="H63" i="1"/>
  <c r="D63" i="1"/>
  <c r="T62" i="1"/>
  <c r="S62" i="1"/>
  <c r="U62" i="1"/>
  <c r="Q62" i="1"/>
  <c r="G62" i="1"/>
  <c r="F62" i="1"/>
  <c r="H62" i="1"/>
  <c r="D62" i="1"/>
  <c r="T61" i="1"/>
  <c r="S61" i="1"/>
  <c r="U61" i="1"/>
  <c r="Q61" i="1"/>
  <c r="G61" i="1"/>
  <c r="F61" i="1"/>
  <c r="H61" i="1"/>
  <c r="D61" i="1"/>
  <c r="T60" i="1"/>
  <c r="S60" i="1"/>
  <c r="U60" i="1"/>
  <c r="Q60" i="1"/>
  <c r="G60" i="1"/>
  <c r="F60" i="1"/>
  <c r="H60" i="1"/>
  <c r="D60" i="1"/>
  <c r="T59" i="1"/>
  <c r="S59" i="1"/>
  <c r="U59" i="1"/>
  <c r="Q59" i="1"/>
  <c r="G59" i="1"/>
  <c r="F59" i="1"/>
  <c r="H59" i="1"/>
  <c r="D59" i="1"/>
  <c r="T58" i="1"/>
  <c r="S58" i="1"/>
  <c r="U58" i="1"/>
  <c r="Q58" i="1"/>
  <c r="G58" i="1"/>
  <c r="F58" i="1"/>
  <c r="H58" i="1"/>
  <c r="D58" i="1"/>
  <c r="U57" i="1"/>
  <c r="Q57" i="1"/>
  <c r="H57" i="1"/>
  <c r="D57" i="1"/>
  <c r="Q56" i="1"/>
  <c r="D56" i="1"/>
  <c r="U55" i="1"/>
  <c r="Q55" i="1"/>
  <c r="H55" i="1"/>
  <c r="D55" i="1"/>
  <c r="S53" i="1"/>
  <c r="F53" i="1"/>
  <c r="AG33" i="1"/>
  <c r="AF33" i="1"/>
  <c r="AH33" i="1"/>
  <c r="AD33" i="1"/>
  <c r="AG32" i="1"/>
  <c r="AF32" i="1"/>
  <c r="AH32" i="1"/>
  <c r="AD32" i="1"/>
  <c r="AG31" i="1"/>
  <c r="AH31" i="1"/>
  <c r="AF31" i="1"/>
  <c r="AD31" i="1"/>
  <c r="AG30" i="1"/>
  <c r="AF30" i="1"/>
  <c r="AH30" i="1"/>
  <c r="AD30" i="1"/>
  <c r="AG29" i="1"/>
  <c r="AF29" i="1"/>
  <c r="AH29" i="1"/>
  <c r="AD29" i="1"/>
  <c r="AG28" i="1"/>
  <c r="AF28" i="1"/>
  <c r="AH28" i="1"/>
  <c r="AD28" i="1"/>
  <c r="AG27" i="1"/>
  <c r="AF27" i="1"/>
  <c r="AH27" i="1"/>
  <c r="AD27" i="1"/>
  <c r="AG26" i="1"/>
  <c r="AF26" i="1"/>
  <c r="AH26" i="1"/>
  <c r="AD26" i="1"/>
  <c r="AG25" i="1"/>
  <c r="AF25" i="1"/>
  <c r="AH25" i="1"/>
  <c r="AD25" i="1"/>
  <c r="AG23" i="1"/>
  <c r="AG10" i="1"/>
  <c r="AG24" i="1"/>
  <c r="AF23" i="1"/>
  <c r="AF10" i="1"/>
  <c r="AF24" i="1"/>
  <c r="AH24" i="1"/>
  <c r="AD24" i="1"/>
  <c r="T36" i="1"/>
  <c r="S36" i="1"/>
  <c r="U36" i="1"/>
  <c r="Q36" i="1"/>
  <c r="G36" i="1"/>
  <c r="F36" i="1"/>
  <c r="H36" i="1"/>
  <c r="D36" i="1"/>
  <c r="T35" i="1"/>
  <c r="S35" i="1"/>
  <c r="U35" i="1"/>
  <c r="Q35" i="1"/>
  <c r="G35" i="1"/>
  <c r="F35" i="1"/>
  <c r="H35" i="1"/>
  <c r="D35" i="1"/>
  <c r="T34" i="1"/>
  <c r="U34" i="1"/>
  <c r="S34" i="1"/>
  <c r="Q34" i="1"/>
  <c r="G34" i="1"/>
  <c r="F34" i="1"/>
  <c r="H34" i="1"/>
  <c r="D34" i="1"/>
  <c r="T33" i="1"/>
  <c r="S33" i="1"/>
  <c r="U33" i="1"/>
  <c r="Q33" i="1"/>
  <c r="G33" i="1"/>
  <c r="F33" i="1"/>
  <c r="H33" i="1"/>
  <c r="D33" i="1"/>
  <c r="AH23" i="1"/>
  <c r="AD23" i="1"/>
  <c r="T32" i="1"/>
  <c r="S32" i="1"/>
  <c r="U32" i="1"/>
  <c r="Q32" i="1"/>
  <c r="G32" i="1"/>
  <c r="F32" i="1"/>
  <c r="H32" i="1"/>
  <c r="D32" i="1"/>
  <c r="AG21" i="1"/>
  <c r="AG22" i="1"/>
  <c r="AF21" i="1"/>
  <c r="AF22" i="1"/>
  <c r="AH22" i="1"/>
  <c r="AD22" i="1"/>
  <c r="T31" i="1"/>
  <c r="U31" i="1"/>
  <c r="S31" i="1"/>
  <c r="Q31" i="1"/>
  <c r="G31" i="1"/>
  <c r="F31" i="1"/>
  <c r="H31" i="1"/>
  <c r="D31" i="1"/>
  <c r="T30" i="1"/>
  <c r="S30" i="1"/>
  <c r="U30" i="1"/>
  <c r="Q30" i="1"/>
  <c r="G30" i="1"/>
  <c r="F30" i="1"/>
  <c r="H30" i="1"/>
  <c r="D30" i="1"/>
  <c r="T29" i="1"/>
  <c r="S29" i="1"/>
  <c r="U29" i="1"/>
  <c r="Q29" i="1"/>
  <c r="G29" i="1"/>
  <c r="F29" i="1"/>
  <c r="H29" i="1"/>
  <c r="D29" i="1"/>
  <c r="T28" i="1"/>
  <c r="S28" i="1"/>
  <c r="U28" i="1"/>
  <c r="Q28" i="1"/>
  <c r="G28" i="1"/>
  <c r="F28" i="1"/>
  <c r="H28" i="1"/>
  <c r="D28" i="1"/>
  <c r="AH21" i="1"/>
  <c r="AD21" i="1"/>
  <c r="T24" i="1"/>
  <c r="T10" i="1"/>
  <c r="T27" i="1"/>
  <c r="S24" i="1"/>
  <c r="S10" i="1"/>
  <c r="S27" i="1"/>
  <c r="U27" i="1"/>
  <c r="Q27" i="1"/>
  <c r="G27" i="1"/>
  <c r="F27" i="1"/>
  <c r="H27" i="1"/>
  <c r="D27" i="1"/>
  <c r="AG19" i="1"/>
  <c r="AG20" i="1"/>
  <c r="AF19" i="1"/>
  <c r="AF20" i="1"/>
  <c r="AH20" i="1"/>
  <c r="AD20" i="1"/>
  <c r="T26" i="1"/>
  <c r="S26" i="1"/>
  <c r="U26" i="1"/>
  <c r="Q26" i="1"/>
  <c r="G26" i="1"/>
  <c r="F26" i="1"/>
  <c r="H26" i="1"/>
  <c r="D26" i="1"/>
  <c r="T25" i="1"/>
  <c r="S25" i="1"/>
  <c r="U25" i="1"/>
  <c r="Q25" i="1"/>
  <c r="G25" i="1"/>
  <c r="F25" i="1"/>
  <c r="H25" i="1"/>
  <c r="D25" i="1"/>
  <c r="U24" i="1"/>
  <c r="Q24" i="1"/>
  <c r="G24" i="1"/>
  <c r="F24" i="1"/>
  <c r="H24" i="1"/>
  <c r="D24" i="1"/>
  <c r="T20" i="1"/>
  <c r="T23" i="1"/>
  <c r="S20" i="1"/>
  <c r="S23" i="1"/>
  <c r="U23" i="1"/>
  <c r="Q23" i="1"/>
  <c r="G23" i="1"/>
  <c r="F23" i="1"/>
  <c r="H23" i="1"/>
  <c r="D23" i="1"/>
  <c r="AH19" i="1"/>
  <c r="AD19" i="1"/>
  <c r="T22" i="1"/>
  <c r="S22" i="1"/>
  <c r="U22" i="1"/>
  <c r="Q22" i="1"/>
  <c r="G22" i="1"/>
  <c r="F22" i="1"/>
  <c r="H22" i="1"/>
  <c r="D22" i="1"/>
  <c r="T21" i="1"/>
  <c r="S21" i="1"/>
  <c r="U21" i="1"/>
  <c r="Q21" i="1"/>
  <c r="G21" i="1"/>
  <c r="F21" i="1"/>
  <c r="H21" i="1"/>
  <c r="D21" i="1"/>
  <c r="AH18" i="1"/>
  <c r="U20" i="1"/>
  <c r="Q20" i="1"/>
  <c r="G20" i="1"/>
  <c r="F20" i="1"/>
  <c r="H20" i="1"/>
  <c r="D20" i="1"/>
  <c r="AH17" i="1"/>
  <c r="T16" i="1"/>
  <c r="T19" i="1"/>
  <c r="S16" i="1"/>
  <c r="S19" i="1"/>
  <c r="U19" i="1"/>
  <c r="Q19" i="1"/>
  <c r="G19" i="1"/>
  <c r="F19" i="1"/>
  <c r="H19" i="1"/>
  <c r="D19" i="1"/>
  <c r="AG16" i="1"/>
  <c r="AF16" i="1"/>
  <c r="AH16" i="1"/>
  <c r="AD16" i="1"/>
  <c r="T18" i="1"/>
  <c r="S18" i="1"/>
  <c r="U18" i="1"/>
  <c r="Q18" i="1"/>
  <c r="G18" i="1"/>
  <c r="F18" i="1"/>
  <c r="H18" i="1"/>
  <c r="D18" i="1"/>
  <c r="AG15" i="1"/>
  <c r="AF15" i="1"/>
  <c r="AH15" i="1"/>
  <c r="AD15" i="1"/>
  <c r="T17" i="1"/>
  <c r="S17" i="1"/>
  <c r="U17" i="1"/>
  <c r="Q17" i="1"/>
  <c r="G17" i="1"/>
  <c r="F17" i="1"/>
  <c r="H17" i="1"/>
  <c r="D17" i="1"/>
  <c r="AG14" i="1"/>
  <c r="AF14" i="1"/>
  <c r="AH14" i="1"/>
  <c r="AD14" i="1"/>
  <c r="U16" i="1"/>
  <c r="Q16" i="1"/>
  <c r="G16" i="1"/>
  <c r="F16" i="1"/>
  <c r="H16" i="1"/>
  <c r="D16" i="1"/>
  <c r="AG13" i="1"/>
  <c r="AF13" i="1"/>
  <c r="AH13" i="1"/>
  <c r="AD13" i="1"/>
  <c r="T15" i="1"/>
  <c r="S15" i="1"/>
  <c r="U15" i="1"/>
  <c r="Q15" i="1"/>
  <c r="G15" i="1"/>
  <c r="F15" i="1"/>
  <c r="H15" i="1"/>
  <c r="D15" i="1"/>
  <c r="AG12" i="1"/>
  <c r="AF12" i="1"/>
  <c r="AH12" i="1"/>
  <c r="AD12" i="1"/>
  <c r="T14" i="1"/>
  <c r="S14" i="1"/>
  <c r="U14" i="1"/>
  <c r="Q14" i="1"/>
  <c r="G14" i="1"/>
  <c r="F14" i="1"/>
  <c r="H14" i="1"/>
  <c r="D14" i="1"/>
  <c r="T13" i="1"/>
  <c r="S13" i="1"/>
  <c r="U13" i="1"/>
  <c r="Q13" i="1"/>
  <c r="G13" i="1"/>
  <c r="F13" i="1"/>
  <c r="H13" i="1"/>
  <c r="D13" i="1"/>
  <c r="T12" i="1"/>
  <c r="S12" i="1"/>
  <c r="U12" i="1"/>
  <c r="Q12" i="1"/>
  <c r="G12" i="1"/>
  <c r="F12" i="1"/>
  <c r="H12" i="1"/>
  <c r="D12" i="1"/>
  <c r="AG11" i="1"/>
  <c r="AF11" i="1"/>
  <c r="AH11" i="1"/>
  <c r="AD11" i="1"/>
  <c r="T11" i="1"/>
  <c r="S11" i="1"/>
  <c r="U11" i="1"/>
  <c r="Q11" i="1"/>
  <c r="G11" i="1"/>
  <c r="F11" i="1"/>
  <c r="H11" i="1"/>
  <c r="D11" i="1"/>
  <c r="AH10" i="1"/>
  <c r="AD10" i="1"/>
  <c r="U10" i="1"/>
  <c r="Q10" i="1"/>
  <c r="G10" i="1"/>
  <c r="F10" i="1"/>
  <c r="H10" i="1"/>
  <c r="D10" i="1"/>
  <c r="AD9" i="1"/>
  <c r="Q9" i="1"/>
  <c r="D9" i="1"/>
  <c r="AH8" i="1"/>
  <c r="AD8" i="1"/>
  <c r="U8" i="1"/>
  <c r="Q8" i="1"/>
  <c r="H8" i="1"/>
  <c r="D8" i="1"/>
  <c r="AF6" i="1"/>
  <c r="S6" i="1"/>
  <c r="Q3" i="1"/>
  <c r="D3" i="1"/>
</calcChain>
</file>

<file path=xl/sharedStrings.xml><?xml version="1.0" encoding="utf-8"?>
<sst xmlns="http://schemas.openxmlformats.org/spreadsheetml/2006/main" count="21" uniqueCount="10">
  <si>
    <t>Español</t>
  </si>
  <si>
    <t>esp</t>
  </si>
  <si>
    <t>English</t>
  </si>
  <si>
    <t>eng</t>
  </si>
  <si>
    <t>idioma</t>
  </si>
  <si>
    <t>PRISA MEDIA</t>
  </si>
  <si>
    <t>Prisa Radio</t>
  </si>
  <si>
    <t>Prisa Noticias</t>
  </si>
  <si>
    <t>Variable expense</t>
  </si>
  <si>
    <t>Fixed expense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</si>
</sst>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#,##0.0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Neo Sans Pro"/>
      <family val="2"/>
    </font>
    <font>
      <sz val="11"/>
      <color theme="1"/>
      <name val="Neo Sans Pro"/>
      <family val="2"/>
    </font>
    <font>
      <sz val="10"/>
      <color theme="1"/>
      <name val="Neo Sans Pro"/>
      <family val="2"/>
    </font>
    <font>
      <b/>
      <sz val="12"/>
      <color rgb="FF0070C0"/>
      <name val="Neo Sans Pro"/>
      <family val="2"/>
    </font>
    <font>
      <b/>
      <sz val="10"/>
      <color theme="0"/>
      <name val="Neo Sans Pro"/>
      <family val="2"/>
    </font>
    <font>
      <b/>
      <sz val="11"/>
      <color rgb="FF03678B"/>
      <name val="Neo Sans Pro"/>
      <family val="2"/>
    </font>
    <font>
      <b/>
      <sz val="11"/>
      <color theme="1"/>
      <name val="Neo Sans Pro"/>
      <family val="2"/>
    </font>
    <font>
      <i/>
      <sz val="11"/>
      <color theme="1"/>
      <name val="Neo Sans Pro"/>
      <family val="2"/>
    </font>
    <font>
      <sz val="11"/>
      <color rgb="FFFF0000"/>
      <name val="Neo Sans Pro"/>
      <family val="2"/>
    </font>
    <font>
      <sz val="8"/>
      <color rgb="FFFF0000"/>
      <name val="Neo Sans Pro"/>
      <family val="2"/>
    </font>
    <font>
      <b/>
      <sz val="10"/>
      <color theme="1"/>
      <name val="Neo Sans Pro"/>
      <family val="2"/>
    </font>
    <font>
      <sz val="9"/>
      <color rgb="FFFF0000"/>
      <name val="Neo Sans Pro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3678B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E00076"/>
        <bgColor indexed="64"/>
      </patternFill>
    </fill>
  </fills>
  <borders count="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ashed">
        <color theme="4" tint="-0.499984740745262"/>
      </bottom>
      <diagonal/>
    </border>
    <border>
      <left/>
      <right/>
      <top/>
      <bottom style="thin">
        <color rgb="FF03678B"/>
      </bottom>
      <diagonal/>
    </border>
    <border>
      <left style="thin">
        <color rgb="FF03678B"/>
      </left>
      <right style="thin">
        <color rgb="FF03678B"/>
      </right>
      <top style="thin">
        <color rgb="FF03678B"/>
      </top>
      <bottom/>
      <diagonal/>
    </border>
    <border>
      <left style="thin">
        <color rgb="FF03678B"/>
      </left>
      <right style="thin">
        <color rgb="FF03678B"/>
      </right>
      <top/>
      <bottom style="thin">
        <color rgb="FF03678B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1">
    <xf numFmtId="0" fontId="0" fillId="0" borderId="0" xfId="0"/>
    <xf numFmtId="0" fontId="2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0" xfId="0" applyFont="1" applyFill="1"/>
    <xf numFmtId="0" fontId="2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5" fillId="2" borderId="5" xfId="0" applyFont="1" applyFill="1" applyBorder="1"/>
    <xf numFmtId="0" fontId="4" fillId="2" borderId="5" xfId="0" applyFont="1" applyFill="1" applyBorder="1"/>
    <xf numFmtId="164" fontId="4" fillId="2" borderId="5" xfId="1" applyNumberFormat="1" applyFont="1" applyFill="1" applyBorder="1"/>
    <xf numFmtId="0" fontId="4" fillId="2" borderId="0" xfId="0" applyFont="1" applyFill="1"/>
    <xf numFmtId="0" fontId="6" fillId="3" borderId="0" xfId="0" applyFont="1" applyFill="1" applyAlignment="1">
      <alignment horizontal="centerContinuous" vertical="center"/>
    </xf>
    <xf numFmtId="0" fontId="4" fillId="3" borderId="0" xfId="0" applyFont="1" applyFill="1" applyAlignment="1">
      <alignment horizontal="centerContinuous" vertical="center"/>
    </xf>
    <xf numFmtId="0" fontId="6" fillId="2" borderId="0" xfId="0" applyFont="1" applyFill="1" applyAlignment="1">
      <alignment horizontal="centerContinuous" vertical="center"/>
    </xf>
    <xf numFmtId="0" fontId="4" fillId="2" borderId="0" xfId="0" applyFont="1" applyFill="1" applyAlignment="1">
      <alignment horizontal="centerContinuous" vertical="center"/>
    </xf>
    <xf numFmtId="0" fontId="2" fillId="2" borderId="0" xfId="0" applyFont="1" applyFill="1"/>
    <xf numFmtId="0" fontId="6" fillId="3" borderId="0" xfId="0" applyFont="1" applyFill="1" applyAlignment="1">
      <alignment horizontal="right" vertical="center" indent="1"/>
    </xf>
    <xf numFmtId="0" fontId="6" fillId="2" borderId="0" xfId="0" applyFont="1" applyFill="1" applyAlignment="1">
      <alignment horizontal="right" vertical="center" indent="1"/>
    </xf>
    <xf numFmtId="0" fontId="7" fillId="2" borderId="6" xfId="0" applyFont="1" applyFill="1" applyBorder="1"/>
    <xf numFmtId="0" fontId="3" fillId="2" borderId="6" xfId="0" applyFont="1" applyFill="1" applyBorder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165" fontId="8" fillId="4" borderId="0" xfId="0" applyNumberFormat="1" applyFont="1" applyFill="1" applyAlignment="1">
      <alignment horizontal="right" vertical="center" indent="1"/>
    </xf>
    <xf numFmtId="165" fontId="8" fillId="2" borderId="0" xfId="0" applyNumberFormat="1" applyFont="1" applyFill="1" applyAlignment="1">
      <alignment horizontal="right" vertical="center" indent="1"/>
    </xf>
    <xf numFmtId="164" fontId="8" fillId="5" borderId="0" xfId="1" applyNumberFormat="1" applyFont="1" applyFill="1" applyAlignment="1">
      <alignment horizontal="right" vertical="center" indent="1"/>
    </xf>
    <xf numFmtId="164" fontId="8" fillId="2" borderId="0" xfId="1" applyNumberFormat="1" applyFont="1" applyFill="1" applyBorder="1" applyAlignment="1">
      <alignment horizontal="right" vertical="center" indent="1"/>
    </xf>
    <xf numFmtId="0" fontId="3" fillId="2" borderId="0" xfId="0" applyFont="1" applyFill="1" applyAlignment="1">
      <alignment horizontal="left" vertical="center" indent="1"/>
    </xf>
    <xf numFmtId="165" fontId="3" fillId="4" borderId="0" xfId="0" applyNumberFormat="1" applyFont="1" applyFill="1" applyAlignment="1">
      <alignment horizontal="right" vertical="center" indent="1"/>
    </xf>
    <xf numFmtId="165" fontId="3" fillId="2" borderId="0" xfId="0" applyNumberFormat="1" applyFont="1" applyFill="1" applyAlignment="1">
      <alignment horizontal="right" vertical="center" indent="1"/>
    </xf>
    <xf numFmtId="164" fontId="3" fillId="5" borderId="0" xfId="1" applyNumberFormat="1" applyFont="1" applyFill="1" applyAlignment="1">
      <alignment horizontal="right" vertical="center" indent="1"/>
    </xf>
    <xf numFmtId="164" fontId="3" fillId="2" borderId="0" xfId="1" applyNumberFormat="1" applyFont="1" applyFill="1" applyBorder="1" applyAlignment="1">
      <alignment horizontal="right" vertical="center" indent="1"/>
    </xf>
    <xf numFmtId="0" fontId="4" fillId="2" borderId="0" xfId="0" applyFont="1" applyFill="1" applyAlignment="1">
      <alignment horizontal="left" vertical="center" indent="3"/>
    </xf>
    <xf numFmtId="165" fontId="4" fillId="2" borderId="0" xfId="0" applyNumberFormat="1" applyFont="1" applyFill="1" applyAlignment="1">
      <alignment horizontal="right" vertical="center" indent="1"/>
    </xf>
    <xf numFmtId="164" fontId="4" fillId="2" borderId="0" xfId="1" applyNumberFormat="1" applyFont="1" applyFill="1" applyBorder="1" applyAlignment="1">
      <alignment horizontal="right" vertical="center" indent="1"/>
    </xf>
    <xf numFmtId="0" fontId="9" fillId="2" borderId="0" xfId="0" applyFont="1" applyFill="1" applyAlignment="1">
      <alignment horizontal="left" vertical="center" indent="1"/>
    </xf>
    <xf numFmtId="0" fontId="9" fillId="2" borderId="0" xfId="0" applyFont="1" applyFill="1"/>
    <xf numFmtId="164" fontId="9" fillId="4" borderId="0" xfId="1" applyNumberFormat="1" applyFont="1" applyFill="1" applyAlignment="1">
      <alignment vertical="center"/>
    </xf>
    <xf numFmtId="164" fontId="9" fillId="2" borderId="0" xfId="1" applyNumberFormat="1" applyFont="1" applyFill="1" applyAlignment="1">
      <alignment vertical="center"/>
    </xf>
    <xf numFmtId="164" fontId="9" fillId="5" borderId="0" xfId="1" applyNumberFormat="1" applyFont="1" applyFill="1" applyAlignment="1">
      <alignment horizontal="right" vertical="center" indent="1"/>
    </xf>
    <xf numFmtId="164" fontId="9" fillId="2" borderId="0" xfId="1" applyNumberFormat="1" applyFont="1" applyFill="1" applyBorder="1" applyAlignment="1">
      <alignment vertical="center"/>
    </xf>
    <xf numFmtId="164" fontId="9" fillId="2" borderId="0" xfId="1" applyNumberFormat="1" applyFont="1" applyFill="1" applyBorder="1" applyAlignment="1">
      <alignment horizontal="right" vertical="center" indent="1"/>
    </xf>
    <xf numFmtId="164" fontId="4" fillId="2" borderId="0" xfId="1" applyNumberFormat="1" applyFont="1" applyFill="1" applyAlignment="1">
      <alignment horizontal="right" vertical="center" indent="1"/>
    </xf>
    <xf numFmtId="0" fontId="3" fillId="6" borderId="0" xfId="0" applyFont="1" applyFill="1"/>
    <xf numFmtId="0" fontId="10" fillId="2" borderId="0" xfId="0" applyFont="1" applyFill="1"/>
    <xf numFmtId="4" fontId="11" fillId="2" borderId="0" xfId="0" applyNumberFormat="1" applyFont="1" applyFill="1" applyAlignment="1">
      <alignment horizontal="center" vertical="center"/>
    </xf>
    <xf numFmtId="0" fontId="7" fillId="2" borderId="0" xfId="0" applyFont="1" applyFill="1"/>
    <xf numFmtId="0" fontId="3" fillId="2" borderId="0" xfId="0" applyFont="1" applyFill="1" applyAlignment="1">
      <alignment horizontal="left" vertical="center" indent="3"/>
    </xf>
    <xf numFmtId="0" fontId="13" fillId="2" borderId="0" xfId="0" applyFont="1" applyFill="1"/>
    <xf numFmtId="0" fontId="12" fillId="2" borderId="7" xfId="0" applyFont="1" applyFill="1" applyBorder="1" applyAlignment="1">
      <alignment horizontal="left" vertical="center" wrapText="1"/>
    </xf>
    <xf numFmtId="0" fontId="12" fillId="2" borderId="8" xfId="0" applyFont="1" applyFill="1" applyBorder="1" applyAlignment="1">
      <alignment horizontal="left" vertical="center" wrapText="1"/>
    </xf>
    <xf numFmtId="0" fontId="12" fillId="2" borderId="0" xfId="0" applyFont="1" applyFill="1" applyAlignment="1">
      <alignment horizontal="left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ablas%20NOTA%20I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UPO"/>
      <sheetName val="EDUCACIÓN"/>
      <sheetName val="MEDIA"/>
      <sheetName val="To Publish"/>
    </sheetNames>
    <sheetDataSet>
      <sheetData sheetId="0">
        <row r="10">
          <cell r="F10">
            <v>210.58735834039521</v>
          </cell>
          <cell r="G10">
            <v>158.51658144846473</v>
          </cell>
        </row>
        <row r="11">
          <cell r="F11">
            <v>67.329898539999931</v>
          </cell>
          <cell r="G11">
            <v>65.213687410000006</v>
          </cell>
        </row>
        <row r="12">
          <cell r="F12">
            <v>143.25745980039528</v>
          </cell>
          <cell r="G12">
            <v>93.302894038464729</v>
          </cell>
        </row>
        <row r="13">
          <cell r="F13">
            <v>169.29717417319864</v>
          </cell>
          <cell r="G13">
            <v>146.21046737362451</v>
          </cell>
        </row>
        <row r="14">
          <cell r="F14">
            <v>76.383327979999962</v>
          </cell>
          <cell r="G14">
            <v>82.257625590000202</v>
          </cell>
        </row>
        <row r="15">
          <cell r="F15">
            <v>92.91384619319868</v>
          </cell>
          <cell r="G15">
            <v>63.952841783624294</v>
          </cell>
        </row>
        <row r="16">
          <cell r="F16">
            <v>41.290184167196557</v>
          </cell>
          <cell r="G16">
            <v>12.306114074840236</v>
          </cell>
        </row>
        <row r="17">
          <cell r="F17">
            <v>-9.0534294400000377</v>
          </cell>
          <cell r="G17">
            <v>-17.043938180000204</v>
          </cell>
        </row>
        <row r="18">
          <cell r="F18">
            <v>50.343613607196595</v>
          </cell>
          <cell r="G18">
            <v>29.350052254840438</v>
          </cell>
        </row>
        <row r="19">
          <cell r="F19">
            <v>0.19607152344090262</v>
          </cell>
          <cell r="G19">
            <v>7.7632976704339746E-2</v>
          </cell>
        </row>
        <row r="20">
          <cell r="F20">
            <v>43.777987223239201</v>
          </cell>
          <cell r="G20">
            <v>17.08371216388354</v>
          </cell>
        </row>
        <row r="21">
          <cell r="F21">
            <v>-7.1762125900000413</v>
          </cell>
          <cell r="G21">
            <v>-13.756565780000201</v>
          </cell>
        </row>
        <row r="22">
          <cell r="F22">
            <v>50.954199813239242</v>
          </cell>
          <cell r="G22">
            <v>30.840277943883741</v>
          </cell>
        </row>
        <row r="23">
          <cell r="F23">
            <v>0.20788516256743239</v>
          </cell>
          <cell r="G23">
            <v>0.10777239836854303</v>
          </cell>
        </row>
        <row r="24">
          <cell r="F24">
            <v>23.802381323951387</v>
          </cell>
          <cell r="G24">
            <v>-4.5422962159075864</v>
          </cell>
        </row>
        <row r="25">
          <cell r="F25">
            <v>-15.574103380000089</v>
          </cell>
          <cell r="G25">
            <v>-22.939316960000163</v>
          </cell>
        </row>
        <row r="26">
          <cell r="F26">
            <v>39.376484703951476</v>
          </cell>
          <cell r="G26">
            <v>18.397020744092575</v>
          </cell>
        </row>
        <row r="27">
          <cell r="F27">
            <v>0.11302853842478527</v>
          </cell>
          <cell r="G27">
            <v>-2.8655022549702983E-2</v>
          </cell>
        </row>
        <row r="28">
          <cell r="F28">
            <v>-15.479934221941901</v>
          </cell>
          <cell r="G28">
            <v>-7.139595696873557</v>
          </cell>
        </row>
        <row r="29">
          <cell r="F29">
            <v>-16.241058375938071</v>
          </cell>
          <cell r="G29">
            <v>-12.749603917566901</v>
          </cell>
        </row>
        <row r="30">
          <cell r="F30">
            <v>0.76112415399616928</v>
          </cell>
          <cell r="G30">
            <v>5.6100082206933441</v>
          </cell>
        </row>
        <row r="31">
          <cell r="F31">
            <v>-7.7331496663443716E-2</v>
          </cell>
          <cell r="G31">
            <v>-0.37289308740165872</v>
          </cell>
        </row>
        <row r="32">
          <cell r="F32">
            <v>8.2451156053460419</v>
          </cell>
          <cell r="G32">
            <v>-12.054785000182802</v>
          </cell>
        </row>
        <row r="33">
          <cell r="F33">
            <v>8.980550427854908</v>
          </cell>
          <cell r="G33">
            <v>3.6694249003337247</v>
          </cell>
        </row>
        <row r="34">
          <cell r="F34">
            <v>0</v>
          </cell>
          <cell r="G34">
            <v>-1.9180000000005749E-5</v>
          </cell>
        </row>
        <row r="35">
          <cell r="F35">
            <v>-0.83921191567970155</v>
          </cell>
          <cell r="G35">
            <v>-1.948006584721351</v>
          </cell>
        </row>
        <row r="36">
          <cell r="F36">
            <v>0.10377709317091091</v>
          </cell>
          <cell r="G36">
            <v>-13.776222495795086</v>
          </cell>
        </row>
        <row r="88">
          <cell r="F88">
            <v>205.74857120410232</v>
          </cell>
          <cell r="G88">
            <v>158.51658144846473</v>
          </cell>
        </row>
        <row r="89">
          <cell r="F89">
            <v>67.329898539999959</v>
          </cell>
          <cell r="G89">
            <v>65.213687410000006</v>
          </cell>
        </row>
        <row r="90">
          <cell r="F90">
            <v>138.41867266410236</v>
          </cell>
          <cell r="G90">
            <v>93.302894038464729</v>
          </cell>
        </row>
        <row r="91">
          <cell r="F91">
            <v>165.28613067848033</v>
          </cell>
          <cell r="G91">
            <v>146.21046737362451</v>
          </cell>
        </row>
        <row r="92">
          <cell r="F92">
            <v>76.38332797999999</v>
          </cell>
          <cell r="G92">
            <v>82.257625590000202</v>
          </cell>
        </row>
        <row r="93">
          <cell r="F93">
            <v>88.902802698480329</v>
          </cell>
          <cell r="G93">
            <v>63.952841783624294</v>
          </cell>
        </row>
        <row r="94">
          <cell r="F94">
            <v>40.462440525622</v>
          </cell>
          <cell r="G94">
            <v>12.306114074840236</v>
          </cell>
        </row>
        <row r="95">
          <cell r="F95">
            <v>-9.0534294400000306</v>
          </cell>
          <cell r="G95">
            <v>-17.043938180000204</v>
          </cell>
        </row>
        <row r="96">
          <cell r="F96">
            <v>49.515869965622031</v>
          </cell>
          <cell r="G96">
            <v>29.350052254840438</v>
          </cell>
        </row>
        <row r="98">
          <cell r="F98">
            <v>42.95671977926316</v>
          </cell>
          <cell r="G98">
            <v>17.08371216388354</v>
          </cell>
        </row>
        <row r="99">
          <cell r="F99">
            <v>-7.1762125900000413</v>
          </cell>
          <cell r="G99">
            <v>-13.756565780000201</v>
          </cell>
        </row>
        <row r="100">
          <cell r="F100">
            <v>50.132932369263202</v>
          </cell>
          <cell r="G100">
            <v>30.840277943883741</v>
          </cell>
        </row>
        <row r="102">
          <cell r="F102">
            <v>23.265225314857378</v>
          </cell>
          <cell r="G102">
            <v>-4.5422962159075864</v>
          </cell>
        </row>
        <row r="103">
          <cell r="F103">
            <v>-15.5741033800001</v>
          </cell>
          <cell r="G103">
            <v>-22.939316960000163</v>
          </cell>
        </row>
        <row r="104">
          <cell r="F104">
            <v>38.839328694857478</v>
          </cell>
          <cell r="G104">
            <v>18.397020744092575</v>
          </cell>
        </row>
        <row r="113">
          <cell r="F113">
            <v>210.58735834039521</v>
          </cell>
          <cell r="G113">
            <v>158.51658144846473</v>
          </cell>
        </row>
        <row r="114">
          <cell r="F114">
            <v>128.36706190343418</v>
          </cell>
          <cell r="G114">
            <v>81.973272202614567</v>
          </cell>
        </row>
        <row r="115">
          <cell r="F115">
            <v>82.54161002200496</v>
          </cell>
          <cell r="G115">
            <v>76.994704155209462</v>
          </cell>
        </row>
        <row r="116">
          <cell r="F116">
            <v>48.665585013268434</v>
          </cell>
          <cell r="G116">
            <v>41.277071328214191</v>
          </cell>
        </row>
        <row r="117">
          <cell r="F117">
            <v>34.186822312497917</v>
          </cell>
          <cell r="G117">
            <v>35.817662163862693</v>
          </cell>
        </row>
        <row r="118">
          <cell r="F118">
            <v>-0.31079730376139025</v>
          </cell>
          <cell r="G118">
            <v>-0.1000293368674221</v>
          </cell>
        </row>
        <row r="119">
          <cell r="F119">
            <v>-0.32131358504392438</v>
          </cell>
          <cell r="G119">
            <v>-0.45139490935929416</v>
          </cell>
        </row>
        <row r="122">
          <cell r="F122">
            <v>41.290184167196557</v>
          </cell>
          <cell r="G122">
            <v>12.306114074840236</v>
          </cell>
        </row>
        <row r="123">
          <cell r="F123">
            <v>44.548233707253821</v>
          </cell>
          <cell r="G123">
            <v>23.239009985863333</v>
          </cell>
        </row>
        <row r="124">
          <cell r="F124">
            <v>-1.8262671000571873</v>
          </cell>
          <cell r="G124">
            <v>-7.4751540810229002</v>
          </cell>
        </row>
        <row r="125">
          <cell r="F125">
            <v>0.92756705437407883</v>
          </cell>
          <cell r="G125">
            <v>-4.4917523685174734</v>
          </cell>
        </row>
        <row r="126">
          <cell r="F126">
            <v>-2.5951602233057871</v>
          </cell>
          <cell r="G126">
            <v>-2.7801717247119591</v>
          </cell>
        </row>
        <row r="127">
          <cell r="F127">
            <v>-0.15867393112547923</v>
          </cell>
          <cell r="G127">
            <v>-0.20322998779346779</v>
          </cell>
        </row>
        <row r="128">
          <cell r="F128">
            <v>-1.4317824400000772</v>
          </cell>
          <cell r="G128">
            <v>-3.457741830000197</v>
          </cell>
        </row>
        <row r="131">
          <cell r="F131">
            <v>43.777987223239201</v>
          </cell>
          <cell r="G131">
            <v>17.08371216388354</v>
          </cell>
        </row>
        <row r="132">
          <cell r="F132">
            <v>45.241873370437361</v>
          </cell>
          <cell r="G132">
            <v>24.540263168747227</v>
          </cell>
        </row>
        <row r="133">
          <cell r="F133">
            <v>-3.2103727198083104E-2</v>
          </cell>
          <cell r="G133">
            <v>-4.7590224848634897</v>
          </cell>
        </row>
        <row r="134">
          <cell r="F134">
            <v>2.2800151621928171</v>
          </cell>
          <cell r="G134">
            <v>-3.3255692219018642</v>
          </cell>
        </row>
        <row r="135">
          <cell r="F135">
            <v>-2.5351590233057868</v>
          </cell>
          <cell r="G135">
            <v>-1.3012549314623225</v>
          </cell>
        </row>
        <row r="136">
          <cell r="F136">
            <v>0.22304013391488642</v>
          </cell>
          <cell r="G136">
            <v>-0.13219833149930293</v>
          </cell>
        </row>
        <row r="137">
          <cell r="F137">
            <v>-1.4317824200000768</v>
          </cell>
          <cell r="G137">
            <v>-2.6975285200001977</v>
          </cell>
        </row>
        <row r="144">
          <cell r="F144">
            <v>205.74857120410232</v>
          </cell>
          <cell r="G144">
            <v>158.51658144846473</v>
          </cell>
        </row>
        <row r="145">
          <cell r="F145">
            <v>123.31556193610034</v>
          </cell>
          <cell r="G145">
            <v>81.973272202614567</v>
          </cell>
        </row>
        <row r="146">
          <cell r="F146">
            <v>82.754322853045892</v>
          </cell>
          <cell r="G146">
            <v>76.994704155209462</v>
          </cell>
        </row>
        <row r="147">
          <cell r="F147">
            <v>48.933627158815796</v>
          </cell>
          <cell r="G147">
            <v>41.277071328214191</v>
          </cell>
        </row>
        <row r="148">
          <cell r="F148">
            <v>34.178727243046275</v>
          </cell>
          <cell r="G148">
            <v>35.817662163862693</v>
          </cell>
        </row>
        <row r="149">
          <cell r="F149">
            <v>-0.35803154881617871</v>
          </cell>
          <cell r="G149">
            <v>-0.1000293368674221</v>
          </cell>
        </row>
        <row r="150">
          <cell r="F150">
            <v>-0.32131358504391017</v>
          </cell>
          <cell r="G150">
            <v>-0.45139490935929416</v>
          </cell>
        </row>
        <row r="153">
          <cell r="F153">
            <v>40.462440525622</v>
          </cell>
          <cell r="G153">
            <v>12.306114074840236</v>
          </cell>
        </row>
        <row r="154">
          <cell r="F154">
            <v>43.789385626920634</v>
          </cell>
          <cell r="G154">
            <v>23.239009985863333</v>
          </cell>
        </row>
        <row r="155">
          <cell r="F155">
            <v>-1.8951626612985637</v>
          </cell>
          <cell r="G155">
            <v>-7.4751540810229002</v>
          </cell>
        </row>
        <row r="156">
          <cell r="F156">
            <v>0.8681120439647253</v>
          </cell>
          <cell r="G156">
            <v>-4.4917523685174734</v>
          </cell>
        </row>
        <row r="157">
          <cell r="F157">
            <v>-2.6097095570080331</v>
          </cell>
          <cell r="G157">
            <v>-2.7801717247119591</v>
          </cell>
        </row>
        <row r="158">
          <cell r="F158">
            <v>-0.15356514825525602</v>
          </cell>
          <cell r="G158">
            <v>-0.20322998779346779</v>
          </cell>
        </row>
        <row r="159">
          <cell r="F159">
            <v>-1.43178244000007</v>
          </cell>
          <cell r="G159">
            <v>-3.457741830000197</v>
          </cell>
        </row>
        <row r="162">
          <cell r="F162">
            <v>42.95671977926316</v>
          </cell>
          <cell r="G162">
            <v>17.08371216388354</v>
          </cell>
        </row>
        <row r="163">
          <cell r="F163">
            <v>44.489544836254858</v>
          </cell>
          <cell r="G163">
            <v>24.540263168747227</v>
          </cell>
        </row>
        <row r="164">
          <cell r="F164">
            <v>-0.10104263699162107</v>
          </cell>
          <cell r="G164">
            <v>-4.7590224848634897</v>
          </cell>
        </row>
        <row r="165">
          <cell r="F165">
            <v>2.2214907137160225</v>
          </cell>
          <cell r="G165">
            <v>-3.3255692219018642</v>
          </cell>
        </row>
        <row r="166">
          <cell r="F166">
            <v>-2.5497083570080332</v>
          </cell>
          <cell r="G166">
            <v>-1.3012549314623225</v>
          </cell>
        </row>
        <row r="167">
          <cell r="F167">
            <v>0.22717500630038989</v>
          </cell>
          <cell r="G167">
            <v>-0.13219833149930293</v>
          </cell>
        </row>
        <row r="168">
          <cell r="F168">
            <v>-1.4317824200000764</v>
          </cell>
          <cell r="G168">
            <v>-2.6975285200001977</v>
          </cell>
        </row>
      </sheetData>
      <sheetData sheetId="1">
        <row r="10">
          <cell r="F10">
            <v>128.36706190343418</v>
          </cell>
          <cell r="G10">
            <v>81.973272202614567</v>
          </cell>
        </row>
        <row r="11">
          <cell r="F11">
            <v>113.0408876170619</v>
          </cell>
          <cell r="G11">
            <v>74.521379434891713</v>
          </cell>
        </row>
        <row r="12">
          <cell r="F12">
            <v>15.319755473693782</v>
          </cell>
          <cell r="G12">
            <v>7.4862434735653114</v>
          </cell>
        </row>
        <row r="13">
          <cell r="F13">
            <v>83.818828196180363</v>
          </cell>
          <cell r="G13">
            <v>58.734262216751233</v>
          </cell>
        </row>
        <row r="14">
          <cell r="F14">
            <v>69.431062927359335</v>
          </cell>
          <cell r="G14">
            <v>48.73769231178057</v>
          </cell>
        </row>
        <row r="15">
          <cell r="F15">
            <v>14.347067950870738</v>
          </cell>
          <cell r="G15">
            <v>9.9945400410574248</v>
          </cell>
        </row>
        <row r="16">
          <cell r="F16">
            <v>44.548233707253821</v>
          </cell>
          <cell r="G16">
            <v>23.239009985863333</v>
          </cell>
        </row>
        <row r="17">
          <cell r="F17">
            <v>43.609824689702563</v>
          </cell>
          <cell r="G17">
            <v>25.783687123111143</v>
          </cell>
        </row>
        <row r="18">
          <cell r="F18">
            <v>0.97268752282304471</v>
          </cell>
          <cell r="G18">
            <v>-2.5082965674921134</v>
          </cell>
        </row>
        <row r="20">
          <cell r="F20">
            <v>45.241873370437361</v>
          </cell>
          <cell r="G20">
            <v>24.540263168747227</v>
          </cell>
        </row>
        <row r="21">
          <cell r="F21">
            <v>44.111908390687972</v>
          </cell>
          <cell r="G21">
            <v>26.407177135700913</v>
          </cell>
        </row>
        <row r="22">
          <cell r="F22">
            <v>1.1642407982388785</v>
          </cell>
          <cell r="G22">
            <v>-1.8278874715210056</v>
          </cell>
        </row>
        <row r="24">
          <cell r="F24">
            <v>34.323873489107847</v>
          </cell>
          <cell r="G24">
            <v>12.875162207788966</v>
          </cell>
        </row>
        <row r="25">
          <cell r="F25">
            <v>34.675309688827028</v>
          </cell>
          <cell r="G25">
            <v>16.128869926187772</v>
          </cell>
        </row>
        <row r="26">
          <cell r="F26">
            <v>-0.29911625904846967</v>
          </cell>
          <cell r="G26">
            <v>-3.2688018804978651</v>
          </cell>
        </row>
        <row r="28">
          <cell r="F28">
            <v>-0.84504423219943758</v>
          </cell>
          <cell r="G28">
            <v>0.28028948361040618</v>
          </cell>
        </row>
        <row r="29">
          <cell r="F29">
            <v>-2.4498901386224041</v>
          </cell>
          <cell r="G29">
            <v>-2.0814268588007674</v>
          </cell>
        </row>
        <row r="30">
          <cell r="F30">
            <v>1.6048459064229665</v>
          </cell>
          <cell r="G30">
            <v>2.3617163424111736</v>
          </cell>
        </row>
        <row r="31">
          <cell r="F31">
            <v>0</v>
          </cell>
          <cell r="G31">
            <v>0</v>
          </cell>
        </row>
        <row r="32">
          <cell r="F32">
            <v>33.478829256908412</v>
          </cell>
          <cell r="G32">
            <v>13.155451691399373</v>
          </cell>
        </row>
        <row r="33">
          <cell r="F33">
            <v>9.3645697068536773</v>
          </cell>
          <cell r="G33">
            <v>4.2475967554266081</v>
          </cell>
        </row>
        <row r="34">
          <cell r="F34">
            <v>0</v>
          </cell>
          <cell r="G34">
            <v>0</v>
          </cell>
        </row>
        <row r="35">
          <cell r="F35">
            <v>0.19918074160079374</v>
          </cell>
          <cell r="G35">
            <v>8.8860721739601342E-2</v>
          </cell>
        </row>
        <row r="36">
          <cell r="F36">
            <v>23.915078808453991</v>
          </cell>
          <cell r="G36">
            <v>8.8189942142331823</v>
          </cell>
        </row>
        <row r="45">
          <cell r="F45">
            <v>123.31556193610034</v>
          </cell>
          <cell r="G45">
            <v>81.973272202614567</v>
          </cell>
        </row>
        <row r="46">
          <cell r="F46">
            <v>109.78335281751404</v>
          </cell>
          <cell r="G46">
            <v>74.521379434891713</v>
          </cell>
        </row>
        <row r="47">
          <cell r="F47">
            <v>13.525790305907808</v>
          </cell>
          <cell r="G47">
            <v>7.4862434735653114</v>
          </cell>
        </row>
        <row r="48">
          <cell r="F48">
            <v>79.526176309179704</v>
          </cell>
          <cell r="G48">
            <v>58.734262216751233</v>
          </cell>
        </row>
        <row r="49">
          <cell r="F49">
            <v>66.523535320444608</v>
          </cell>
          <cell r="G49">
            <v>48.73769231178057</v>
          </cell>
        </row>
        <row r="50">
          <cell r="F50">
            <v>12.961943670784814</v>
          </cell>
          <cell r="G50">
            <v>9.9945400410574248</v>
          </cell>
        </row>
        <row r="51">
          <cell r="F51">
            <v>43.789385626920634</v>
          </cell>
          <cell r="G51">
            <v>23.239009985863333</v>
          </cell>
        </row>
        <row r="52">
          <cell r="F52">
            <v>43.259817497069427</v>
          </cell>
          <cell r="G52">
            <v>25.783687123111143</v>
          </cell>
        </row>
        <row r="53">
          <cell r="F53">
            <v>0.5638466351229936</v>
          </cell>
          <cell r="G53">
            <v>-2.5082965674921134</v>
          </cell>
        </row>
        <row r="55">
          <cell r="F55">
            <v>44.489544836254858</v>
          </cell>
          <cell r="G55">
            <v>24.540263168747227</v>
          </cell>
        </row>
        <row r="56">
          <cell r="F56">
            <v>43.775464919286911</v>
          </cell>
          <cell r="G56">
            <v>26.407177135700913</v>
          </cell>
        </row>
        <row r="57">
          <cell r="F57">
            <v>0.74835573545742862</v>
          </cell>
          <cell r="G57">
            <v>-1.8278874715210056</v>
          </cell>
        </row>
        <row r="59">
          <cell r="F59">
            <v>33.874709780481957</v>
          </cell>
          <cell r="G59">
            <v>12.875162207788966</v>
          </cell>
        </row>
        <row r="60">
          <cell r="F60">
            <v>34.509741166330826</v>
          </cell>
          <cell r="G60">
            <v>16.128869926187772</v>
          </cell>
        </row>
        <row r="61">
          <cell r="F61">
            <v>-0.58271144517815832</v>
          </cell>
          <cell r="G61">
            <v>-3.2688018804978651</v>
          </cell>
        </row>
      </sheetData>
      <sheetData sheetId="2">
        <row r="10">
          <cell r="F10">
            <v>82.54161002200496</v>
          </cell>
          <cell r="G10">
            <v>76.994704155209462</v>
          </cell>
        </row>
        <row r="11">
          <cell r="F11">
            <v>62.222445486234172</v>
          </cell>
          <cell r="G11">
            <v>56.1162430953474</v>
          </cell>
        </row>
        <row r="14">
          <cell r="F14">
            <v>13.238739540000003</v>
          </cell>
          <cell r="G14">
            <v>12.843609089999999</v>
          </cell>
        </row>
        <row r="15">
          <cell r="F15">
            <v>10.113391984231482</v>
          </cell>
          <cell r="G15">
            <v>10.507835629999999</v>
          </cell>
        </row>
        <row r="16">
          <cell r="F16">
            <v>3.1253475557685202</v>
          </cell>
          <cell r="G16">
            <v>2.33577346</v>
          </cell>
        </row>
        <row r="17">
          <cell r="F17">
            <v>7.0804249957707857</v>
          </cell>
          <cell r="G17">
            <v>8.0348519698620624</v>
          </cell>
        </row>
        <row r="30">
          <cell r="F30">
            <v>-1.8262671000571873</v>
          </cell>
          <cell r="G30">
            <v>-7.4751540810229002</v>
          </cell>
        </row>
        <row r="37">
          <cell r="F37">
            <v>-3.2103727198083104E-2</v>
          </cell>
          <cell r="G37">
            <v>-4.7590224848634897</v>
          </cell>
        </row>
        <row r="44">
          <cell r="F44">
            <v>-8.9260365151562748</v>
          </cell>
          <cell r="G44">
            <v>-13.734996033696341</v>
          </cell>
        </row>
        <row r="51">
          <cell r="F51">
            <v>-0.43858385974244835</v>
          </cell>
          <cell r="G51">
            <v>-1.3653987404839611</v>
          </cell>
        </row>
        <row r="52">
          <cell r="F52">
            <v>-1.1281023973156619</v>
          </cell>
          <cell r="G52">
            <v>-1.2785197487661342</v>
          </cell>
        </row>
        <row r="53">
          <cell r="F53">
            <v>0.68951853757321357</v>
          </cell>
          <cell r="G53">
            <v>-8.6878991717826981E-2</v>
          </cell>
        </row>
        <row r="54">
          <cell r="F54">
            <v>2.7873235080556242E-2</v>
          </cell>
          <cell r="G54">
            <v>-0.38089046490165868</v>
          </cell>
        </row>
        <row r="55">
          <cell r="F55">
            <v>-9.3367471398181685</v>
          </cell>
          <cell r="G55">
            <v>-15.481285239081961</v>
          </cell>
        </row>
        <row r="56">
          <cell r="F56">
            <v>-9.9034748998767325E-2</v>
          </cell>
          <cell r="G56">
            <v>-0.58977485509288496</v>
          </cell>
        </row>
        <row r="57">
          <cell r="F57">
            <v>0</v>
          </cell>
          <cell r="G57">
            <v>0</v>
          </cell>
        </row>
        <row r="58">
          <cell r="F58">
            <v>-0.92980373681131667</v>
          </cell>
          <cell r="G58">
            <v>-2.2055942888783173</v>
          </cell>
        </row>
        <row r="59">
          <cell r="F59">
            <v>-8.3079086540080915</v>
          </cell>
          <cell r="G59">
            <v>-12.685916095110679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E3A2D1-656B-4442-8626-D51FD57E0D23}">
  <sheetPr>
    <tabColor rgb="FFFF0000"/>
  </sheetPr>
  <dimension ref="A1:AP142"/>
  <sheetViews>
    <sheetView tabSelected="1" topLeftCell="B1" zoomScale="62" zoomScaleNormal="62" workbookViewId="0">
      <selection activeCell="L31" sqref="L31"/>
    </sheetView>
  </sheetViews>
  <sheetFormatPr baseColWidth="10" defaultColWidth="11.42578125" defaultRowHeight="14.25"/>
  <cols>
    <col min="1" max="1" width="7.5703125" style="3" customWidth="1"/>
    <col min="2" max="2" width="8" style="3" customWidth="1"/>
    <col min="3" max="3" width="11.42578125" style="3"/>
    <col min="4" max="4" width="47.42578125" style="3" customWidth="1"/>
    <col min="5" max="5" width="1" style="3" customWidth="1"/>
    <col min="6" max="7" width="11.42578125" style="3"/>
    <col min="8" max="8" width="11.28515625" style="3" customWidth="1"/>
    <col min="9" max="10" width="1" style="3" customWidth="1"/>
    <col min="11" max="12" width="11.42578125" style="3"/>
    <col min="13" max="13" width="11.28515625" style="3" customWidth="1"/>
    <col min="14" max="15" width="11.42578125" style="3"/>
    <col min="16" max="16" width="2" style="3" customWidth="1"/>
    <col min="17" max="17" width="47.140625" style="3" customWidth="1"/>
    <col min="18" max="18" width="1" style="3" customWidth="1"/>
    <col min="19" max="21" width="11.42578125" style="3"/>
    <col min="22" max="23" width="1" style="3" customWidth="1"/>
    <col min="24" max="28" width="11.42578125" style="3"/>
    <col min="29" max="29" width="2" style="3" customWidth="1"/>
    <col min="30" max="30" width="47.140625" style="3" customWidth="1"/>
    <col min="31" max="31" width="0.7109375" style="3" customWidth="1"/>
    <col min="32" max="34" width="11.42578125" style="3"/>
    <col min="35" max="36" width="1" style="3" customWidth="1"/>
    <col min="37" max="41" width="11.42578125" style="3"/>
    <col min="42" max="42" width="2" style="3" customWidth="1"/>
    <col min="43" max="16384" width="11.42578125" style="3"/>
  </cols>
  <sheetData>
    <row r="1" spans="1:39">
      <c r="A1" s="1" t="s">
        <v>0</v>
      </c>
      <c r="B1" s="2" t="s">
        <v>1</v>
      </c>
      <c r="D1" s="1"/>
    </row>
    <row r="2" spans="1:39" ht="15" thickBot="1">
      <c r="A2" s="1" t="s">
        <v>2</v>
      </c>
      <c r="B2" s="4" t="s">
        <v>3</v>
      </c>
      <c r="D2" s="1"/>
    </row>
    <row r="3" spans="1:39" ht="16.5" thickBot="1">
      <c r="A3" s="5" t="s">
        <v>4</v>
      </c>
      <c r="B3" s="6" t="s">
        <v>3</v>
      </c>
      <c r="D3" s="7" t="str">
        <f>+IF($B$3="esp","GRUPO","GROUP")</f>
        <v>GROUP</v>
      </c>
      <c r="E3" s="8"/>
      <c r="F3" s="8"/>
      <c r="G3" s="9"/>
      <c r="H3" s="8"/>
      <c r="I3" s="8"/>
      <c r="J3" s="10"/>
      <c r="Q3" s="7" t="str">
        <f>+IF($B$3="esp","EDUCACIÓN","EDUCATION")</f>
        <v>EDUCATION</v>
      </c>
      <c r="R3" s="8"/>
      <c r="S3" s="8"/>
      <c r="T3" s="9"/>
      <c r="U3" s="8"/>
      <c r="V3" s="8"/>
      <c r="W3" s="10"/>
      <c r="AD3" s="7" t="s">
        <v>5</v>
      </c>
      <c r="AE3" s="8"/>
      <c r="AF3" s="8"/>
      <c r="AG3" s="9"/>
      <c r="AH3" s="8"/>
      <c r="AI3" s="8"/>
      <c r="AJ3" s="10"/>
    </row>
    <row r="6" spans="1:39" ht="15" customHeight="1">
      <c r="D6" s="10"/>
      <c r="E6" s="10"/>
      <c r="F6" s="11" t="str">
        <f>+IF($B$3="esp","ENERO - MARZO","JANUARY - MARCH")</f>
        <v>JANUARY - MARCH</v>
      </c>
      <c r="G6" s="12"/>
      <c r="H6" s="12"/>
      <c r="I6" s="10"/>
      <c r="J6" s="10"/>
      <c r="K6" s="13"/>
      <c r="L6" s="14"/>
      <c r="M6" s="14"/>
      <c r="Q6" s="10"/>
      <c r="R6" s="10"/>
      <c r="S6" s="11" t="str">
        <f>+IF($B$3="esp","ENERO - DICIEMBRE","JANUARY - DECEMBER")</f>
        <v>JANUARY - DECEMBER</v>
      </c>
      <c r="T6" s="12"/>
      <c r="U6" s="12"/>
      <c r="V6" s="10"/>
      <c r="W6" s="10"/>
      <c r="X6" s="13"/>
      <c r="Y6" s="14"/>
      <c r="Z6" s="14"/>
      <c r="AD6" s="10"/>
      <c r="AE6" s="10"/>
      <c r="AF6" s="11" t="str">
        <f>+IF($B$3="esp","ENERO - DICIEMBRE","JANUARY - DECEMBER")</f>
        <v>JANUARY - DECEMBER</v>
      </c>
      <c r="AG6" s="12"/>
      <c r="AH6" s="12"/>
      <c r="AI6" s="10"/>
      <c r="AJ6" s="10"/>
      <c r="AK6" s="13"/>
      <c r="AL6" s="14"/>
      <c r="AM6" s="14"/>
    </row>
    <row r="7" spans="1:39">
      <c r="D7" s="10"/>
      <c r="E7" s="10"/>
      <c r="F7" s="10"/>
      <c r="G7" s="10"/>
      <c r="H7" s="10"/>
      <c r="I7" s="10"/>
      <c r="J7" s="10"/>
      <c r="K7" s="10"/>
      <c r="L7" s="10"/>
      <c r="M7" s="10"/>
      <c r="Q7" s="10"/>
      <c r="R7" s="10"/>
      <c r="S7" s="10"/>
      <c r="T7" s="10"/>
      <c r="U7" s="10"/>
      <c r="V7" s="10"/>
      <c r="W7" s="10"/>
      <c r="X7" s="10"/>
      <c r="Y7" s="10"/>
      <c r="Z7" s="10"/>
      <c r="AD7" s="10"/>
      <c r="AE7" s="10"/>
      <c r="AF7" s="10"/>
      <c r="AG7" s="10"/>
      <c r="AH7" s="10"/>
      <c r="AI7" s="10"/>
      <c r="AJ7" s="10"/>
      <c r="AK7" s="10"/>
      <c r="AL7" s="10"/>
      <c r="AM7" s="10"/>
    </row>
    <row r="8" spans="1:39">
      <c r="D8" s="15" t="str">
        <f>+IF($B$3="esp","Millones de €","€ Millions")</f>
        <v>€ Millions</v>
      </c>
      <c r="E8" s="10"/>
      <c r="F8" s="16">
        <v>2022</v>
      </c>
      <c r="G8" s="16">
        <v>2021</v>
      </c>
      <c r="H8" s="16" t="str">
        <f>+IF($B$3="esp","Var.","Chg.")</f>
        <v>Chg.</v>
      </c>
      <c r="I8" s="10"/>
      <c r="J8" s="10"/>
      <c r="K8" s="17"/>
      <c r="L8" s="17"/>
      <c r="M8" s="17"/>
      <c r="Q8" s="15" t="str">
        <f>+IF($B$3="esp","Millones de €","€ Millions")</f>
        <v>€ Millions</v>
      </c>
      <c r="R8" s="10"/>
      <c r="S8" s="16">
        <v>2022</v>
      </c>
      <c r="T8" s="16">
        <v>2021</v>
      </c>
      <c r="U8" s="16" t="str">
        <f>+IF($B$3="esp","Var.","Chg.")</f>
        <v>Chg.</v>
      </c>
      <c r="V8" s="10"/>
      <c r="W8" s="10"/>
      <c r="X8" s="17"/>
      <c r="Y8" s="17"/>
      <c r="Z8" s="17"/>
      <c r="AD8" s="15" t="str">
        <f>+IF($B$3="esp","Millones de €","€ Millions")</f>
        <v>€ Millions</v>
      </c>
      <c r="AE8" s="10"/>
      <c r="AF8" s="16">
        <v>2022</v>
      </c>
      <c r="AG8" s="16">
        <v>2021</v>
      </c>
      <c r="AH8" s="16" t="str">
        <f>+IF($B$3="esp","Var.","Chg.")</f>
        <v>Chg.</v>
      </c>
      <c r="AI8" s="10"/>
      <c r="AJ8" s="10"/>
      <c r="AK8" s="17"/>
      <c r="AL8" s="17"/>
      <c r="AM8" s="17"/>
    </row>
    <row r="9" spans="1:39" ht="15">
      <c r="D9" s="18" t="str">
        <f>+IF($B$3="esp","Resultados Reportados","Reported Results")</f>
        <v>Reported Results</v>
      </c>
      <c r="F9" s="19"/>
      <c r="G9" s="19"/>
      <c r="H9" s="19"/>
      <c r="Q9" s="18" t="str">
        <f>+IF($B$3="esp","Resultados Reportados","Reported Results")</f>
        <v>Reported Results</v>
      </c>
      <c r="S9" s="19"/>
      <c r="T9" s="19"/>
      <c r="U9" s="19"/>
      <c r="AD9" s="18" t="str">
        <f>+IF($B$3="esp","Resultados Reportados","Reported Results")</f>
        <v>Reported Results</v>
      </c>
      <c r="AF9" s="19"/>
      <c r="AG9" s="19"/>
      <c r="AH9" s="19"/>
    </row>
    <row r="10" spans="1:39" s="20" customFormat="1" ht="17.25" customHeight="1">
      <c r="D10" s="21" t="str">
        <f>+IF($B$3="esp","Ingresos de Explotación","Operating Revenues")</f>
        <v>Operating Revenues</v>
      </c>
      <c r="F10" s="22">
        <f>+[1]GRUPO!F10</f>
        <v>210.58735834039521</v>
      </c>
      <c r="G10" s="23">
        <f>+[1]GRUPO!G10</f>
        <v>158.51658144846473</v>
      </c>
      <c r="H10" s="24">
        <f>IF(G10=0,"---",IF(OR(ABS((F10-G10)/ABS(G10))&gt;9,(F10*G10)&lt;0),"---",IF(G10="0","---",((F10-G10)/ABS(G10)))))</f>
        <v>0.32848788698398212</v>
      </c>
      <c r="K10" s="23"/>
      <c r="L10" s="23"/>
      <c r="M10" s="25"/>
      <c r="Q10" s="21" t="str">
        <f>+IF($B$3="esp","Ingresos de Explotación","Operating Revenues")</f>
        <v>Operating Revenues</v>
      </c>
      <c r="S10" s="22">
        <f>+[1]EDUCACIÓN!F10</f>
        <v>128.36706190343418</v>
      </c>
      <c r="T10" s="23">
        <f>+[1]EDUCACIÓN!G10</f>
        <v>81.973272202614567</v>
      </c>
      <c r="U10" s="24">
        <f>IF(T10=0,"---",IF(OR(ABS((S10-T10)/ABS(T10))&gt;9,(S10*T10)&lt;0),"---",IF(T10="0","---",((S10-T10)/ABS(T10)))))</f>
        <v>0.56596239791608394</v>
      </c>
      <c r="X10" s="23"/>
      <c r="Y10" s="23"/>
      <c r="Z10" s="25"/>
      <c r="AD10" s="21" t="str">
        <f>+IF($B$3="esp","Ingresos de Explotación","Operating Revenues")</f>
        <v>Operating Revenues</v>
      </c>
      <c r="AF10" s="22">
        <f>+[1]MEDIA!F10</f>
        <v>82.54161002200496</v>
      </c>
      <c r="AG10" s="23">
        <f>+[1]MEDIA!G10</f>
        <v>76.994704155209462</v>
      </c>
      <c r="AH10" s="24">
        <f>IF(AG10=0,"---",IF(OR(ABS((AF10-AG10)/ABS(AG10))&gt;9,(AF10*AG10)&lt;0),"---",IF(AG10="0","---",((AF10-AG10)/ABS(AG10)))))</f>
        <v>7.2042693424911278E-2</v>
      </c>
      <c r="AK10" s="23"/>
      <c r="AL10" s="23"/>
      <c r="AM10" s="25"/>
    </row>
    <row r="11" spans="1:39" ht="17.25" customHeight="1">
      <c r="D11" s="26" t="str">
        <f>+IF($B$3="esp","España","Spain")</f>
        <v>Spain</v>
      </c>
      <c r="F11" s="27">
        <f>+[1]GRUPO!F11</f>
        <v>67.329898539999931</v>
      </c>
      <c r="G11" s="28">
        <f>+[1]GRUPO!G11</f>
        <v>65.213687410000006</v>
      </c>
      <c r="H11" s="29">
        <f t="shared" ref="H11:H36" si="0">IF(G11=0,"---",IF(OR(ABS((F11-G11)/ABS(G11))&gt;9,(F11*G11)&lt;0),"---",IF(G11="0","---",((F11-G11)/ABS(G11)))))</f>
        <v>3.24504136178538E-2</v>
      </c>
      <c r="K11" s="28"/>
      <c r="L11" s="28"/>
      <c r="M11" s="30"/>
      <c r="Q11" s="26" t="str">
        <f>+IF($B$3="esp","Privado","Private")</f>
        <v>Private</v>
      </c>
      <c r="S11" s="27">
        <f>+[1]EDUCACIÓN!F11</f>
        <v>113.0408876170619</v>
      </c>
      <c r="T11" s="28">
        <f>+[1]EDUCACIÓN!G11</f>
        <v>74.521379434891713</v>
      </c>
      <c r="U11" s="29">
        <f t="shared" ref="U11:U36" si="1">IF(T11=0,"---",IF(OR(ABS((S11-T11)/ABS(T11))&gt;9,(S11*T11)&lt;0),"---",IF(T11="0","---",((S11-T11)/ABS(T11)))))</f>
        <v>0.51689204459539217</v>
      </c>
      <c r="X11" s="28"/>
      <c r="Y11" s="28"/>
      <c r="Z11" s="30"/>
      <c r="AD11" s="26" t="str">
        <f>+IF($B$3="esp","Publicidad Neta","Net Advertising")</f>
        <v>Net Advertising</v>
      </c>
      <c r="AF11" s="27">
        <f>+[1]MEDIA!F11</f>
        <v>62.222445486234172</v>
      </c>
      <c r="AG11" s="28">
        <f>+[1]MEDIA!G11</f>
        <v>56.1162430953474</v>
      </c>
      <c r="AH11" s="29">
        <f t="shared" ref="AH11:AH33" si="2">IF(AG11=0,"---",IF(OR(ABS((AF11-AG11)/ABS(AG11))&gt;9,(AF11*AG11)&lt;0),"---",IF(AG11="0","---",((AF11-AG11)/ABS(AG11)))))</f>
        <v>0.10881345674748204</v>
      </c>
      <c r="AK11" s="28"/>
      <c r="AL11" s="28"/>
      <c r="AM11" s="30"/>
    </row>
    <row r="12" spans="1:39" ht="17.25" customHeight="1">
      <c r="D12" s="26" t="str">
        <f>+IF($B$3="esp","Internacional","International")</f>
        <v>International</v>
      </c>
      <c r="F12" s="27">
        <f>+[1]GRUPO!F12</f>
        <v>143.25745980039528</v>
      </c>
      <c r="G12" s="28">
        <f>+[1]GRUPO!G12</f>
        <v>93.302894038464729</v>
      </c>
      <c r="H12" s="29">
        <f t="shared" si="0"/>
        <v>0.53540210383331155</v>
      </c>
      <c r="K12" s="28"/>
      <c r="L12" s="28"/>
      <c r="M12" s="30"/>
      <c r="Q12" s="26" t="str">
        <f>+IF($B$3="esp","Público","Public")</f>
        <v>Public</v>
      </c>
      <c r="R12" s="10"/>
      <c r="S12" s="27">
        <f>+[1]EDUCACIÓN!F12</f>
        <v>15.319755473693782</v>
      </c>
      <c r="T12" s="28">
        <f>+[1]EDUCACIÓN!G12</f>
        <v>7.4862434735653114</v>
      </c>
      <c r="U12" s="29">
        <f t="shared" si="1"/>
        <v>1.0463875544242449</v>
      </c>
      <c r="X12" s="28"/>
      <c r="Y12" s="28"/>
      <c r="Z12" s="30"/>
      <c r="AD12" s="26" t="str">
        <f>+IF($B$3="esp","Circulación","Circulation")</f>
        <v>Circulation</v>
      </c>
      <c r="AE12" s="10"/>
      <c r="AF12" s="27">
        <f>+[1]MEDIA!F14</f>
        <v>13.238739540000003</v>
      </c>
      <c r="AG12" s="28">
        <f>+[1]MEDIA!G14</f>
        <v>12.843609089999999</v>
      </c>
      <c r="AH12" s="29">
        <f t="shared" si="2"/>
        <v>3.0764752121555227E-2</v>
      </c>
      <c r="AK12" s="28"/>
      <c r="AL12" s="28"/>
      <c r="AM12" s="30"/>
    </row>
    <row r="13" spans="1:39" s="10" customFormat="1" ht="17.25" customHeight="1">
      <c r="D13" s="21" t="str">
        <f>+IF($B$3="esp","Gastos de Explotación Contables","Reported Expenses")</f>
        <v>Reported Expenses</v>
      </c>
      <c r="E13" s="20"/>
      <c r="F13" s="22">
        <f>+[1]GRUPO!F13</f>
        <v>169.29717417319864</v>
      </c>
      <c r="G13" s="23">
        <f>+[1]GRUPO!G13</f>
        <v>146.21046737362451</v>
      </c>
      <c r="H13" s="24">
        <f t="shared" si="0"/>
        <v>0.1579005061284609</v>
      </c>
      <c r="I13" s="20"/>
      <c r="J13" s="20"/>
      <c r="K13" s="23"/>
      <c r="L13" s="23"/>
      <c r="M13" s="25"/>
      <c r="Q13" s="21" t="str">
        <f>+IF($B$3="esp","Gastos de Explotación Contables","Reported Expenses")</f>
        <v>Reported Expenses</v>
      </c>
      <c r="R13" s="20"/>
      <c r="S13" s="22">
        <f>+[1]EDUCACIÓN!F13</f>
        <v>83.818828196180363</v>
      </c>
      <c r="T13" s="23">
        <f>+[1]EDUCACIÓN!G13</f>
        <v>58.734262216751233</v>
      </c>
      <c r="U13" s="24">
        <f t="shared" si="1"/>
        <v>0.42708574233652186</v>
      </c>
      <c r="X13" s="23"/>
      <c r="Y13" s="23"/>
      <c r="Z13" s="25"/>
      <c r="AD13" s="31" t="str">
        <f>+IF($B$3="esp","Papel","Offline")</f>
        <v>Offline</v>
      </c>
      <c r="AE13" s="20"/>
      <c r="AF13" s="27">
        <f>+[1]MEDIA!F15</f>
        <v>10.113391984231482</v>
      </c>
      <c r="AG13" s="28">
        <f>+[1]MEDIA!G15</f>
        <v>10.507835629999999</v>
      </c>
      <c r="AH13" s="29">
        <f t="shared" si="2"/>
        <v>-3.7538048715034647E-2</v>
      </c>
      <c r="AI13" s="3"/>
      <c r="AJ13" s="3"/>
      <c r="AK13" s="23"/>
      <c r="AL13" s="23"/>
      <c r="AM13" s="25"/>
    </row>
    <row r="14" spans="1:39" s="10" customFormat="1" ht="17.25" customHeight="1">
      <c r="D14" s="26" t="str">
        <f>+IF($B$3="esp","España","Spain")</f>
        <v>Spain</v>
      </c>
      <c r="E14" s="3"/>
      <c r="F14" s="27">
        <f>+[1]GRUPO!F14</f>
        <v>76.383327979999962</v>
      </c>
      <c r="G14" s="28">
        <f>+[1]GRUPO!G14</f>
        <v>82.257625590000202</v>
      </c>
      <c r="H14" s="29">
        <f t="shared" si="0"/>
        <v>-7.1413410828069915E-2</v>
      </c>
      <c r="I14" s="3"/>
      <c r="J14" s="3"/>
      <c r="K14" s="28"/>
      <c r="L14" s="28"/>
      <c r="M14" s="30"/>
      <c r="Q14" s="26" t="str">
        <f>+IF($B$3="esp","Privado","Private")</f>
        <v>Private</v>
      </c>
      <c r="R14" s="3"/>
      <c r="S14" s="27">
        <f>+[1]EDUCACIÓN!F14</f>
        <v>69.431062927359335</v>
      </c>
      <c r="T14" s="28">
        <f>+[1]EDUCACIÓN!G14</f>
        <v>48.73769231178057</v>
      </c>
      <c r="U14" s="29">
        <f t="shared" si="1"/>
        <v>0.42458659066582216</v>
      </c>
      <c r="X14" s="28"/>
      <c r="Y14" s="28"/>
      <c r="Z14" s="30"/>
      <c r="AD14" s="31" t="str">
        <f>+IF($B$3="esp","Digital","Online")</f>
        <v>Online</v>
      </c>
      <c r="AE14" s="3"/>
      <c r="AF14" s="27">
        <f>+[1]MEDIA!F16</f>
        <v>3.1253475557685202</v>
      </c>
      <c r="AG14" s="28">
        <f>+[1]MEDIA!G16</f>
        <v>2.33577346</v>
      </c>
      <c r="AH14" s="29">
        <f t="shared" si="2"/>
        <v>0.33803539139815392</v>
      </c>
      <c r="AI14" s="3"/>
      <c r="AJ14" s="3"/>
      <c r="AK14" s="28"/>
      <c r="AL14" s="28"/>
      <c r="AM14" s="30"/>
    </row>
    <row r="15" spans="1:39" s="20" customFormat="1" ht="17.25" customHeight="1">
      <c r="D15" s="26" t="str">
        <f>+IF($B$3="esp","Internacional","International")</f>
        <v>International</v>
      </c>
      <c r="E15" s="3"/>
      <c r="F15" s="27">
        <f>+[1]GRUPO!F15</f>
        <v>92.91384619319868</v>
      </c>
      <c r="G15" s="28">
        <f>+[1]GRUPO!G15</f>
        <v>63.952841783624294</v>
      </c>
      <c r="H15" s="29">
        <f t="shared" si="0"/>
        <v>0.45284937466203595</v>
      </c>
      <c r="I15" s="3"/>
      <c r="J15" s="3"/>
      <c r="K15" s="28"/>
      <c r="L15" s="28"/>
      <c r="M15" s="30"/>
      <c r="Q15" s="26" t="str">
        <f>+IF($B$3="esp","Público","Public")</f>
        <v>Public</v>
      </c>
      <c r="R15" s="3"/>
      <c r="S15" s="27">
        <f>+[1]EDUCACIÓN!F15</f>
        <v>14.347067950870738</v>
      </c>
      <c r="T15" s="28">
        <f>+[1]EDUCACIÓN!G15</f>
        <v>9.9945400410574248</v>
      </c>
      <c r="U15" s="29">
        <f t="shared" si="1"/>
        <v>0.4354905670429246</v>
      </c>
      <c r="X15" s="28"/>
      <c r="Y15" s="28"/>
      <c r="Z15" s="30"/>
      <c r="AD15" s="26" t="str">
        <f>+IF($B$3="esp","Otros","Others")</f>
        <v>Others</v>
      </c>
      <c r="AE15" s="3"/>
      <c r="AF15" s="27">
        <f>+[1]MEDIA!F17</f>
        <v>7.0804249957707857</v>
      </c>
      <c r="AG15" s="28">
        <f>+[1]MEDIA!G17</f>
        <v>8.0348519698620624</v>
      </c>
      <c r="AH15" s="29">
        <f t="shared" si="2"/>
        <v>-0.11878588151607998</v>
      </c>
      <c r="AI15" s="3"/>
      <c r="AJ15" s="3"/>
      <c r="AK15" s="28"/>
      <c r="AL15" s="28"/>
      <c r="AM15" s="30"/>
    </row>
    <row r="16" spans="1:39" ht="17.25" customHeight="1">
      <c r="D16" s="21" t="str">
        <f>+IF($B$3="esp","EBITDA Contable","Reported EBITDA")</f>
        <v>Reported EBITDA</v>
      </c>
      <c r="E16" s="20"/>
      <c r="F16" s="22">
        <f>+[1]GRUPO!F16</f>
        <v>41.290184167196557</v>
      </c>
      <c r="G16" s="23">
        <f>+[1]GRUPO!G16</f>
        <v>12.306114074840236</v>
      </c>
      <c r="H16" s="24">
        <f t="shared" si="0"/>
        <v>2.3552577130431489</v>
      </c>
      <c r="Q16" s="21" t="str">
        <f>+IF($B$3="esp","EBITDA Contable","Reported EBITDA")</f>
        <v>Reported EBITDA</v>
      </c>
      <c r="R16" s="20"/>
      <c r="S16" s="22">
        <f>+[1]EDUCACIÓN!F16</f>
        <v>44.548233707253821</v>
      </c>
      <c r="T16" s="23">
        <f>+[1]EDUCACIÓN!G16</f>
        <v>23.239009985863333</v>
      </c>
      <c r="U16" s="24">
        <f t="shared" si="1"/>
        <v>0.91695918777750152</v>
      </c>
      <c r="AD16" s="21" t="str">
        <f>+IF($B$3="esp","Gastos de Explotación Contables","Reported Expenses")</f>
        <v>Reported Expenses</v>
      </c>
      <c r="AF16" s="22">
        <f>+AF10-AF19</f>
        <v>84.367877122062154</v>
      </c>
      <c r="AG16" s="23">
        <f>+AG10-AG19</f>
        <v>84.469858236232369</v>
      </c>
      <c r="AH16" s="24">
        <f t="shared" si="2"/>
        <v>-1.2073077462141557E-3</v>
      </c>
    </row>
    <row r="17" spans="4:39" ht="17.25" customHeight="1">
      <c r="D17" s="26" t="str">
        <f>+IF($B$3="esp","España","Spain")</f>
        <v>Spain</v>
      </c>
      <c r="F17" s="27">
        <f>+[1]GRUPO!F17</f>
        <v>-9.0534294400000377</v>
      </c>
      <c r="G17" s="28">
        <f>+[1]GRUPO!G17</f>
        <v>-17.043938180000204</v>
      </c>
      <c r="H17" s="29">
        <f t="shared" si="0"/>
        <v>0.46881821886542835</v>
      </c>
      <c r="Q17" s="26" t="str">
        <f>+IF($B$3="esp","Privado","Private")</f>
        <v>Private</v>
      </c>
      <c r="S17" s="27">
        <f>+[1]EDUCACIÓN!F17</f>
        <v>43.609824689702563</v>
      </c>
      <c r="T17" s="28">
        <f>+[1]EDUCACIÓN!G17</f>
        <v>25.783687123111143</v>
      </c>
      <c r="U17" s="29">
        <f t="shared" si="1"/>
        <v>0.69137270714912635</v>
      </c>
      <c r="AD17" s="26" t="s">
        <v>8</v>
      </c>
      <c r="AF17" s="27">
        <v>13.3</v>
      </c>
      <c r="AG17" s="28">
        <v>12</v>
      </c>
      <c r="AH17" s="29">
        <f t="shared" si="2"/>
        <v>0.10833333333333339</v>
      </c>
    </row>
    <row r="18" spans="4:39" ht="17.25" customHeight="1">
      <c r="D18" s="26" t="str">
        <f>+IF($B$3="esp","Internacional","International")</f>
        <v>International</v>
      </c>
      <c r="F18" s="27">
        <f>+[1]GRUPO!F18</f>
        <v>50.343613607196595</v>
      </c>
      <c r="G18" s="28">
        <f>+[1]GRUPO!G18</f>
        <v>29.350052254840438</v>
      </c>
      <c r="H18" s="29">
        <f t="shared" si="0"/>
        <v>0.71528190716913898</v>
      </c>
      <c r="K18" s="32"/>
      <c r="L18" s="32"/>
      <c r="M18" s="33"/>
      <c r="Q18" s="26" t="str">
        <f>+IF($B$3="esp","Público","Public")</f>
        <v>Public</v>
      </c>
      <c r="S18" s="27">
        <f>+[1]EDUCACIÓN!F18</f>
        <v>0.97268752282304471</v>
      </c>
      <c r="T18" s="28">
        <f>+[1]EDUCACIÓN!G18</f>
        <v>-2.5082965674921134</v>
      </c>
      <c r="U18" s="29" t="str">
        <f t="shared" si="1"/>
        <v>---</v>
      </c>
      <c r="X18" s="32"/>
      <c r="Y18" s="32"/>
      <c r="Z18" s="33"/>
      <c r="AD18" s="26" t="s">
        <v>9</v>
      </c>
      <c r="AF18" s="27">
        <v>71.099999999999994</v>
      </c>
      <c r="AG18" s="28">
        <v>72.5</v>
      </c>
      <c r="AH18" s="29">
        <f t="shared" si="2"/>
        <v>-1.9310344827586284E-2</v>
      </c>
      <c r="AI18" s="10"/>
      <c r="AJ18" s="10"/>
      <c r="AK18" s="32"/>
      <c r="AL18" s="32"/>
      <c r="AM18" s="33"/>
    </row>
    <row r="19" spans="4:39" ht="17.25" customHeight="1">
      <c r="D19" s="34" t="str">
        <f>+IF($B$3="esp","Margen EBITDA ","EBITDA Margin")</f>
        <v>EBITDA Margin</v>
      </c>
      <c r="E19" s="35"/>
      <c r="F19" s="36">
        <f>+[1]GRUPO!F19</f>
        <v>0.19607152344090262</v>
      </c>
      <c r="G19" s="37">
        <f>+[1]GRUPO!G19</f>
        <v>7.7632976704339746E-2</v>
      </c>
      <c r="H19" s="38">
        <f t="shared" si="0"/>
        <v>1.5256216077818134</v>
      </c>
      <c r="K19" s="32"/>
      <c r="L19" s="32"/>
      <c r="M19" s="33"/>
      <c r="Q19" s="34" t="str">
        <f>+IF($B$3="esp","Margen EBITDA ","EBITDA Margin")</f>
        <v>EBITDA Margin</v>
      </c>
      <c r="R19" s="35"/>
      <c r="S19" s="36">
        <f>+S16/S10</f>
        <v>0.34703788531645152</v>
      </c>
      <c r="T19" s="37">
        <f>+T16/T10</f>
        <v>0.28349496563249449</v>
      </c>
      <c r="U19" s="38">
        <f t="shared" si="1"/>
        <v>0.22414126311622121</v>
      </c>
      <c r="X19" s="32"/>
      <c r="Y19" s="32"/>
      <c r="Z19" s="33"/>
      <c r="AD19" s="21" t="str">
        <f>+IF($B$3="esp","EBITDA Contable","Reported EBITDA")</f>
        <v>Reported EBITDA</v>
      </c>
      <c r="AF19" s="22">
        <f>+[1]MEDIA!F30</f>
        <v>-1.8262671000571873</v>
      </c>
      <c r="AG19" s="23">
        <f>+[1]MEDIA!G30</f>
        <v>-7.4751540810229002</v>
      </c>
      <c r="AH19" s="24">
        <f t="shared" si="2"/>
        <v>0.75568836705406339</v>
      </c>
      <c r="AI19" s="10"/>
      <c r="AJ19" s="10"/>
      <c r="AK19" s="32"/>
      <c r="AL19" s="32"/>
      <c r="AM19" s="33"/>
    </row>
    <row r="20" spans="4:39" s="20" customFormat="1" ht="17.25" customHeight="1">
      <c r="D20" s="21" t="str">
        <f>+IF($B$3="esp","EBITDA sin indemnizaciones","EBITDA ex severance expenses")</f>
        <v>EBITDA ex severance expenses</v>
      </c>
      <c r="F20" s="22">
        <f>+[1]GRUPO!F20</f>
        <v>43.777987223239201</v>
      </c>
      <c r="G20" s="23">
        <f>+[1]GRUPO!G20</f>
        <v>17.08371216388354</v>
      </c>
      <c r="H20" s="24">
        <f t="shared" si="0"/>
        <v>1.5625570603905217</v>
      </c>
      <c r="K20" s="23"/>
      <c r="L20" s="23"/>
      <c r="M20" s="25"/>
      <c r="Q20" s="21" t="str">
        <f>+IF($B$3="esp","EBITDA sin indemnizaciones","EBITDA ex severance expenses")</f>
        <v>EBITDA ex severance expenses</v>
      </c>
      <c r="S20" s="22">
        <f>+[1]EDUCACIÓN!F20</f>
        <v>45.241873370437361</v>
      </c>
      <c r="T20" s="23">
        <f>+[1]EDUCACIÓN!G20</f>
        <v>24.540263168747227</v>
      </c>
      <c r="U20" s="24">
        <f t="shared" si="1"/>
        <v>0.84357735120193267</v>
      </c>
      <c r="X20" s="23"/>
      <c r="Y20" s="23"/>
      <c r="Z20" s="25"/>
      <c r="AD20" s="34" t="str">
        <f>+IF($B$3="esp","Margen EBITDA ","EBITDA Margin")</f>
        <v>EBITDA Margin</v>
      </c>
      <c r="AE20" s="35"/>
      <c r="AF20" s="36">
        <f>+AF19/AF10</f>
        <v>-2.2125411650806406E-2</v>
      </c>
      <c r="AG20" s="37">
        <f>+AG19/AG10</f>
        <v>-9.7086600475198154E-2</v>
      </c>
      <c r="AH20" s="38">
        <f t="shared" si="2"/>
        <v>0.77210643340572438</v>
      </c>
      <c r="AK20" s="23"/>
      <c r="AL20" s="23"/>
      <c r="AM20" s="25"/>
    </row>
    <row r="21" spans="4:39" ht="17.25" customHeight="1">
      <c r="D21" s="26" t="str">
        <f>+IF($B$3="esp","España","Spain")</f>
        <v>Spain</v>
      </c>
      <c r="F21" s="27">
        <f>+[1]GRUPO!F21</f>
        <v>-7.1762125900000413</v>
      </c>
      <c r="G21" s="28">
        <f>+[1]GRUPO!G21</f>
        <v>-13.756565780000201</v>
      </c>
      <c r="H21" s="29">
        <f t="shared" si="0"/>
        <v>0.47834272704652192</v>
      </c>
      <c r="K21" s="28"/>
      <c r="L21" s="28"/>
      <c r="M21" s="30"/>
      <c r="Q21" s="26" t="str">
        <f>+IF($B$3="esp","Privado","Private")</f>
        <v>Private</v>
      </c>
      <c r="S21" s="27">
        <f>+[1]EDUCACIÓN!F21</f>
        <v>44.111908390687972</v>
      </c>
      <c r="T21" s="28">
        <f>+[1]EDUCACIÓN!G21</f>
        <v>26.407177135700913</v>
      </c>
      <c r="U21" s="29">
        <f t="shared" si="1"/>
        <v>0.67045148991148051</v>
      </c>
      <c r="X21" s="28"/>
      <c r="Y21" s="28"/>
      <c r="Z21" s="30"/>
      <c r="AD21" s="21" t="str">
        <f>+IF($B$3="esp","EBITDA sin indemnizaciones","EBITDA ex severance expenses")</f>
        <v>EBITDA ex severance expenses</v>
      </c>
      <c r="AE21" s="20"/>
      <c r="AF21" s="22">
        <f>+[1]MEDIA!F37</f>
        <v>-3.2103727198083104E-2</v>
      </c>
      <c r="AG21" s="23">
        <f>+[1]MEDIA!G37</f>
        <v>-4.7590224848634897</v>
      </c>
      <c r="AH21" s="24">
        <f t="shared" si="2"/>
        <v>0.99325413416301511</v>
      </c>
      <c r="AK21" s="28"/>
      <c r="AL21" s="28"/>
      <c r="AM21" s="30"/>
    </row>
    <row r="22" spans="4:39" ht="17.25" customHeight="1">
      <c r="D22" s="26" t="str">
        <f>+IF($B$3="esp","Internacional","International")</f>
        <v>International</v>
      </c>
      <c r="F22" s="27">
        <f>+[1]GRUPO!F22</f>
        <v>50.954199813239242</v>
      </c>
      <c r="G22" s="28">
        <f>+[1]GRUPO!G22</f>
        <v>30.840277943883741</v>
      </c>
      <c r="H22" s="29">
        <f t="shared" si="0"/>
        <v>0.65219651735805784</v>
      </c>
      <c r="K22" s="28"/>
      <c r="L22" s="28"/>
      <c r="M22" s="30"/>
      <c r="Q22" s="26" t="str">
        <f>+IF($B$3="esp","Público","Public")</f>
        <v>Public</v>
      </c>
      <c r="S22" s="27">
        <f>+[1]EDUCACIÓN!F22</f>
        <v>1.1642407982388785</v>
      </c>
      <c r="T22" s="28">
        <f>+[1]EDUCACIÓN!G22</f>
        <v>-1.8278874715210056</v>
      </c>
      <c r="U22" s="29" t="str">
        <f t="shared" si="1"/>
        <v>---</v>
      </c>
      <c r="X22" s="28"/>
      <c r="Y22" s="28"/>
      <c r="Z22" s="30"/>
      <c r="AD22" s="34" t="str">
        <f>+IF($B$3="esp","Margen EBITDA sin indemnizaciones ","EBITDA ex severance expenses Margin")</f>
        <v>EBITDA ex severance expenses Margin</v>
      </c>
      <c r="AF22" s="36">
        <f>+AF21/AF10</f>
        <v>-3.8893991999337666E-4</v>
      </c>
      <c r="AG22" s="37">
        <f>+AG21/AG10</f>
        <v>-6.1809737917429143E-2</v>
      </c>
      <c r="AH22" s="38">
        <f t="shared" si="2"/>
        <v>0.99370746531051535</v>
      </c>
      <c r="AK22" s="28"/>
      <c r="AL22" s="28"/>
      <c r="AM22" s="30"/>
    </row>
    <row r="23" spans="4:39" ht="17.25" customHeight="1">
      <c r="D23" s="34" t="str">
        <f>+IF($B$3="esp","Margen EBITDA sin indemnizaciones ","EBITDA ex severance expenses Margin")</f>
        <v>EBITDA ex severance expenses Margin</v>
      </c>
      <c r="E23" s="35"/>
      <c r="F23" s="36">
        <f>+[1]GRUPO!F23</f>
        <v>0.20788516256743239</v>
      </c>
      <c r="G23" s="37">
        <f>+[1]GRUPO!G23</f>
        <v>0.10777239836854303</v>
      </c>
      <c r="H23" s="38">
        <f t="shared" si="0"/>
        <v>0.9289276819890333</v>
      </c>
      <c r="K23" s="32"/>
      <c r="L23" s="32"/>
      <c r="M23" s="33"/>
      <c r="Q23" s="34" t="str">
        <f>+IF($B$3="esp","Margen EBITDA sin indemnizaciones ","EBITDA ex severance expenses Margin")</f>
        <v>EBITDA ex severance expenses Margin</v>
      </c>
      <c r="R23" s="35"/>
      <c r="S23" s="36">
        <f>+S20/S10</f>
        <v>0.35244144954000084</v>
      </c>
      <c r="T23" s="37">
        <f>+T20/T10</f>
        <v>0.29936908103522686</v>
      </c>
      <c r="U23" s="38">
        <f t="shared" si="1"/>
        <v>0.17728072759300395</v>
      </c>
      <c r="X23" s="32"/>
      <c r="Y23" s="32"/>
      <c r="Z23" s="33"/>
      <c r="AD23" s="21" t="str">
        <f>+IF($B$3="esp","EBIT Contable","Reported EBIT")</f>
        <v>Reported EBIT</v>
      </c>
      <c r="AF23" s="22">
        <f>+[1]MEDIA!F44</f>
        <v>-8.9260365151562748</v>
      </c>
      <c r="AG23" s="23">
        <f>+[1]MEDIA!G44</f>
        <v>-13.734996033696341</v>
      </c>
      <c r="AH23" s="24">
        <f t="shared" si="2"/>
        <v>0.35012456550712862</v>
      </c>
      <c r="AK23" s="32"/>
      <c r="AL23" s="32"/>
      <c r="AM23" s="33"/>
    </row>
    <row r="24" spans="4:39" ht="17.25" customHeight="1">
      <c r="D24" s="21" t="str">
        <f>+IF($B$3="esp","EBIT Contable","Reported EBIT")</f>
        <v>Reported EBIT</v>
      </c>
      <c r="E24" s="20"/>
      <c r="F24" s="22">
        <f>+[1]GRUPO!F24</f>
        <v>23.802381323951387</v>
      </c>
      <c r="G24" s="23">
        <f>+[1]GRUPO!G24</f>
        <v>-4.5422962159075864</v>
      </c>
      <c r="H24" s="24" t="str">
        <f t="shared" si="0"/>
        <v>---</v>
      </c>
      <c r="K24" s="32"/>
      <c r="L24" s="32"/>
      <c r="M24" s="33"/>
      <c r="Q24" s="21" t="str">
        <f>+IF($B$3="esp","EBIT Contable","Reported EBIT")</f>
        <v>Reported EBIT</v>
      </c>
      <c r="R24" s="20"/>
      <c r="S24" s="22">
        <f>+[1]EDUCACIÓN!F24</f>
        <v>34.323873489107847</v>
      </c>
      <c r="T24" s="23">
        <f>+[1]EDUCACIÓN!G24</f>
        <v>12.875162207788966</v>
      </c>
      <c r="U24" s="24">
        <f t="shared" si="1"/>
        <v>1.6658983347288048</v>
      </c>
      <c r="X24" s="32"/>
      <c r="Y24" s="32"/>
      <c r="Z24" s="33"/>
      <c r="AD24" s="34" t="str">
        <f>+IF($B$3="esp","Margen EBIT ","EBIT Margin")</f>
        <v>EBIT Margin</v>
      </c>
      <c r="AF24" s="36">
        <f>+AF23/AF10</f>
        <v>-0.10813984017002651</v>
      </c>
      <c r="AG24" s="37">
        <f>+AG23/AG10</f>
        <v>-0.17838884095208293</v>
      </c>
      <c r="AH24" s="38">
        <f t="shared" si="2"/>
        <v>0.39379705819674016</v>
      </c>
      <c r="AK24" s="32"/>
      <c r="AL24" s="32"/>
      <c r="AM24" s="33"/>
    </row>
    <row r="25" spans="4:39" s="35" customFormat="1" ht="17.25" customHeight="1">
      <c r="D25" s="26" t="str">
        <f>+IF($B$3="esp","España","Spain")</f>
        <v>Spain</v>
      </c>
      <c r="E25" s="3"/>
      <c r="F25" s="27">
        <f>+[1]GRUPO!F25</f>
        <v>-15.574103380000089</v>
      </c>
      <c r="G25" s="28">
        <f>+[1]GRUPO!G25</f>
        <v>-22.939316960000163</v>
      </c>
      <c r="H25" s="29">
        <f t="shared" si="0"/>
        <v>0.3210737962618056</v>
      </c>
      <c r="K25" s="39"/>
      <c r="L25" s="39"/>
      <c r="M25" s="40"/>
      <c r="Q25" s="26" t="str">
        <f>+IF($B$3="esp","Privado","Private")</f>
        <v>Private</v>
      </c>
      <c r="R25" s="3"/>
      <c r="S25" s="27">
        <f>+[1]EDUCACIÓN!F25</f>
        <v>34.675309688827028</v>
      </c>
      <c r="T25" s="28">
        <f>+[1]EDUCACIÓN!G25</f>
        <v>16.128869926187772</v>
      </c>
      <c r="U25" s="29">
        <f t="shared" si="1"/>
        <v>1.1498908384477811</v>
      </c>
      <c r="X25" s="39"/>
      <c r="Y25" s="39"/>
      <c r="Z25" s="40"/>
      <c r="AD25" s="21" t="str">
        <f>+IF($B$3="esp","Resultado Financiero","Financial Result")</f>
        <v>Financial Result</v>
      </c>
      <c r="AE25" s="3"/>
      <c r="AF25" s="22">
        <f>+[1]MEDIA!F51</f>
        <v>-0.43858385974244835</v>
      </c>
      <c r="AG25" s="23">
        <f>+[1]MEDIA!G51</f>
        <v>-1.3653987404839611</v>
      </c>
      <c r="AH25" s="24">
        <f t="shared" si="2"/>
        <v>0.67878697501435104</v>
      </c>
      <c r="AI25" s="20"/>
      <c r="AJ25" s="20"/>
      <c r="AK25" s="39"/>
      <c r="AL25" s="39"/>
      <c r="AM25" s="40"/>
    </row>
    <row r="26" spans="4:39" s="20" customFormat="1" ht="17.25" customHeight="1">
      <c r="D26" s="26" t="str">
        <f>+IF($B$3="esp","Internacional","International")</f>
        <v>International</v>
      </c>
      <c r="E26" s="3"/>
      <c r="F26" s="27">
        <f>+[1]GRUPO!F26</f>
        <v>39.376484703951476</v>
      </c>
      <c r="G26" s="28">
        <f>+[1]GRUPO!G26</f>
        <v>18.397020744092575</v>
      </c>
      <c r="H26" s="29">
        <f t="shared" si="0"/>
        <v>1.140372903400436</v>
      </c>
      <c r="K26" s="23"/>
      <c r="L26" s="23"/>
      <c r="M26" s="25"/>
      <c r="Q26" s="26" t="str">
        <f>+IF($B$3="esp","Público","Public")</f>
        <v>Public</v>
      </c>
      <c r="R26" s="3"/>
      <c r="S26" s="27">
        <f>+[1]EDUCACIÓN!F26</f>
        <v>-0.29911625904846967</v>
      </c>
      <c r="T26" s="28">
        <f>+[1]EDUCACIÓN!G26</f>
        <v>-3.2688018804978651</v>
      </c>
      <c r="U26" s="29">
        <f t="shared" si="1"/>
        <v>0.90849361020224584</v>
      </c>
      <c r="X26" s="23"/>
      <c r="Y26" s="23"/>
      <c r="Z26" s="25"/>
      <c r="AD26" s="26" t="str">
        <f>+IF($B$3="esp","Gastos por intereses de financiación","Interests on debt")</f>
        <v>Interests on debt</v>
      </c>
      <c r="AE26" s="3"/>
      <c r="AF26" s="27">
        <f>+[1]MEDIA!F52</f>
        <v>-1.1281023973156619</v>
      </c>
      <c r="AG26" s="28">
        <f>+[1]MEDIA!G52</f>
        <v>-1.2785197487661342</v>
      </c>
      <c r="AH26" s="29">
        <f t="shared" si="2"/>
        <v>0.11764961127556781</v>
      </c>
      <c r="AI26" s="3"/>
      <c r="AJ26" s="3"/>
      <c r="AK26" s="23"/>
      <c r="AL26" s="23"/>
      <c r="AM26" s="25"/>
    </row>
    <row r="27" spans="4:39" ht="17.25" customHeight="1">
      <c r="D27" s="34" t="str">
        <f>+IF($B$3="esp","Margen EBIT ","EBIT Margin")</f>
        <v>EBIT Margin</v>
      </c>
      <c r="E27" s="35"/>
      <c r="F27" s="36">
        <f>+[1]GRUPO!F27</f>
        <v>0.11302853842478527</v>
      </c>
      <c r="G27" s="37">
        <f>+[1]GRUPO!G27</f>
        <v>-2.8655022549702983E-2</v>
      </c>
      <c r="H27" s="38" t="str">
        <f t="shared" si="0"/>
        <v>---</v>
      </c>
      <c r="K27" s="28"/>
      <c r="L27" s="28"/>
      <c r="M27" s="30"/>
      <c r="Q27" s="34" t="str">
        <f>+IF($B$3="esp","Margen EBIT ","EBIT Margin")</f>
        <v>EBIT Margin</v>
      </c>
      <c r="R27" s="35"/>
      <c r="S27" s="36">
        <f>+S24/S10</f>
        <v>0.26738847941326593</v>
      </c>
      <c r="T27" s="37">
        <f>+T24/T10</f>
        <v>0.157065368526039</v>
      </c>
      <c r="U27" s="38">
        <f t="shared" si="1"/>
        <v>0.70240252146313886</v>
      </c>
      <c r="X27" s="28"/>
      <c r="Y27" s="28"/>
      <c r="Z27" s="30"/>
      <c r="AD27" s="26" t="str">
        <f>+IF($B$3="esp","Otros resultados financieros","Other financial results")</f>
        <v>Other financial results</v>
      </c>
      <c r="AF27" s="27">
        <f>+[1]MEDIA!F53</f>
        <v>0.68951853757321357</v>
      </c>
      <c r="AG27" s="28">
        <f>+[1]MEDIA!G53</f>
        <v>-8.6878991717826981E-2</v>
      </c>
      <c r="AH27" s="29" t="str">
        <f t="shared" si="2"/>
        <v>---</v>
      </c>
      <c r="AK27" s="28"/>
      <c r="AL27" s="28"/>
      <c r="AM27" s="30"/>
    </row>
    <row r="28" spans="4:39" ht="17.25" customHeight="1">
      <c r="D28" s="21" t="str">
        <f>+IF($B$3="esp","Resultado Financiero","Financial Result")</f>
        <v>Financial Result</v>
      </c>
      <c r="E28" s="20"/>
      <c r="F28" s="22">
        <f>+[1]GRUPO!F28</f>
        <v>-15.479934221941901</v>
      </c>
      <c r="G28" s="23">
        <f>+[1]GRUPO!G28</f>
        <v>-7.139595696873557</v>
      </c>
      <c r="H28" s="24">
        <f t="shared" si="0"/>
        <v>-1.1681807877049109</v>
      </c>
      <c r="K28" s="28"/>
      <c r="L28" s="28"/>
      <c r="M28" s="30"/>
      <c r="Q28" s="21" t="str">
        <f>+IF($B$3="esp","Resultado Financiero","Financial Result")</f>
        <v>Financial Result</v>
      </c>
      <c r="R28" s="20"/>
      <c r="S28" s="22">
        <f>+[1]EDUCACIÓN!F28</f>
        <v>-0.84504423219943758</v>
      </c>
      <c r="T28" s="23">
        <f>+[1]EDUCACIÓN!G28</f>
        <v>0.28028948361040618</v>
      </c>
      <c r="U28" s="24" t="str">
        <f t="shared" si="1"/>
        <v>---</v>
      </c>
      <c r="X28" s="28"/>
      <c r="Y28" s="28"/>
      <c r="Z28" s="30"/>
      <c r="AD28" s="21" t="str">
        <f>+IF($B$3="esp","Resultado puesta en equivalencia","Result from associates")</f>
        <v>Result from associates</v>
      </c>
      <c r="AF28" s="22">
        <f>+[1]MEDIA!F54</f>
        <v>2.7873235080556242E-2</v>
      </c>
      <c r="AG28" s="23">
        <f>+[1]MEDIA!G54</f>
        <v>-0.38089046490165868</v>
      </c>
      <c r="AH28" s="24" t="str">
        <f t="shared" si="2"/>
        <v>---</v>
      </c>
      <c r="AK28" s="28"/>
      <c r="AL28" s="28"/>
      <c r="AM28" s="30"/>
    </row>
    <row r="29" spans="4:39" ht="17.25" customHeight="1">
      <c r="D29" s="26" t="str">
        <f>+IF($B$3="esp","Gastos por intereses de financiación","Interests on debt")</f>
        <v>Interests on debt</v>
      </c>
      <c r="F29" s="27">
        <f>+[1]GRUPO!F29</f>
        <v>-16.241058375938071</v>
      </c>
      <c r="G29" s="28">
        <f>+[1]GRUPO!G29</f>
        <v>-12.749603917566901</v>
      </c>
      <c r="H29" s="29">
        <f t="shared" si="0"/>
        <v>-0.2738480725319245</v>
      </c>
      <c r="K29" s="32"/>
      <c r="L29" s="32"/>
      <c r="M29" s="33"/>
      <c r="Q29" s="26" t="str">
        <f>+IF($B$3="esp","Gastos por intereses de financiación","Interests on debt")</f>
        <v>Interests on debt</v>
      </c>
      <c r="S29" s="27">
        <f>+[1]EDUCACIÓN!F29</f>
        <v>-2.4498901386224041</v>
      </c>
      <c r="T29" s="28">
        <f>+[1]EDUCACIÓN!G29</f>
        <v>-2.0814268588007674</v>
      </c>
      <c r="U29" s="29">
        <f t="shared" si="1"/>
        <v>-0.17702437069248261</v>
      </c>
      <c r="X29" s="32"/>
      <c r="Y29" s="32"/>
      <c r="Z29" s="33"/>
      <c r="AD29" s="21" t="str">
        <f>+IF($B$3="esp","Resultado antes de impuestos","Profit before tax")</f>
        <v>Profit before tax</v>
      </c>
      <c r="AF29" s="22">
        <f>+[1]MEDIA!F55</f>
        <v>-9.3367471398181685</v>
      </c>
      <c r="AG29" s="23">
        <f>+[1]MEDIA!G55</f>
        <v>-15.481285239081961</v>
      </c>
      <c r="AH29" s="24">
        <f t="shared" si="2"/>
        <v>0.39690103272253663</v>
      </c>
      <c r="AK29" s="32"/>
      <c r="AL29" s="32"/>
      <c r="AM29" s="33"/>
    </row>
    <row r="30" spans="4:39" ht="17.25" customHeight="1">
      <c r="D30" s="26" t="str">
        <f>+IF($B$3="esp","Otros resultados financieros","Other financial results")</f>
        <v>Other financial results</v>
      </c>
      <c r="F30" s="27">
        <f>+[1]GRUPO!F30</f>
        <v>0.76112415399616928</v>
      </c>
      <c r="G30" s="28">
        <f>+[1]GRUPO!G30</f>
        <v>5.6100082206933441</v>
      </c>
      <c r="H30" s="29">
        <f t="shared" si="0"/>
        <v>-0.86432744408668594</v>
      </c>
      <c r="K30" s="32"/>
      <c r="L30" s="32"/>
      <c r="M30" s="33"/>
      <c r="Q30" s="26" t="str">
        <f>+IF($B$3="esp","Otros resultados financieros","Other financial results")</f>
        <v>Other financial results</v>
      </c>
      <c r="S30" s="27">
        <f>+[1]EDUCACIÓN!F30</f>
        <v>1.6048459064229665</v>
      </c>
      <c r="T30" s="28">
        <f>+[1]EDUCACIÓN!G30</f>
        <v>2.3617163424111736</v>
      </c>
      <c r="U30" s="29">
        <f t="shared" si="1"/>
        <v>-0.32047474220188815</v>
      </c>
      <c r="X30" s="32"/>
      <c r="Y30" s="32"/>
      <c r="Z30" s="33"/>
      <c r="AD30" s="26" t="str">
        <f>+IF($B$3="esp","Impuesto sobre sociedades","Income tax expense")</f>
        <v>Income tax expense</v>
      </c>
      <c r="AE30" s="20"/>
      <c r="AF30" s="27">
        <f>+[1]MEDIA!F56</f>
        <v>-9.9034748998767325E-2</v>
      </c>
      <c r="AG30" s="28">
        <f>+[1]MEDIA!G56</f>
        <v>-0.58977485509288496</v>
      </c>
      <c r="AH30" s="29">
        <f t="shared" si="2"/>
        <v>0.83208041485056172</v>
      </c>
      <c r="AI30" s="35"/>
      <c r="AJ30" s="35"/>
      <c r="AK30" s="32"/>
      <c r="AL30" s="32"/>
      <c r="AM30" s="33"/>
    </row>
    <row r="31" spans="4:39" s="35" customFormat="1" ht="17.25" customHeight="1">
      <c r="D31" s="21" t="str">
        <f>+IF($B$3="esp","Resultado puesta en equivalencia","Result from associates")</f>
        <v>Result from associates</v>
      </c>
      <c r="E31" s="20"/>
      <c r="F31" s="22">
        <f>+[1]GRUPO!F31</f>
        <v>-7.7331496663443716E-2</v>
      </c>
      <c r="G31" s="23">
        <f>+[1]GRUPO!G31</f>
        <v>-0.37289308740165872</v>
      </c>
      <c r="H31" s="24">
        <f t="shared" si="0"/>
        <v>0.79261751081980569</v>
      </c>
      <c r="K31" s="39"/>
      <c r="L31" s="39"/>
      <c r="M31" s="40"/>
      <c r="Q31" s="21" t="str">
        <f>+IF($B$3="esp","Resultado puesta en equivalencia","Result from associates")</f>
        <v>Result from associates</v>
      </c>
      <c r="R31" s="20"/>
      <c r="S31" s="22">
        <f>+[1]EDUCACIÓN!F31</f>
        <v>0</v>
      </c>
      <c r="T31" s="23">
        <f>+[1]EDUCACIÓN!G31</f>
        <v>0</v>
      </c>
      <c r="U31" s="24" t="str">
        <f t="shared" si="1"/>
        <v>---</v>
      </c>
      <c r="X31" s="39"/>
      <c r="Y31" s="39"/>
      <c r="Z31" s="40"/>
      <c r="AD31" s="21" t="str">
        <f>+IF($B$3="esp","Resultado operaciones en discontinuación","Results from discontinued activities")</f>
        <v>Results from discontinued activities</v>
      </c>
      <c r="AE31" s="3"/>
      <c r="AF31" s="22">
        <f>+[1]MEDIA!F57</f>
        <v>0</v>
      </c>
      <c r="AG31" s="23">
        <f>+[1]MEDIA!G57</f>
        <v>0</v>
      </c>
      <c r="AH31" s="24" t="str">
        <f t="shared" si="2"/>
        <v>---</v>
      </c>
      <c r="AI31" s="20"/>
      <c r="AJ31" s="20"/>
      <c r="AK31" s="39"/>
      <c r="AL31" s="39"/>
      <c r="AM31" s="40"/>
    </row>
    <row r="32" spans="4:39" s="20" customFormat="1" ht="17.25" customHeight="1">
      <c r="D32" s="21" t="str">
        <f>+IF($B$3="esp","Resultado antes de impuestos","Profit before tax")</f>
        <v>Profit before tax</v>
      </c>
      <c r="F32" s="22">
        <f>+[1]GRUPO!F32</f>
        <v>8.2451156053460419</v>
      </c>
      <c r="G32" s="23">
        <f>+[1]GRUPO!G32</f>
        <v>-12.054785000182802</v>
      </c>
      <c r="H32" s="24" t="str">
        <f t="shared" si="0"/>
        <v>---</v>
      </c>
      <c r="K32" s="23"/>
      <c r="L32" s="23"/>
      <c r="M32" s="25"/>
      <c r="Q32" s="21" t="str">
        <f>+IF($B$3="esp","Resultado antes de impuestos","Profit before tax")</f>
        <v>Profit before tax</v>
      </c>
      <c r="S32" s="22">
        <f>+[1]EDUCACIÓN!F32</f>
        <v>33.478829256908412</v>
      </c>
      <c r="T32" s="23">
        <f>+[1]EDUCACIÓN!G32</f>
        <v>13.155451691399373</v>
      </c>
      <c r="U32" s="24">
        <f t="shared" si="1"/>
        <v>1.5448635320363675</v>
      </c>
      <c r="X32" s="23"/>
      <c r="Y32" s="23"/>
      <c r="Z32" s="25"/>
      <c r="AD32" s="21" t="str">
        <f>+IF($B$3="esp","Resultado atribuido a socios externos","Minority interest")</f>
        <v>Minority interest</v>
      </c>
      <c r="AE32" s="3"/>
      <c r="AF32" s="22">
        <f>+[1]MEDIA!F58</f>
        <v>-0.92980373681131667</v>
      </c>
      <c r="AG32" s="23">
        <f>+[1]MEDIA!G58</f>
        <v>-2.2055942888783173</v>
      </c>
      <c r="AH32" s="24">
        <f t="shared" si="2"/>
        <v>0.57843392073517752</v>
      </c>
      <c r="AI32" s="3"/>
      <c r="AJ32" s="3"/>
      <c r="AK32" s="23"/>
      <c r="AL32" s="23"/>
      <c r="AM32" s="25"/>
    </row>
    <row r="33" spans="4:39" ht="17.25" customHeight="1">
      <c r="D33" s="26" t="str">
        <f>+IF($B$3="esp","Impuesto sobre sociedades","Income tax expense")</f>
        <v>Income tax expense</v>
      </c>
      <c r="F33" s="27">
        <f>+[1]GRUPO!F33</f>
        <v>8.980550427854908</v>
      </c>
      <c r="G33" s="28">
        <f>+[1]GRUPO!G33</f>
        <v>3.6694249003337247</v>
      </c>
      <c r="H33" s="29">
        <f t="shared" si="0"/>
        <v>1.4473999800454151</v>
      </c>
      <c r="K33" s="28"/>
      <c r="L33" s="28"/>
      <c r="M33" s="30"/>
      <c r="Q33" s="26" t="str">
        <f>+IF($B$3="esp","Impuesto sobre sociedades","Income tax expense")</f>
        <v>Income tax expense</v>
      </c>
      <c r="S33" s="27">
        <f>+[1]EDUCACIÓN!F33</f>
        <v>9.3645697068536773</v>
      </c>
      <c r="T33" s="28">
        <f>+[1]EDUCACIÓN!G33</f>
        <v>4.2475967554266081</v>
      </c>
      <c r="U33" s="29">
        <f t="shared" si="1"/>
        <v>1.204674842283409</v>
      </c>
      <c r="X33" s="28"/>
      <c r="Y33" s="28"/>
      <c r="Z33" s="30"/>
      <c r="AD33" s="21" t="str">
        <f>+IF($B$3="esp","Resultado Neto","Net Profit")</f>
        <v>Net Profit</v>
      </c>
      <c r="AF33" s="22">
        <f>+[1]MEDIA!F59</f>
        <v>-8.3079086540080915</v>
      </c>
      <c r="AG33" s="23">
        <f>+[1]MEDIA!G59</f>
        <v>-12.685916095110679</v>
      </c>
      <c r="AH33" s="24">
        <f t="shared" si="2"/>
        <v>0.34510770907510019</v>
      </c>
      <c r="AK33" s="28"/>
      <c r="AL33" s="28"/>
      <c r="AM33" s="30"/>
    </row>
    <row r="34" spans="4:39" ht="17.25" customHeight="1">
      <c r="D34" s="21" t="str">
        <f>+IF($B$3="esp","Resultado operaciones en discontinuación","Results from discontinued activities")</f>
        <v>Results from discontinued activities</v>
      </c>
      <c r="E34" s="20"/>
      <c r="F34" s="22">
        <f>+[1]GRUPO!F34</f>
        <v>0</v>
      </c>
      <c r="G34" s="23">
        <f>+[1]GRUPO!G34</f>
        <v>-1.9180000000005749E-5</v>
      </c>
      <c r="H34" s="24">
        <f t="shared" si="0"/>
        <v>1</v>
      </c>
      <c r="K34" s="28"/>
      <c r="L34" s="28"/>
      <c r="M34" s="30"/>
      <c r="Q34" s="21" t="str">
        <f>+IF($B$3="esp","Resultado operaciones en discontinuación","Results from discontinued activities")</f>
        <v>Results from discontinued activities</v>
      </c>
      <c r="R34" s="20"/>
      <c r="S34" s="22">
        <f>+[1]EDUCACIÓN!F34</f>
        <v>0</v>
      </c>
      <c r="T34" s="23">
        <f>+[1]EDUCACIÓN!G34</f>
        <v>0</v>
      </c>
      <c r="U34" s="24" t="str">
        <f t="shared" si="1"/>
        <v>---</v>
      </c>
      <c r="X34" s="28"/>
      <c r="Y34" s="28"/>
      <c r="Z34" s="30"/>
      <c r="AD34" s="31"/>
      <c r="AE34" s="20"/>
      <c r="AF34" s="32"/>
      <c r="AG34" s="32"/>
      <c r="AH34" s="41"/>
      <c r="AK34" s="28"/>
      <c r="AL34" s="28"/>
      <c r="AM34" s="30"/>
    </row>
    <row r="35" spans="4:39" ht="17.25" customHeight="1">
      <c r="D35" s="21" t="str">
        <f>+IF($B$3="esp","Resultado atribuido a socios externos","Minority interest")</f>
        <v>Minority interest</v>
      </c>
      <c r="E35" s="20"/>
      <c r="F35" s="22">
        <f>+[1]GRUPO!F35</f>
        <v>-0.83921191567970155</v>
      </c>
      <c r="G35" s="23">
        <f>+[1]GRUPO!G35</f>
        <v>-1.948006584721351</v>
      </c>
      <c r="H35" s="24">
        <f t="shared" si="0"/>
        <v>0.56919451799504828</v>
      </c>
      <c r="K35" s="32"/>
      <c r="L35" s="32"/>
      <c r="M35" s="33"/>
      <c r="Q35" s="21" t="str">
        <f>+IF($B$3="esp","Resultado atribuido a socios externos","Minority interest")</f>
        <v>Minority interest</v>
      </c>
      <c r="R35" s="20"/>
      <c r="S35" s="22">
        <f>+[1]EDUCACIÓN!F35</f>
        <v>0.19918074160079374</v>
      </c>
      <c r="T35" s="23">
        <f>+[1]EDUCACIÓN!G35</f>
        <v>8.8860721739601342E-2</v>
      </c>
      <c r="U35" s="24">
        <f t="shared" si="1"/>
        <v>1.2414936284726077</v>
      </c>
      <c r="X35" s="32"/>
      <c r="Y35" s="32"/>
      <c r="Z35" s="33"/>
      <c r="AK35" s="32"/>
      <c r="AL35" s="32"/>
      <c r="AM35" s="33"/>
    </row>
    <row r="36" spans="4:39" ht="17.25" customHeight="1">
      <c r="D36" s="21" t="str">
        <f>+IF($B$3="esp","Resultado Neto","Net Profit")</f>
        <v>Net Profit</v>
      </c>
      <c r="E36" s="20"/>
      <c r="F36" s="22">
        <f>+[1]GRUPO!F36</f>
        <v>0.10377709317091091</v>
      </c>
      <c r="G36" s="23">
        <f>+[1]GRUPO!G36</f>
        <v>-13.776222495795086</v>
      </c>
      <c r="H36" s="24" t="str">
        <f t="shared" si="0"/>
        <v>---</v>
      </c>
      <c r="K36" s="32"/>
      <c r="L36" s="32"/>
      <c r="M36" s="33"/>
      <c r="Q36" s="21" t="str">
        <f>+IF($B$3="esp","Resultado Neto","Net Profit")</f>
        <v>Net Profit</v>
      </c>
      <c r="R36" s="20"/>
      <c r="S36" s="22">
        <f>+[1]EDUCACIÓN!F36</f>
        <v>23.915078808453991</v>
      </c>
      <c r="T36" s="23">
        <f>+[1]EDUCACIÓN!G36</f>
        <v>8.8189942142331823</v>
      </c>
      <c r="U36" s="24">
        <f t="shared" si="1"/>
        <v>1.7117694180881629</v>
      </c>
      <c r="X36" s="32"/>
      <c r="Y36" s="32"/>
      <c r="Z36" s="33"/>
      <c r="AI36" s="35"/>
      <c r="AJ36" s="35"/>
      <c r="AK36" s="32"/>
      <c r="AL36" s="32"/>
      <c r="AM36" s="33"/>
    </row>
    <row r="37" spans="4:39" s="35" customFormat="1" ht="17.25" customHeight="1">
      <c r="K37" s="39"/>
      <c r="L37" s="39"/>
      <c r="M37" s="40"/>
      <c r="X37" s="39"/>
      <c r="Y37" s="39"/>
      <c r="Z37" s="40"/>
      <c r="AD37" s="3"/>
      <c r="AE37" s="3"/>
      <c r="AF37" s="3"/>
      <c r="AG37" s="3"/>
      <c r="AH37" s="3"/>
      <c r="AI37" s="20"/>
      <c r="AJ37" s="20"/>
      <c r="AK37" s="39"/>
      <c r="AL37" s="39"/>
      <c r="AM37" s="40"/>
    </row>
    <row r="38" spans="4:39" s="20" customFormat="1" ht="17.25" customHeight="1">
      <c r="K38" s="23"/>
      <c r="L38" s="23"/>
      <c r="M38" s="25"/>
      <c r="X38" s="23"/>
      <c r="Y38" s="23"/>
      <c r="Z38" s="25"/>
      <c r="AD38" s="43"/>
      <c r="AE38" s="43"/>
      <c r="AF38" s="43"/>
      <c r="AG38" s="43"/>
      <c r="AH38" s="43"/>
      <c r="AI38" s="3"/>
      <c r="AJ38" s="3"/>
      <c r="AK38" s="23"/>
      <c r="AL38" s="23"/>
      <c r="AM38" s="25"/>
    </row>
    <row r="39" spans="4:39" ht="17.25" customHeight="1">
      <c r="K39" s="28"/>
      <c r="L39" s="28"/>
      <c r="M39" s="30"/>
      <c r="X39" s="28"/>
      <c r="Y39" s="28"/>
      <c r="Z39" s="30"/>
      <c r="AK39" s="28"/>
      <c r="AL39" s="28"/>
      <c r="AM39" s="30"/>
    </row>
    <row r="40" spans="4:39" ht="17.25" customHeight="1">
      <c r="K40" s="28"/>
      <c r="L40" s="28"/>
      <c r="M40" s="30"/>
      <c r="X40" s="28"/>
      <c r="Y40" s="28"/>
      <c r="Z40" s="30"/>
      <c r="AK40" s="28"/>
      <c r="AL40" s="28"/>
      <c r="AM40" s="30"/>
    </row>
    <row r="41" spans="4:39" s="20" customFormat="1" ht="17.25" customHeight="1">
      <c r="K41" s="23"/>
      <c r="L41" s="23"/>
      <c r="M41" s="25"/>
      <c r="X41" s="23"/>
      <c r="Y41" s="23"/>
      <c r="Z41" s="25"/>
      <c r="AD41" s="10"/>
      <c r="AE41" s="10"/>
      <c r="AF41" s="13"/>
      <c r="AG41" s="14"/>
      <c r="AH41" s="14"/>
      <c r="AI41" s="3"/>
      <c r="AJ41" s="3"/>
      <c r="AK41" s="23"/>
      <c r="AL41" s="23"/>
      <c r="AM41" s="25"/>
    </row>
    <row r="42" spans="4:39" s="20" customFormat="1" ht="17.25" customHeight="1">
      <c r="K42" s="23"/>
      <c r="L42" s="23"/>
      <c r="M42" s="25"/>
      <c r="X42" s="23"/>
      <c r="Y42" s="23"/>
      <c r="Z42" s="25"/>
      <c r="AD42" s="10"/>
      <c r="AE42" s="10"/>
      <c r="AF42" s="10"/>
      <c r="AG42" s="10"/>
      <c r="AH42" s="10"/>
      <c r="AK42" s="23"/>
      <c r="AL42" s="23"/>
      <c r="AM42" s="25"/>
    </row>
    <row r="43" spans="4:39" ht="17.25" customHeight="1">
      <c r="K43" s="28"/>
      <c r="L43" s="28"/>
      <c r="M43" s="30"/>
      <c r="X43" s="28"/>
      <c r="Y43" s="28"/>
      <c r="Z43" s="30"/>
      <c r="AD43" s="15"/>
      <c r="AE43" s="10"/>
      <c r="AF43" s="17"/>
      <c r="AG43" s="17"/>
      <c r="AH43" s="17"/>
      <c r="AK43" s="28"/>
      <c r="AL43" s="28"/>
      <c r="AM43" s="30"/>
    </row>
    <row r="44" spans="4:39" s="20" customFormat="1" ht="17.25" customHeight="1">
      <c r="K44" s="23"/>
      <c r="L44" s="23"/>
      <c r="M44" s="25"/>
      <c r="X44" s="23"/>
      <c r="Y44" s="23"/>
      <c r="Z44" s="25"/>
      <c r="AD44" s="45"/>
      <c r="AE44" s="3"/>
      <c r="AF44" s="3"/>
      <c r="AG44" s="3"/>
      <c r="AH44" s="3"/>
      <c r="AK44" s="23"/>
      <c r="AL44" s="23"/>
      <c r="AM44" s="25"/>
    </row>
    <row r="45" spans="4:39" s="20" customFormat="1" ht="17.25" customHeight="1">
      <c r="K45" s="23"/>
      <c r="L45" s="23"/>
      <c r="M45" s="25"/>
      <c r="X45" s="23"/>
      <c r="Y45" s="23"/>
      <c r="Z45" s="25"/>
      <c r="AD45" s="21"/>
      <c r="AF45" s="23"/>
      <c r="AG45" s="23"/>
      <c r="AH45" s="25"/>
      <c r="AK45" s="23"/>
      <c r="AL45" s="23"/>
      <c r="AM45" s="25"/>
    </row>
    <row r="46" spans="4:39" s="20" customFormat="1" ht="17.25" customHeight="1">
      <c r="K46" s="23"/>
      <c r="L46" s="23"/>
      <c r="M46" s="25"/>
      <c r="X46" s="23"/>
      <c r="Y46" s="23"/>
      <c r="Z46" s="25"/>
      <c r="AD46" s="26"/>
      <c r="AE46" s="3"/>
      <c r="AF46" s="28"/>
      <c r="AG46" s="28"/>
      <c r="AH46" s="30"/>
      <c r="AK46" s="23"/>
      <c r="AL46" s="23"/>
      <c r="AM46" s="25"/>
    </row>
    <row r="47" spans="4:39" ht="17.25" customHeight="1">
      <c r="AD47" s="26"/>
      <c r="AF47" s="28"/>
      <c r="AG47" s="28"/>
      <c r="AH47" s="30"/>
    </row>
    <row r="48" spans="4:39" ht="15">
      <c r="AD48" s="21"/>
      <c r="AE48" s="20"/>
      <c r="AF48" s="23"/>
      <c r="AG48" s="23"/>
      <c r="AH48" s="25"/>
    </row>
    <row r="49" spans="4:42">
      <c r="D49" s="42"/>
      <c r="E49" s="42"/>
      <c r="F49" s="42"/>
      <c r="G49" s="42"/>
      <c r="H49" s="42"/>
      <c r="I49" s="42"/>
      <c r="J49" s="42"/>
      <c r="K49" s="42"/>
      <c r="L49" s="42"/>
      <c r="M49" s="42"/>
      <c r="N49" s="42"/>
      <c r="O49" s="42"/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2"/>
      <c r="AA49" s="42"/>
      <c r="AB49" s="42"/>
      <c r="AC49" s="42"/>
      <c r="AD49" s="42"/>
      <c r="AE49" s="42"/>
      <c r="AF49" s="42"/>
      <c r="AG49" s="42"/>
      <c r="AH49" s="42"/>
      <c r="AI49" s="42"/>
      <c r="AJ49" s="42"/>
      <c r="AK49" s="42"/>
      <c r="AL49" s="42"/>
      <c r="AM49" s="42"/>
      <c r="AN49" s="42"/>
      <c r="AO49" s="42"/>
      <c r="AP49" s="42"/>
    </row>
    <row r="50" spans="4:42" s="43" customFormat="1">
      <c r="F50" s="44"/>
      <c r="G50" s="44"/>
      <c r="K50" s="44"/>
      <c r="L50" s="44"/>
      <c r="AD50" s="26"/>
      <c r="AE50" s="3"/>
      <c r="AF50" s="28"/>
      <c r="AG50" s="28"/>
      <c r="AH50" s="30"/>
    </row>
    <row r="51" spans="4:42" ht="15">
      <c r="AD51" s="21"/>
      <c r="AE51" s="20"/>
      <c r="AF51" s="23"/>
      <c r="AG51" s="23"/>
      <c r="AH51" s="25"/>
    </row>
    <row r="52" spans="4:42">
      <c r="AD52" s="26"/>
      <c r="AF52" s="28"/>
      <c r="AG52" s="28"/>
      <c r="AH52" s="30"/>
    </row>
    <row r="53" spans="4:42">
      <c r="D53" s="10"/>
      <c r="E53" s="10"/>
      <c r="F53" s="11" t="str">
        <f>+$F$6</f>
        <v>JANUARY - MARCH</v>
      </c>
      <c r="G53" s="12"/>
      <c r="H53" s="12"/>
      <c r="I53" s="10"/>
      <c r="J53" s="10"/>
      <c r="K53" s="13"/>
      <c r="L53" s="14"/>
      <c r="M53" s="14"/>
      <c r="Q53" s="10"/>
      <c r="R53" s="10"/>
      <c r="S53" s="11" t="str">
        <f>+$F$6</f>
        <v>JANUARY - MARCH</v>
      </c>
      <c r="T53" s="12"/>
      <c r="U53" s="12"/>
      <c r="V53" s="10"/>
      <c r="W53" s="10"/>
      <c r="X53" s="13"/>
      <c r="Y53" s="14"/>
      <c r="Z53" s="14"/>
      <c r="AD53" s="26"/>
      <c r="AF53" s="28"/>
      <c r="AG53" s="28"/>
      <c r="AH53" s="30"/>
      <c r="AI53" s="10"/>
      <c r="AJ53" s="10"/>
      <c r="AK53" s="13"/>
      <c r="AL53" s="14"/>
      <c r="AM53" s="14"/>
    </row>
    <row r="54" spans="4:42">
      <c r="D54" s="10"/>
      <c r="E54" s="10"/>
      <c r="F54" s="10"/>
      <c r="G54" s="10"/>
      <c r="H54" s="10"/>
      <c r="I54" s="10"/>
      <c r="J54" s="10"/>
      <c r="K54" s="10"/>
      <c r="L54" s="10"/>
      <c r="M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D54" s="34"/>
      <c r="AE54" s="35"/>
      <c r="AF54" s="39"/>
      <c r="AG54" s="39"/>
      <c r="AH54" s="40"/>
      <c r="AI54" s="10"/>
      <c r="AJ54" s="10"/>
      <c r="AK54" s="10"/>
      <c r="AL54" s="10"/>
      <c r="AM54" s="10"/>
    </row>
    <row r="55" spans="4:42" ht="15">
      <c r="D55" s="15" t="str">
        <f>+IF($B$3="esp","Millones de €","€ Millions")</f>
        <v>€ Millions</v>
      </c>
      <c r="E55" s="10"/>
      <c r="F55" s="16">
        <v>2022</v>
      </c>
      <c r="G55" s="16">
        <v>2021</v>
      </c>
      <c r="H55" s="16" t="str">
        <f>+IF($B$3="esp","Var.","Chg.")</f>
        <v>Chg.</v>
      </c>
      <c r="I55" s="10"/>
      <c r="J55" s="10"/>
      <c r="K55" s="17"/>
      <c r="L55" s="17"/>
      <c r="M55" s="17"/>
      <c r="Q55" s="15" t="str">
        <f>+IF($B$3="esp","Millones de €","€ Millions")</f>
        <v>€ Millions</v>
      </c>
      <c r="R55" s="10"/>
      <c r="S55" s="16">
        <v>2022</v>
      </c>
      <c r="T55" s="16">
        <v>2021</v>
      </c>
      <c r="U55" s="16" t="str">
        <f>+IF($B$3="esp","Var.","Chg.")</f>
        <v>Chg.</v>
      </c>
      <c r="V55" s="10"/>
      <c r="W55" s="10"/>
      <c r="X55" s="17"/>
      <c r="Y55" s="17"/>
      <c r="Z55" s="17"/>
      <c r="AD55" s="21"/>
      <c r="AE55" s="20"/>
      <c r="AF55" s="23"/>
      <c r="AG55" s="23"/>
      <c r="AH55" s="25"/>
      <c r="AI55" s="10"/>
      <c r="AJ55" s="10"/>
      <c r="AK55" s="17"/>
      <c r="AL55" s="17"/>
      <c r="AM55" s="17"/>
    </row>
    <row r="56" spans="4:42" ht="15">
      <c r="D56" s="18" t="str">
        <f>+IF($B$3="esp","Resultados a tipo de cambio constante","Results at constant currency")</f>
        <v>Results at constant currency</v>
      </c>
      <c r="F56" s="19"/>
      <c r="G56" s="19"/>
      <c r="H56" s="19"/>
      <c r="Q56" s="18" t="str">
        <f>+IF($B$3="esp","Resultados a tipo de cambio constante","Results at constant currency")</f>
        <v>Results at constant currency</v>
      </c>
      <c r="S56" s="19"/>
      <c r="T56" s="19"/>
      <c r="U56" s="19"/>
      <c r="AD56" s="26"/>
      <c r="AF56" s="28"/>
      <c r="AG56" s="28"/>
      <c r="AH56" s="30"/>
    </row>
    <row r="57" spans="4:42" ht="15.75" customHeight="1">
      <c r="D57" s="21" t="str">
        <f>+IF($B$3="esp","Ingresos de Explotación","Operating Revenues")</f>
        <v>Operating Revenues</v>
      </c>
      <c r="E57" s="20"/>
      <c r="F57" s="22">
        <f>+[1]GRUPO!F88</f>
        <v>205.74857120410232</v>
      </c>
      <c r="G57" s="23">
        <f>+[1]GRUPO!G88</f>
        <v>158.51658144846473</v>
      </c>
      <c r="H57" s="24">
        <f>IF(G57=0,"---",IF(OR(ABS((F57-G57)/ABS(G57))&gt;9,(F57*G57)&lt;0),"---",IF(G57="0","---",((F57-G57)/ABS(G57)))))</f>
        <v>0.29796245493089413</v>
      </c>
      <c r="I57" s="20"/>
      <c r="J57" s="20"/>
      <c r="K57" s="23"/>
      <c r="L57" s="23"/>
      <c r="M57" s="25"/>
      <c r="Q57" s="21" t="str">
        <f>+IF($B$3="esp","Ingresos de Explotación","Operating Revenues")</f>
        <v>Operating Revenues</v>
      </c>
      <c r="R57" s="20"/>
      <c r="S57" s="22">
        <f>+[1]EDUCACIÓN!F45</f>
        <v>123.31556193610034</v>
      </c>
      <c r="T57" s="23">
        <f>+[1]EDUCACIÓN!G45</f>
        <v>81.973272202614567</v>
      </c>
      <c r="U57" s="24">
        <f>IF(T57=0,"---",IF(OR(ABS((S57-T57)/ABS(T57))&gt;9,(S57*T57)&lt;0),"---",IF(T57="0","---",((S57-T57)/ABS(T57)))))</f>
        <v>0.50433865359552088</v>
      </c>
      <c r="V57" s="20"/>
      <c r="W57" s="20"/>
      <c r="X57" s="23"/>
      <c r="Y57" s="23"/>
      <c r="Z57" s="25"/>
      <c r="AD57" s="26"/>
      <c r="AF57" s="28"/>
      <c r="AG57" s="28"/>
      <c r="AH57" s="30"/>
      <c r="AI57" s="20"/>
      <c r="AJ57" s="20"/>
      <c r="AK57" s="23"/>
      <c r="AL57" s="23"/>
      <c r="AM57" s="25"/>
    </row>
    <row r="58" spans="4:42" ht="15.75" customHeight="1">
      <c r="D58" s="26" t="str">
        <f>+IF($B$3="esp","España","Spain")</f>
        <v>Spain</v>
      </c>
      <c r="F58" s="27">
        <f>+[1]GRUPO!F89</f>
        <v>67.329898539999959</v>
      </c>
      <c r="G58" s="28">
        <f>+[1]GRUPO!G89</f>
        <v>65.213687410000006</v>
      </c>
      <c r="H58" s="29">
        <f t="shared" ref="H58:H74" si="3">IF(G58=0,"---",IF(OR(ABS((F58-G58)/ABS(G58))&gt;9,(F58*G58)&lt;0),"---",IF(G58="0","---",((F58-G58)/ABS(G58)))))</f>
        <v>3.2450413617854237E-2</v>
      </c>
      <c r="K58" s="28"/>
      <c r="L58" s="28"/>
      <c r="M58" s="30"/>
      <c r="Q58" s="26" t="str">
        <f>+IF($B$3="esp","Privado","Private")</f>
        <v>Private</v>
      </c>
      <c r="S58" s="27">
        <f>+[1]EDUCACIÓN!F46</f>
        <v>109.78335281751404</v>
      </c>
      <c r="T58" s="28">
        <f>+[1]EDUCACIÓN!G46</f>
        <v>74.521379434891713</v>
      </c>
      <c r="U58" s="29">
        <f t="shared" ref="U58:U74" si="4">IF(T58=0,"---",IF(OR(ABS((S58-T58)/ABS(T58))&gt;9,(S58*T58)&lt;0),"---",IF(T58="0","---",((S58-T58)/ABS(T58)))))</f>
        <v>0.47317928962158062</v>
      </c>
      <c r="X58" s="28"/>
      <c r="Y58" s="28"/>
      <c r="Z58" s="30"/>
      <c r="AD58" s="34"/>
      <c r="AE58" s="35"/>
      <c r="AF58" s="39"/>
      <c r="AG58" s="39"/>
      <c r="AH58" s="40"/>
      <c r="AK58" s="28"/>
      <c r="AL58" s="28"/>
      <c r="AM58" s="30"/>
    </row>
    <row r="59" spans="4:42" ht="15.75" customHeight="1">
      <c r="D59" s="26" t="str">
        <f>+IF($B$3="esp","Internacional","International")</f>
        <v>International</v>
      </c>
      <c r="F59" s="27">
        <f>+[1]GRUPO!F90</f>
        <v>138.41867266410236</v>
      </c>
      <c r="G59" s="28">
        <f>+[1]GRUPO!G90</f>
        <v>93.302894038464729</v>
      </c>
      <c r="H59" s="29">
        <f t="shared" si="3"/>
        <v>0.48354104222145944</v>
      </c>
      <c r="K59" s="28"/>
      <c r="L59" s="28"/>
      <c r="M59" s="30"/>
      <c r="Q59" s="26" t="str">
        <f>+IF($B$3="esp","Público","Public")</f>
        <v>Public</v>
      </c>
      <c r="S59" s="27">
        <f>+[1]EDUCACIÓN!F47</f>
        <v>13.525790305907808</v>
      </c>
      <c r="T59" s="28">
        <f>+[1]EDUCACIÓN!G47</f>
        <v>7.4862434735653114</v>
      </c>
      <c r="U59" s="29">
        <f t="shared" si="4"/>
        <v>0.80675265955064812</v>
      </c>
      <c r="X59" s="28"/>
      <c r="Y59" s="28"/>
      <c r="Z59" s="30"/>
      <c r="AD59" s="21"/>
      <c r="AE59" s="20"/>
      <c r="AF59" s="23"/>
      <c r="AG59" s="23"/>
      <c r="AH59" s="25"/>
      <c r="AK59" s="28"/>
      <c r="AL59" s="28"/>
      <c r="AM59" s="30"/>
    </row>
    <row r="60" spans="4:42" ht="15.75" customHeight="1">
      <c r="D60" s="21" t="str">
        <f>+IF($B$3="esp","Gastos de Explotación","Expenses")</f>
        <v>Expenses</v>
      </c>
      <c r="E60" s="20"/>
      <c r="F60" s="22">
        <f>+[1]GRUPO!F91</f>
        <v>165.28613067848033</v>
      </c>
      <c r="G60" s="23">
        <f>+[1]GRUPO!G91</f>
        <v>146.21046737362451</v>
      </c>
      <c r="H60" s="24">
        <f t="shared" si="3"/>
        <v>0.13046715223274744</v>
      </c>
      <c r="I60" s="10"/>
      <c r="J60" s="10"/>
      <c r="K60" s="32"/>
      <c r="L60" s="32"/>
      <c r="M60" s="33"/>
      <c r="Q60" s="21" t="str">
        <f>+IF($B$3="esp","Gastos de Explotación","Expenses")</f>
        <v>Expenses</v>
      </c>
      <c r="R60" s="20"/>
      <c r="S60" s="22">
        <f>+[1]EDUCACIÓN!F48</f>
        <v>79.526176309179704</v>
      </c>
      <c r="T60" s="23">
        <f>+[1]EDUCACIÓN!G48</f>
        <v>58.734262216751233</v>
      </c>
      <c r="U60" s="24">
        <f t="shared" si="4"/>
        <v>0.3539997491702303</v>
      </c>
      <c r="V60" s="10"/>
      <c r="W60" s="10"/>
      <c r="X60" s="32"/>
      <c r="Y60" s="32"/>
      <c r="Z60" s="33"/>
      <c r="AD60" s="26"/>
      <c r="AF60" s="28"/>
      <c r="AG60" s="28"/>
      <c r="AH60" s="30"/>
      <c r="AI60" s="10"/>
      <c r="AJ60" s="10"/>
      <c r="AK60" s="32"/>
      <c r="AL60" s="32"/>
      <c r="AM60" s="33"/>
    </row>
    <row r="61" spans="4:42" ht="15.75" customHeight="1">
      <c r="D61" s="26" t="str">
        <f>+IF($B$3="esp","España","Spain")</f>
        <v>Spain</v>
      </c>
      <c r="F61" s="27">
        <f>+[1]GRUPO!F92</f>
        <v>76.38332797999999</v>
      </c>
      <c r="G61" s="28">
        <f>+[1]GRUPO!G92</f>
        <v>82.257625590000202</v>
      </c>
      <c r="H61" s="29">
        <f t="shared" si="3"/>
        <v>-7.1413410828069568E-2</v>
      </c>
      <c r="I61" s="10"/>
      <c r="J61" s="10"/>
      <c r="K61" s="32"/>
      <c r="L61" s="32"/>
      <c r="M61" s="33"/>
      <c r="Q61" s="26" t="str">
        <f>+IF($B$3="esp","Privado","Private")</f>
        <v>Private</v>
      </c>
      <c r="S61" s="27">
        <f>+[1]EDUCACIÓN!F49</f>
        <v>66.523535320444608</v>
      </c>
      <c r="T61" s="28">
        <f>+[1]EDUCACIÓN!G49</f>
        <v>48.73769231178057</v>
      </c>
      <c r="U61" s="29">
        <f t="shared" si="4"/>
        <v>0.36492993748834013</v>
      </c>
      <c r="V61" s="10"/>
      <c r="W61" s="10"/>
      <c r="X61" s="32"/>
      <c r="Y61" s="32"/>
      <c r="Z61" s="33"/>
      <c r="AD61" s="26"/>
      <c r="AF61" s="28"/>
      <c r="AG61" s="28"/>
      <c r="AH61" s="30"/>
      <c r="AI61" s="10"/>
      <c r="AJ61" s="10"/>
      <c r="AK61" s="32"/>
      <c r="AL61" s="32"/>
      <c r="AM61" s="33"/>
    </row>
    <row r="62" spans="4:42" ht="15.75" customHeight="1">
      <c r="D62" s="26" t="str">
        <f>+IF($B$3="esp","Internacional","International")</f>
        <v>International</v>
      </c>
      <c r="F62" s="27">
        <f>+[1]GRUPO!F93</f>
        <v>88.902802698480329</v>
      </c>
      <c r="G62" s="28">
        <f>+[1]GRUPO!G93</f>
        <v>63.952841783624294</v>
      </c>
      <c r="H62" s="29">
        <f t="shared" si="3"/>
        <v>0.39013060591225673</v>
      </c>
      <c r="I62" s="20"/>
      <c r="J62" s="20"/>
      <c r="K62" s="23"/>
      <c r="L62" s="23"/>
      <c r="M62" s="25"/>
      <c r="Q62" s="26" t="str">
        <f>+IF($B$3="esp","Público","Public")</f>
        <v>Public</v>
      </c>
      <c r="S62" s="27">
        <f>+[1]EDUCACIÓN!F50</f>
        <v>12.961943670784814</v>
      </c>
      <c r="T62" s="28">
        <f>+[1]EDUCACIÓN!G50</f>
        <v>9.9945400410574248</v>
      </c>
      <c r="U62" s="29">
        <f t="shared" si="4"/>
        <v>0.2969024705026283</v>
      </c>
      <c r="V62" s="20"/>
      <c r="W62" s="20"/>
      <c r="X62" s="23"/>
      <c r="Y62" s="23"/>
      <c r="Z62" s="25"/>
      <c r="AD62" s="34"/>
      <c r="AE62" s="35"/>
      <c r="AF62" s="39"/>
      <c r="AG62" s="39"/>
      <c r="AH62" s="40"/>
      <c r="AI62" s="20"/>
      <c r="AJ62" s="20"/>
      <c r="AK62" s="23"/>
      <c r="AL62" s="23"/>
      <c r="AM62" s="25"/>
    </row>
    <row r="63" spans="4:42" ht="15.75" customHeight="1">
      <c r="D63" s="21" t="str">
        <f>+IF($B$3="esp","EBITDA","EBITDA")</f>
        <v>EBITDA</v>
      </c>
      <c r="E63" s="20"/>
      <c r="F63" s="22">
        <f>+[1]GRUPO!F94</f>
        <v>40.462440525622</v>
      </c>
      <c r="G63" s="23">
        <f>+[1]GRUPO!G94</f>
        <v>12.306114074840236</v>
      </c>
      <c r="H63" s="24">
        <f t="shared" si="3"/>
        <v>2.2879949169614129</v>
      </c>
      <c r="K63" s="28"/>
      <c r="L63" s="28"/>
      <c r="M63" s="30"/>
      <c r="Q63" s="21" t="str">
        <f>+IF($B$3="esp","EBITDA Contable","Reported EBITDA")</f>
        <v>Reported EBITDA</v>
      </c>
      <c r="R63" s="20"/>
      <c r="S63" s="22">
        <f>+[1]EDUCACIÓN!F51</f>
        <v>43.789385626920634</v>
      </c>
      <c r="T63" s="23">
        <f>+[1]EDUCACIÓN!G51</f>
        <v>23.239009985863333</v>
      </c>
      <c r="U63" s="24">
        <f t="shared" si="4"/>
        <v>0.88430512545751416</v>
      </c>
      <c r="X63" s="28"/>
      <c r="Y63" s="28"/>
      <c r="Z63" s="30"/>
      <c r="AK63" s="28"/>
      <c r="AL63" s="28"/>
      <c r="AM63" s="30"/>
    </row>
    <row r="64" spans="4:42" ht="15.75" customHeight="1">
      <c r="D64" s="26" t="str">
        <f>+IF($B$3="esp","España","Spain")</f>
        <v>Spain</v>
      </c>
      <c r="F64" s="27">
        <f>+[1]GRUPO!F95</f>
        <v>-9.0534294400000306</v>
      </c>
      <c r="G64" s="28">
        <f>+[1]GRUPO!G95</f>
        <v>-17.043938180000204</v>
      </c>
      <c r="H64" s="29">
        <f t="shared" si="3"/>
        <v>0.46881821886542879</v>
      </c>
      <c r="K64" s="28"/>
      <c r="L64" s="28"/>
      <c r="M64" s="30"/>
      <c r="Q64" s="26" t="str">
        <f>+IF($B$3="esp","Privado","Private")</f>
        <v>Private</v>
      </c>
      <c r="S64" s="27">
        <f>+[1]EDUCACIÓN!F52</f>
        <v>43.259817497069427</v>
      </c>
      <c r="T64" s="28">
        <f>+[1]EDUCACIÓN!G52</f>
        <v>25.783687123111143</v>
      </c>
      <c r="U64" s="29">
        <f t="shared" si="4"/>
        <v>0.67779795381916497</v>
      </c>
      <c r="X64" s="28"/>
      <c r="Y64" s="28"/>
      <c r="Z64" s="30"/>
      <c r="AD64" s="31"/>
      <c r="AE64" s="10"/>
      <c r="AF64" s="32"/>
      <c r="AG64" s="32"/>
      <c r="AH64" s="41"/>
      <c r="AK64" s="28"/>
      <c r="AL64" s="28"/>
      <c r="AM64" s="30"/>
    </row>
    <row r="65" spans="4:39" ht="15.75" customHeight="1">
      <c r="D65" s="26" t="str">
        <f>+IF($B$3="esp","Internacional","International")</f>
        <v>International</v>
      </c>
      <c r="F65" s="27">
        <f>+[1]GRUPO!F96</f>
        <v>49.515869965622031</v>
      </c>
      <c r="G65" s="28">
        <f>+[1]GRUPO!G96</f>
        <v>29.350052254840438</v>
      </c>
      <c r="H65" s="29">
        <f t="shared" si="3"/>
        <v>0.6870794482982846</v>
      </c>
      <c r="K65" s="32"/>
      <c r="L65" s="32"/>
      <c r="M65" s="33"/>
      <c r="Q65" s="26" t="str">
        <f>+IF($B$3="esp","Público","Public")</f>
        <v>Public</v>
      </c>
      <c r="S65" s="27">
        <f>+[1]EDUCACIÓN!F53</f>
        <v>0.5638466351229936</v>
      </c>
      <c r="T65" s="28">
        <f>+[1]EDUCACIÓN!G53</f>
        <v>-2.5082965674921134</v>
      </c>
      <c r="U65" s="29" t="str">
        <f t="shared" si="4"/>
        <v>---</v>
      </c>
      <c r="X65" s="32"/>
      <c r="Y65" s="32"/>
      <c r="Z65" s="33"/>
      <c r="AK65" s="32"/>
      <c r="AL65" s="32"/>
      <c r="AM65" s="33"/>
    </row>
    <row r="66" spans="4:39" ht="15.75" customHeight="1">
      <c r="D66" s="34" t="str">
        <f>+IF($B$3="esp","Margen EBITDA ","EBITDA Margin")</f>
        <v>EBITDA Margin</v>
      </c>
      <c r="E66" s="35"/>
      <c r="F66" s="36">
        <f>+F63/F57</f>
        <v>0.19665964282922438</v>
      </c>
      <c r="G66" s="37">
        <f>+G63/G57</f>
        <v>7.7632976704339746E-2</v>
      </c>
      <c r="H66" s="38">
        <f t="shared" si="3"/>
        <v>1.5331972465540014</v>
      </c>
      <c r="K66" s="32"/>
      <c r="L66" s="32"/>
      <c r="M66" s="33"/>
      <c r="Q66" s="34" t="str">
        <f>+IF($B$3="esp","Margen EBITDA ","EBITDA Margin")</f>
        <v>EBITDA Margin</v>
      </c>
      <c r="R66" s="35"/>
      <c r="S66" s="36">
        <f>+S63/S57</f>
        <v>0.35510023990006567</v>
      </c>
      <c r="T66" s="37">
        <f>+T63/T57</f>
        <v>0.28349496563249449</v>
      </c>
      <c r="U66" s="38">
        <f t="shared" si="4"/>
        <v>0.25258040864258546</v>
      </c>
      <c r="X66" s="32"/>
      <c r="Y66" s="32"/>
      <c r="Z66" s="33"/>
      <c r="AK66" s="32"/>
      <c r="AL66" s="32"/>
      <c r="AM66" s="33"/>
    </row>
    <row r="67" spans="4:39" ht="15.75" customHeight="1">
      <c r="D67" s="21" t="str">
        <f>+IF($B$3="esp","EBITDA sin indemnizaciones","EBITDA ex severance expenses")</f>
        <v>EBITDA ex severance expenses</v>
      </c>
      <c r="E67" s="20"/>
      <c r="F67" s="22">
        <f>+[1]GRUPO!F98</f>
        <v>42.95671977926316</v>
      </c>
      <c r="G67" s="23">
        <f>+[1]GRUPO!G98</f>
        <v>17.08371216388354</v>
      </c>
      <c r="H67" s="24">
        <f t="shared" si="3"/>
        <v>1.5144839345910674</v>
      </c>
      <c r="I67" s="20"/>
      <c r="J67" s="20"/>
      <c r="K67" s="23"/>
      <c r="L67" s="23"/>
      <c r="M67" s="25"/>
      <c r="Q67" s="21" t="str">
        <f>+IF($B$3="esp","EBITDA sin indemnizaciones","EBITDA ex severance expenses")</f>
        <v>EBITDA ex severance expenses</v>
      </c>
      <c r="R67" s="20"/>
      <c r="S67" s="22">
        <f>+[1]EDUCACIÓN!F55</f>
        <v>44.489544836254858</v>
      </c>
      <c r="T67" s="23">
        <f>+[1]EDUCACIÓN!G55</f>
        <v>24.540263168747227</v>
      </c>
      <c r="U67" s="24">
        <f t="shared" si="4"/>
        <v>0.81292044548705766</v>
      </c>
      <c r="V67" s="20"/>
      <c r="W67" s="20"/>
      <c r="X67" s="23"/>
      <c r="Y67" s="23"/>
      <c r="Z67" s="25"/>
      <c r="AI67" s="20"/>
      <c r="AJ67" s="20"/>
      <c r="AK67" s="23"/>
      <c r="AL67" s="23"/>
      <c r="AM67" s="25"/>
    </row>
    <row r="68" spans="4:39" ht="15.75" customHeight="1">
      <c r="D68" s="26" t="str">
        <f>+IF($B$3="esp","España","Spain")</f>
        <v>Spain</v>
      </c>
      <c r="F68" s="27">
        <f>+[1]GRUPO!F99</f>
        <v>-7.1762125900000413</v>
      </c>
      <c r="G68" s="28">
        <f>+[1]GRUPO!G99</f>
        <v>-13.756565780000201</v>
      </c>
      <c r="H68" s="29">
        <f t="shared" si="3"/>
        <v>0.47834272704652192</v>
      </c>
      <c r="K68" s="28"/>
      <c r="L68" s="28"/>
      <c r="M68" s="30"/>
      <c r="Q68" s="26" t="str">
        <f>+IF($B$3="esp","Privado","Private")</f>
        <v>Private</v>
      </c>
      <c r="S68" s="27">
        <f>+[1]EDUCACIÓN!F56</f>
        <v>43.775464919286911</v>
      </c>
      <c r="T68" s="28">
        <f>+[1]EDUCACIÓN!G56</f>
        <v>26.407177135700913</v>
      </c>
      <c r="U68" s="29">
        <f t="shared" si="4"/>
        <v>0.65771088270185152</v>
      </c>
      <c r="X68" s="28"/>
      <c r="Y68" s="28"/>
      <c r="Z68" s="30"/>
      <c r="AD68" s="31"/>
      <c r="AF68" s="32"/>
      <c r="AG68" s="32"/>
      <c r="AH68" s="41"/>
      <c r="AK68" s="28"/>
      <c r="AL68" s="28"/>
      <c r="AM68" s="30"/>
    </row>
    <row r="69" spans="4:39" ht="15.75" customHeight="1">
      <c r="D69" s="26" t="str">
        <f>+IF($B$3="esp","Internacional","International")</f>
        <v>International</v>
      </c>
      <c r="F69" s="27">
        <f>+[1]GRUPO!F100</f>
        <v>50.132932369263202</v>
      </c>
      <c r="G69" s="28">
        <f>+[1]GRUPO!G100</f>
        <v>30.840277943883741</v>
      </c>
      <c r="H69" s="29">
        <f t="shared" si="3"/>
        <v>0.62556681429667815</v>
      </c>
      <c r="K69" s="28"/>
      <c r="L69" s="28"/>
      <c r="M69" s="30"/>
      <c r="Q69" s="26" t="str">
        <f>+IF($B$3="esp","Público","Public")</f>
        <v>Public</v>
      </c>
      <c r="S69" s="27">
        <f>+[1]EDUCACIÓN!F57</f>
        <v>0.74835573545742862</v>
      </c>
      <c r="T69" s="28">
        <f>+[1]EDUCACIÓN!G57</f>
        <v>-1.8278874715210056</v>
      </c>
      <c r="U69" s="29" t="str">
        <f t="shared" si="4"/>
        <v>---</v>
      </c>
      <c r="X69" s="28"/>
      <c r="Y69" s="28"/>
      <c r="Z69" s="30"/>
      <c r="AD69" s="31"/>
      <c r="AF69" s="32"/>
      <c r="AG69" s="32"/>
      <c r="AH69" s="41"/>
      <c r="AK69" s="28"/>
      <c r="AL69" s="28"/>
      <c r="AM69" s="30"/>
    </row>
    <row r="70" spans="4:39" ht="15.75" customHeight="1">
      <c r="D70" s="34" t="str">
        <f>+IF($B$3="esp","Margen EBITDA sin indemnizaciones ","EBITDA ex severance expenses Margin")</f>
        <v>EBITDA ex severance expenses Margin</v>
      </c>
      <c r="E70" s="35"/>
      <c r="F70" s="36">
        <f>+F67/F57</f>
        <v>0.20878259094518886</v>
      </c>
      <c r="G70" s="37">
        <f>+G67/G57</f>
        <v>0.10777239836854303</v>
      </c>
      <c r="H70" s="38">
        <f t="shared" si="3"/>
        <v>0.93725475266150349</v>
      </c>
      <c r="K70" s="32"/>
      <c r="L70" s="32"/>
      <c r="M70" s="33"/>
      <c r="Q70" s="34" t="str">
        <f>+IF($B$3="esp","Margen EBITDA sin indemnizaciones ","EBITDA ex severance expenses Margin")</f>
        <v>EBITDA ex severance expenses Margin</v>
      </c>
      <c r="R70" s="35"/>
      <c r="S70" s="36">
        <f>+S67/S57</f>
        <v>0.36077802458791414</v>
      </c>
      <c r="T70" s="37">
        <f>+T67/T57</f>
        <v>0.29936908103522686</v>
      </c>
      <c r="U70" s="38">
        <f t="shared" si="4"/>
        <v>0.20512787539826555</v>
      </c>
      <c r="X70" s="32"/>
      <c r="Y70" s="32"/>
      <c r="Z70" s="33"/>
      <c r="AK70" s="32"/>
      <c r="AL70" s="32"/>
      <c r="AM70" s="33"/>
    </row>
    <row r="71" spans="4:39" ht="15.75" customHeight="1">
      <c r="D71" s="21" t="str">
        <f>+IF($B$3="esp","EBIT","EBIT")</f>
        <v>EBIT</v>
      </c>
      <c r="E71" s="20"/>
      <c r="F71" s="22">
        <f>+[1]GRUPO!F102</f>
        <v>23.265225314857378</v>
      </c>
      <c r="G71" s="23">
        <f>+[1]GRUPO!G102</f>
        <v>-4.5422962159075864</v>
      </c>
      <c r="H71" s="24" t="str">
        <f t="shared" si="3"/>
        <v>---</v>
      </c>
      <c r="K71" s="32"/>
      <c r="L71" s="32"/>
      <c r="M71" s="33"/>
      <c r="Q71" s="21" t="str">
        <f>+IF($B$3="esp","EBIT Contable","Reported EBIT")</f>
        <v>Reported EBIT</v>
      </c>
      <c r="R71" s="20"/>
      <c r="S71" s="22">
        <f>+[1]EDUCACIÓN!F59</f>
        <v>33.874709780481957</v>
      </c>
      <c r="T71" s="23">
        <f>+[1]EDUCACIÓN!G59</f>
        <v>12.875162207788966</v>
      </c>
      <c r="U71" s="24">
        <f t="shared" si="4"/>
        <v>1.6310122726057068</v>
      </c>
      <c r="X71" s="32"/>
      <c r="Y71" s="32"/>
      <c r="Z71" s="33"/>
      <c r="AD71" s="31"/>
      <c r="AF71" s="32"/>
      <c r="AG71" s="32"/>
      <c r="AH71" s="41"/>
      <c r="AK71" s="32"/>
      <c r="AL71" s="32"/>
      <c r="AM71" s="33"/>
    </row>
    <row r="72" spans="4:39" ht="15.75" customHeight="1">
      <c r="D72" s="26" t="str">
        <f>+IF($B$3="esp","España","Spain")</f>
        <v>Spain</v>
      </c>
      <c r="F72" s="27">
        <f>+[1]GRUPO!F103</f>
        <v>-15.5741033800001</v>
      </c>
      <c r="G72" s="28">
        <f>+[1]GRUPO!G103</f>
        <v>-22.939316960000163</v>
      </c>
      <c r="H72" s="29">
        <f t="shared" si="3"/>
        <v>0.3210737962618051</v>
      </c>
      <c r="I72" s="35"/>
      <c r="J72" s="35"/>
      <c r="K72" s="39"/>
      <c r="L72" s="39"/>
      <c r="M72" s="40"/>
      <c r="Q72" s="26" t="str">
        <f>+IF($B$3="esp","Privado","Private")</f>
        <v>Private</v>
      </c>
      <c r="S72" s="27">
        <f>+[1]EDUCACIÓN!F60</f>
        <v>34.509741166330826</v>
      </c>
      <c r="T72" s="28">
        <f>+[1]EDUCACIÓN!G60</f>
        <v>16.128869926187772</v>
      </c>
      <c r="U72" s="29">
        <f t="shared" si="4"/>
        <v>1.1396254867366002</v>
      </c>
      <c r="V72" s="35"/>
      <c r="W72" s="35"/>
      <c r="X72" s="39"/>
      <c r="Y72" s="39"/>
      <c r="Z72" s="40"/>
      <c r="AD72" s="31"/>
      <c r="AF72" s="32"/>
      <c r="AG72" s="32"/>
      <c r="AH72" s="41"/>
      <c r="AI72" s="35"/>
      <c r="AJ72" s="35"/>
      <c r="AK72" s="39"/>
      <c r="AL72" s="39"/>
      <c r="AM72" s="40"/>
    </row>
    <row r="73" spans="4:39" ht="15.75" customHeight="1">
      <c r="D73" s="26" t="str">
        <f>+IF($B$3="esp","Internacional","International")</f>
        <v>International</v>
      </c>
      <c r="F73" s="27">
        <f>+[1]GRUPO!F104</f>
        <v>38.839328694857478</v>
      </c>
      <c r="G73" s="28">
        <f>+[1]GRUPO!G104</f>
        <v>18.397020744092575</v>
      </c>
      <c r="H73" s="29">
        <f t="shared" si="3"/>
        <v>1.1111749144126548</v>
      </c>
      <c r="I73" s="20"/>
      <c r="J73" s="20"/>
      <c r="K73" s="23"/>
      <c r="L73" s="23"/>
      <c r="M73" s="25"/>
      <c r="Q73" s="26" t="str">
        <f>+IF($B$3="esp","Público","Public")</f>
        <v>Public</v>
      </c>
      <c r="S73" s="27">
        <f>+[1]EDUCACIÓN!F61</f>
        <v>-0.58271144517815832</v>
      </c>
      <c r="T73" s="28">
        <f>+[1]EDUCACIÓN!G61</f>
        <v>-3.2688018804978651</v>
      </c>
      <c r="U73" s="29">
        <f t="shared" si="4"/>
        <v>0.82173546562895183</v>
      </c>
      <c r="V73" s="20"/>
      <c r="W73" s="20"/>
      <c r="X73" s="23"/>
      <c r="Y73" s="23"/>
      <c r="Z73" s="25"/>
      <c r="AI73" s="20"/>
      <c r="AJ73" s="20"/>
      <c r="AK73" s="23"/>
      <c r="AL73" s="23"/>
      <c r="AM73" s="25"/>
    </row>
    <row r="74" spans="4:39" ht="15.75" customHeight="1">
      <c r="D74" s="34" t="str">
        <f>+IF($B$3="esp","Margen EBIT ","EBIT Margin")</f>
        <v>EBIT Margin</v>
      </c>
      <c r="E74" s="35"/>
      <c r="F74" s="36">
        <f>+F71/F57</f>
        <v>0.11307599940404109</v>
      </c>
      <c r="G74" s="37">
        <f>+G71/G57</f>
        <v>-2.8655022549702983E-2</v>
      </c>
      <c r="H74" s="38" t="str">
        <f t="shared" si="3"/>
        <v>---</v>
      </c>
      <c r="K74" s="28"/>
      <c r="L74" s="28"/>
      <c r="M74" s="30"/>
      <c r="Q74" s="34" t="str">
        <f>+IF($B$3="esp","Margen EBIT ","EBIT Margin")</f>
        <v>EBIT Margin</v>
      </c>
      <c r="R74" s="35"/>
      <c r="S74" s="36">
        <f>+S71/S57</f>
        <v>0.27469939112822722</v>
      </c>
      <c r="T74" s="37">
        <f>+T71/T57</f>
        <v>0.157065368526039</v>
      </c>
      <c r="U74" s="38">
        <f t="shared" si="4"/>
        <v>0.74894945783472522</v>
      </c>
      <c r="X74" s="28"/>
      <c r="Y74" s="28"/>
      <c r="Z74" s="30"/>
      <c r="AK74" s="28"/>
      <c r="AL74" s="28"/>
      <c r="AM74" s="30"/>
    </row>
    <row r="75" spans="4:39" ht="15.75" customHeight="1">
      <c r="K75" s="28"/>
      <c r="L75" s="28"/>
      <c r="M75" s="30"/>
      <c r="Q75" s="31"/>
      <c r="S75" s="32"/>
      <c r="T75" s="32"/>
      <c r="U75" s="41"/>
      <c r="X75" s="28"/>
      <c r="Y75" s="28"/>
      <c r="Z75" s="30"/>
      <c r="AK75" s="28"/>
      <c r="AL75" s="28"/>
      <c r="AM75" s="30"/>
    </row>
    <row r="76" spans="4:39" ht="15.75" customHeight="1">
      <c r="D76" s="31"/>
      <c r="F76" s="32"/>
      <c r="G76" s="32"/>
      <c r="H76" s="41"/>
      <c r="K76" s="32"/>
      <c r="L76" s="32"/>
      <c r="M76" s="33"/>
      <c r="Q76" s="31"/>
      <c r="S76" s="32"/>
      <c r="T76" s="32"/>
      <c r="U76" s="41"/>
      <c r="X76" s="32"/>
      <c r="Y76" s="32"/>
      <c r="Z76" s="33"/>
      <c r="AK76" s="32"/>
      <c r="AL76" s="32"/>
      <c r="AM76" s="33"/>
    </row>
    <row r="79" spans="4:39">
      <c r="D79" s="48" t="str">
        <f>+IF($B$3="esp","Resultados por Negocio","Perfomance by Business")</f>
        <v>Perfomance by Business</v>
      </c>
      <c r="E79" s="10"/>
      <c r="F79" s="11" t="str">
        <f>+$F$6</f>
        <v>JANUARY - MARCH</v>
      </c>
      <c r="G79" s="12"/>
      <c r="H79" s="12"/>
      <c r="I79" s="10"/>
      <c r="J79" s="10"/>
      <c r="K79" s="13"/>
      <c r="L79" s="14"/>
      <c r="M79" s="14"/>
      <c r="Q79" s="50"/>
      <c r="R79" s="10"/>
      <c r="S79" s="13"/>
      <c r="T79" s="14"/>
      <c r="U79" s="14"/>
      <c r="V79" s="10"/>
      <c r="W79" s="10"/>
      <c r="X79" s="13"/>
      <c r="Y79" s="14"/>
      <c r="Z79" s="14"/>
      <c r="AI79" s="10"/>
      <c r="AJ79" s="10"/>
      <c r="AK79" s="13"/>
      <c r="AL79" s="14"/>
      <c r="AM79" s="14"/>
    </row>
    <row r="80" spans="4:39">
      <c r="D80" s="49"/>
      <c r="E80" s="10"/>
      <c r="F80" s="10"/>
      <c r="G80" s="10"/>
      <c r="H80" s="10"/>
      <c r="I80" s="10"/>
      <c r="J80" s="10"/>
      <c r="K80" s="10"/>
      <c r="L80" s="10"/>
      <c r="M80" s="10"/>
      <c r="Q80" s="50"/>
      <c r="R80" s="10"/>
      <c r="S80" s="10"/>
      <c r="T80" s="10"/>
      <c r="U80" s="10"/>
      <c r="V80" s="10"/>
      <c r="W80" s="10"/>
      <c r="X80" s="10"/>
      <c r="Y80" s="10"/>
      <c r="Z80" s="10"/>
      <c r="AI80" s="10"/>
      <c r="AJ80" s="10"/>
      <c r="AK80" s="10"/>
      <c r="AL80" s="10"/>
      <c r="AM80" s="10"/>
    </row>
    <row r="81" spans="1:39">
      <c r="D81" s="15" t="str">
        <f>+IF($B$3="esp","Millones de €","€ Millions")</f>
        <v>€ Millions</v>
      </c>
      <c r="E81" s="10"/>
      <c r="F81" s="16">
        <v>2022</v>
      </c>
      <c r="G81" s="16">
        <v>2021</v>
      </c>
      <c r="H81" s="16" t="str">
        <f>+IF($B$3="esp","Var.","Chg.")</f>
        <v>Chg.</v>
      </c>
      <c r="I81" s="10"/>
      <c r="J81" s="10"/>
      <c r="K81" s="17"/>
      <c r="L81" s="17"/>
      <c r="M81" s="17"/>
      <c r="Q81" s="15"/>
      <c r="R81" s="10"/>
      <c r="S81" s="17"/>
      <c r="T81" s="17"/>
      <c r="U81" s="17"/>
      <c r="V81" s="10"/>
      <c r="W81" s="10"/>
      <c r="X81" s="17"/>
      <c r="Y81" s="17"/>
      <c r="Z81" s="17"/>
      <c r="AI81" s="10"/>
      <c r="AJ81" s="10"/>
      <c r="AK81" s="17"/>
      <c r="AL81" s="17"/>
      <c r="AM81" s="17"/>
    </row>
    <row r="82" spans="1:39" ht="15">
      <c r="D82" s="18" t="str">
        <f>+IF($B$3="esp","Ingresos de Explotación","Operating Revenues")</f>
        <v>Operating Revenues</v>
      </c>
      <c r="F82" s="19"/>
      <c r="G82" s="19"/>
      <c r="H82" s="19"/>
      <c r="Q82" s="45"/>
    </row>
    <row r="83" spans="1:39" ht="15.75" customHeight="1">
      <c r="D83" s="21" t="str">
        <f>+IF($B$3="esp","GRUPO","GROUP")</f>
        <v>GROUP</v>
      </c>
      <c r="E83" s="20"/>
      <c r="F83" s="22">
        <f>+[1]GRUPO!F113</f>
        <v>210.58735834039521</v>
      </c>
      <c r="G83" s="23">
        <f>+[1]GRUPO!G113</f>
        <v>158.51658144846473</v>
      </c>
      <c r="H83" s="24">
        <f>IF(G83=0,"---",IF(OR(ABS((F83-G83)/ABS(G83))&gt;9,(F83*G83)&lt;0),"---",IF(G83="0","---",((F83-G83)/ABS(G83)))))</f>
        <v>0.32848788698398212</v>
      </c>
      <c r="I83" s="20"/>
      <c r="J83" s="20"/>
      <c r="K83" s="23"/>
      <c r="L83" s="23"/>
      <c r="M83" s="25"/>
      <c r="Q83" s="21"/>
      <c r="R83" s="20"/>
      <c r="S83" s="23"/>
      <c r="T83" s="23"/>
      <c r="U83" s="25"/>
      <c r="V83" s="20"/>
      <c r="W83" s="20"/>
      <c r="X83" s="23"/>
      <c r="Y83" s="23"/>
      <c r="Z83" s="25"/>
      <c r="AI83" s="20"/>
      <c r="AJ83" s="20"/>
      <c r="AK83" s="23"/>
      <c r="AL83" s="23"/>
      <c r="AM83" s="25"/>
    </row>
    <row r="84" spans="1:39" ht="15.75" customHeight="1">
      <c r="D84" s="26" t="str">
        <f>+IF($B$3="esp","Educación","Education")</f>
        <v>Education</v>
      </c>
      <c r="F84" s="27">
        <f>+[1]GRUPO!F114</f>
        <v>128.36706190343418</v>
      </c>
      <c r="G84" s="28">
        <f>+[1]GRUPO!G114</f>
        <v>81.973272202614567</v>
      </c>
      <c r="H84" s="29">
        <f t="shared" ref="H84:H88" si="5">IF(G84=0,"---",IF(OR(ABS((F84-G84)/ABS(G84))&gt;9,(F84*G84)&lt;0),"---",IF(G84="0","---",((F84-G84)/ABS(G84)))))</f>
        <v>0.56596239791608394</v>
      </c>
      <c r="K84" s="28"/>
      <c r="L84" s="28"/>
      <c r="M84" s="30"/>
      <c r="Q84" s="26"/>
      <c r="S84" s="28"/>
      <c r="T84" s="28"/>
      <c r="U84" s="30"/>
      <c r="X84" s="28"/>
      <c r="Y84" s="28"/>
      <c r="Z84" s="30"/>
      <c r="AK84" s="28"/>
      <c r="AL84" s="28"/>
      <c r="AM84" s="30"/>
    </row>
    <row r="85" spans="1:39" ht="15.75" customHeight="1">
      <c r="D85" s="26" t="str">
        <f>+IF($B$3="esp","Media","Media")</f>
        <v>Media</v>
      </c>
      <c r="F85" s="27">
        <f>+[1]GRUPO!F115</f>
        <v>82.54161002200496</v>
      </c>
      <c r="G85" s="28">
        <f>+[1]GRUPO!G115</f>
        <v>76.994704155209462</v>
      </c>
      <c r="H85" s="29">
        <f t="shared" si="5"/>
        <v>7.2042693424911278E-2</v>
      </c>
      <c r="K85" s="28"/>
      <c r="L85" s="28"/>
      <c r="M85" s="30"/>
      <c r="Q85" s="46"/>
      <c r="S85" s="28"/>
      <c r="T85" s="28"/>
      <c r="U85" s="30"/>
      <c r="X85" s="28"/>
      <c r="Y85" s="28"/>
      <c r="Z85" s="30"/>
      <c r="AK85" s="28"/>
      <c r="AL85" s="28"/>
      <c r="AM85" s="30"/>
    </row>
    <row r="86" spans="1:39" ht="15.75" customHeight="1">
      <c r="D86" s="46" t="s">
        <v>6</v>
      </c>
      <c r="F86" s="27">
        <f>+[1]GRUPO!F116</f>
        <v>48.665585013268434</v>
      </c>
      <c r="G86" s="28">
        <f>+[1]GRUPO!G116</f>
        <v>41.277071328214191</v>
      </c>
      <c r="H86" s="29">
        <f t="shared" si="5"/>
        <v>0.17899801142151184</v>
      </c>
      <c r="K86" s="28"/>
      <c r="L86" s="28"/>
      <c r="M86" s="30"/>
      <c r="Q86" s="46"/>
      <c r="S86" s="28"/>
      <c r="T86" s="28"/>
      <c r="U86" s="30"/>
      <c r="X86" s="28"/>
      <c r="Y86" s="28"/>
      <c r="Z86" s="30"/>
      <c r="AK86" s="28"/>
      <c r="AL86" s="28"/>
      <c r="AM86" s="30"/>
    </row>
    <row r="87" spans="1:39" ht="15.75" customHeight="1">
      <c r="D87" s="46" t="s">
        <v>7</v>
      </c>
      <c r="F87" s="27">
        <f>+[1]GRUPO!F117</f>
        <v>34.186822312497917</v>
      </c>
      <c r="G87" s="28">
        <f>+[1]GRUPO!G117</f>
        <v>35.817662163862693</v>
      </c>
      <c r="H87" s="29">
        <f t="shared" si="5"/>
        <v>-4.5531722419621508E-2</v>
      </c>
      <c r="K87" s="28"/>
      <c r="L87" s="28"/>
      <c r="M87" s="30"/>
      <c r="Q87" s="26"/>
      <c r="S87" s="28"/>
      <c r="T87" s="28"/>
      <c r="U87" s="30"/>
      <c r="X87" s="28"/>
      <c r="Y87" s="28"/>
      <c r="Z87" s="30"/>
      <c r="AK87" s="28"/>
      <c r="AL87" s="28"/>
      <c r="AM87" s="30"/>
    </row>
    <row r="88" spans="1:39" ht="15.75" customHeight="1">
      <c r="A88" s="47"/>
      <c r="D88" s="46" t="str">
        <f>+IF($B$3="esp","Otros","Other")</f>
        <v>Other</v>
      </c>
      <c r="F88" s="27">
        <f>+[1]GRUPO!F118</f>
        <v>-0.31079730376139025</v>
      </c>
      <c r="G88" s="28">
        <f>+[1]GRUPO!G118</f>
        <v>-0.1000293368674221</v>
      </c>
      <c r="H88" s="29">
        <f t="shared" si="5"/>
        <v>-2.1070615230941492</v>
      </c>
      <c r="K88" s="28"/>
      <c r="L88" s="28"/>
      <c r="M88" s="30"/>
      <c r="Q88" s="46"/>
      <c r="S88" s="28"/>
      <c r="T88" s="28"/>
      <c r="U88" s="30"/>
      <c r="X88" s="28"/>
      <c r="Y88" s="28"/>
      <c r="Z88" s="30"/>
      <c r="AK88" s="28"/>
      <c r="AL88" s="28"/>
      <c r="AM88" s="30"/>
    </row>
    <row r="89" spans="1:39">
      <c r="D89" s="26" t="str">
        <f>+IF($B$3="esp","Otros","Other")</f>
        <v>Other</v>
      </c>
      <c r="F89" s="27">
        <f>+[1]GRUPO!F119</f>
        <v>-0.32131358504392438</v>
      </c>
      <c r="G89" s="28">
        <f>+[1]GRUPO!G119</f>
        <v>-0.45139490935929416</v>
      </c>
      <c r="H89" s="29">
        <f>IF(G89=0,"---",IF(OR(ABS((F89-G89)/ABS(G89))&gt;9,(F89*G89)&lt;0),"---",IF(G89="0","---",((F89-G89)/ABS(G89)))))</f>
        <v>0.28817632104005347</v>
      </c>
      <c r="Q89" s="46"/>
      <c r="S89" s="28"/>
      <c r="T89" s="28"/>
      <c r="U89" s="30"/>
    </row>
    <row r="90" spans="1:39">
      <c r="Q90" s="26"/>
      <c r="S90" s="28"/>
      <c r="T90" s="28"/>
      <c r="U90" s="30"/>
    </row>
    <row r="91" spans="1:39" ht="15.75" customHeight="1">
      <c r="D91" s="18" t="str">
        <f>+IF($B$3="esp","EBITDA","EBITDA")</f>
        <v>EBITDA</v>
      </c>
      <c r="F91" s="19"/>
      <c r="G91" s="19"/>
      <c r="H91" s="19"/>
      <c r="I91" s="20"/>
      <c r="J91" s="20"/>
      <c r="K91" s="23"/>
      <c r="L91" s="23"/>
      <c r="M91" s="25"/>
      <c r="V91" s="20"/>
      <c r="W91" s="20"/>
      <c r="X91" s="23"/>
      <c r="Y91" s="23"/>
      <c r="Z91" s="25"/>
      <c r="AI91" s="20"/>
      <c r="AJ91" s="20"/>
      <c r="AK91" s="23"/>
      <c r="AL91" s="23"/>
      <c r="AM91" s="25"/>
    </row>
    <row r="92" spans="1:39" ht="15.75" customHeight="1">
      <c r="D92" s="21" t="str">
        <f>+IF($B$3="esp","GRUPO","GROUP")</f>
        <v>GROUP</v>
      </c>
      <c r="E92" s="20"/>
      <c r="F92" s="22">
        <f>+[1]GRUPO!F122</f>
        <v>41.290184167196557</v>
      </c>
      <c r="G92" s="23">
        <f>+[1]GRUPO!G122</f>
        <v>12.306114074840236</v>
      </c>
      <c r="H92" s="24">
        <f>IF(G92=0,"---",IF(OR(ABS((F92-G92)/ABS(G92))&gt;9,(F92*G92)&lt;0),"---",IF(G92="0","---",((F92-G92)/ABS(G92)))))</f>
        <v>2.3552577130431489</v>
      </c>
      <c r="K92" s="28"/>
      <c r="L92" s="28"/>
      <c r="M92" s="30"/>
      <c r="Q92" s="45"/>
      <c r="X92" s="28"/>
      <c r="Y92" s="28"/>
      <c r="Z92" s="30"/>
      <c r="AK92" s="28"/>
      <c r="AL92" s="28"/>
      <c r="AM92" s="30"/>
    </row>
    <row r="93" spans="1:39" ht="15.75" customHeight="1">
      <c r="D93" s="26" t="str">
        <f>+IF($B$3="esp","Educación","Education")</f>
        <v>Education</v>
      </c>
      <c r="F93" s="27">
        <f>+[1]GRUPO!F123</f>
        <v>44.548233707253821</v>
      </c>
      <c r="G93" s="28">
        <f>+[1]GRUPO!G123</f>
        <v>23.239009985863333</v>
      </c>
      <c r="H93" s="29">
        <f t="shared" ref="H93:H97" si="6">IF(G93=0,"---",IF(OR(ABS((F93-G93)/ABS(G93))&gt;9,(F93*G93)&lt;0),"---",IF(G93="0","---",((F93-G93)/ABS(G93)))))</f>
        <v>0.91695918777750152</v>
      </c>
      <c r="K93" s="28"/>
      <c r="L93" s="28"/>
      <c r="M93" s="30"/>
      <c r="Q93" s="21"/>
      <c r="R93" s="20"/>
      <c r="S93" s="23"/>
      <c r="T93" s="23"/>
      <c r="U93" s="25"/>
      <c r="X93" s="28"/>
      <c r="Y93" s="28"/>
      <c r="Z93" s="30"/>
      <c r="AK93" s="28"/>
      <c r="AL93" s="28"/>
      <c r="AM93" s="30"/>
    </row>
    <row r="94" spans="1:39" ht="15.75" customHeight="1">
      <c r="D94" s="26" t="str">
        <f>+IF($B$3="esp","Media","Media")</f>
        <v>Media</v>
      </c>
      <c r="F94" s="27">
        <f>+[1]GRUPO!F124</f>
        <v>-1.8262671000571873</v>
      </c>
      <c r="G94" s="28">
        <f>+[1]GRUPO!G124</f>
        <v>-7.4751540810229002</v>
      </c>
      <c r="H94" s="29">
        <f t="shared" si="6"/>
        <v>0.75568836705406339</v>
      </c>
      <c r="K94" s="28"/>
      <c r="L94" s="28"/>
      <c r="M94" s="30"/>
      <c r="Q94" s="26"/>
      <c r="S94" s="28"/>
      <c r="T94" s="28"/>
      <c r="U94" s="30"/>
      <c r="X94" s="28"/>
      <c r="Y94" s="28"/>
      <c r="Z94" s="30"/>
      <c r="AK94" s="28"/>
      <c r="AL94" s="28"/>
      <c r="AM94" s="30"/>
    </row>
    <row r="95" spans="1:39" ht="15.75" customHeight="1">
      <c r="D95" s="46" t="s">
        <v>6</v>
      </c>
      <c r="F95" s="27">
        <f>+[1]GRUPO!F125</f>
        <v>0.92756705437407883</v>
      </c>
      <c r="G95" s="28">
        <f>+[1]GRUPO!G125</f>
        <v>-4.4917523685174734</v>
      </c>
      <c r="H95" s="29" t="str">
        <f t="shared" si="6"/>
        <v>---</v>
      </c>
      <c r="K95" s="28"/>
      <c r="L95" s="28"/>
      <c r="M95" s="30"/>
      <c r="Q95" s="46"/>
      <c r="S95" s="28"/>
      <c r="T95" s="28"/>
      <c r="U95" s="30"/>
      <c r="X95" s="28"/>
      <c r="Y95" s="28"/>
      <c r="Z95" s="30"/>
      <c r="AK95" s="28"/>
      <c r="AL95" s="28"/>
      <c r="AM95" s="30"/>
    </row>
    <row r="96" spans="1:39" ht="15.75" customHeight="1">
      <c r="A96" s="47"/>
      <c r="D96" s="46" t="s">
        <v>7</v>
      </c>
      <c r="F96" s="27">
        <f>+[1]GRUPO!F126</f>
        <v>-2.5951602233057871</v>
      </c>
      <c r="G96" s="28">
        <f>+[1]GRUPO!G126</f>
        <v>-2.7801717247119591</v>
      </c>
      <c r="H96" s="29">
        <f t="shared" si="6"/>
        <v>6.6546789092799707E-2</v>
      </c>
      <c r="K96" s="28"/>
      <c r="L96" s="28"/>
      <c r="M96" s="30"/>
      <c r="Q96" s="46"/>
      <c r="S96" s="28"/>
      <c r="T96" s="28"/>
      <c r="U96" s="30"/>
      <c r="X96" s="28"/>
      <c r="Y96" s="28"/>
      <c r="Z96" s="30"/>
      <c r="AK96" s="28"/>
      <c r="AL96" s="28"/>
      <c r="AM96" s="30"/>
    </row>
    <row r="97" spans="1:39">
      <c r="D97" s="46" t="str">
        <f>+IF($B$3="esp","Otros","Other")</f>
        <v>Other</v>
      </c>
      <c r="F97" s="27">
        <f>+[1]GRUPO!F127</f>
        <v>-0.15867393112547923</v>
      </c>
      <c r="G97" s="28">
        <f>+[1]GRUPO!G127</f>
        <v>-0.20322998779346779</v>
      </c>
      <c r="H97" s="29">
        <f t="shared" si="6"/>
        <v>0.21923957754339185</v>
      </c>
      <c r="Q97" s="26"/>
      <c r="S97" s="28"/>
      <c r="T97" s="28"/>
      <c r="U97" s="30"/>
    </row>
    <row r="98" spans="1:39">
      <c r="D98" s="26" t="str">
        <f>+IF($B$3="esp","Otros","Other")</f>
        <v>Other</v>
      </c>
      <c r="F98" s="27">
        <f>+[1]GRUPO!F128</f>
        <v>-1.4317824400000772</v>
      </c>
      <c r="G98" s="28">
        <f>+[1]GRUPO!G128</f>
        <v>-3.457741830000197</v>
      </c>
      <c r="H98" s="29">
        <f>IF(G98=0,"---",IF(OR(ABS((F98-G98)/ABS(G98))&gt;9,(F98*G98)&lt;0),"---",IF(G98="0","---",((F98-G98)/ABS(G98)))))</f>
        <v>0.58591979667840155</v>
      </c>
      <c r="Q98" s="46"/>
      <c r="S98" s="28"/>
      <c r="T98" s="28"/>
      <c r="U98" s="30"/>
    </row>
    <row r="99" spans="1:39" ht="15.75" customHeight="1">
      <c r="I99" s="20"/>
      <c r="J99" s="20"/>
      <c r="K99" s="23"/>
      <c r="L99" s="23"/>
      <c r="M99" s="25"/>
      <c r="Q99" s="46"/>
      <c r="S99" s="28"/>
      <c r="T99" s="28"/>
      <c r="U99" s="30"/>
      <c r="V99" s="20"/>
      <c r="W99" s="20"/>
      <c r="X99" s="23"/>
      <c r="Y99" s="23"/>
      <c r="Z99" s="25"/>
      <c r="AI99" s="20"/>
      <c r="AJ99" s="20"/>
      <c r="AK99" s="23"/>
      <c r="AL99" s="23"/>
      <c r="AM99" s="25"/>
    </row>
    <row r="100" spans="1:39" ht="15.75" customHeight="1">
      <c r="D100" s="18" t="str">
        <f>+IF($B$3="esp","EBITDA sin indemnizaciones","EBITDA ex severance expenses")</f>
        <v>EBITDA ex severance expenses</v>
      </c>
      <c r="F100" s="19"/>
      <c r="G100" s="19"/>
      <c r="H100" s="19"/>
      <c r="K100" s="28"/>
      <c r="L100" s="28"/>
      <c r="M100" s="30"/>
      <c r="Q100" s="26"/>
      <c r="S100" s="28"/>
      <c r="T100" s="28"/>
      <c r="U100" s="30"/>
      <c r="X100" s="28"/>
      <c r="Y100" s="28"/>
      <c r="Z100" s="30"/>
      <c r="AK100" s="28"/>
      <c r="AL100" s="28"/>
      <c r="AM100" s="30"/>
    </row>
    <row r="101" spans="1:39" ht="15.75" customHeight="1">
      <c r="D101" s="21" t="str">
        <f>+IF($B$3="esp","GRUPO","GROUP")</f>
        <v>GROUP</v>
      </c>
      <c r="E101" s="20"/>
      <c r="F101" s="22">
        <f>+[1]GRUPO!F131</f>
        <v>43.777987223239201</v>
      </c>
      <c r="G101" s="23">
        <f>+[1]GRUPO!G131</f>
        <v>17.08371216388354</v>
      </c>
      <c r="H101" s="24">
        <f>IF(G101=0,"---",IF(OR(ABS((F101-G101)/ABS(G101))&gt;9,(F101*G101)&lt;0),"---",IF(G101="0","---",((F101-G101)/ABS(G101)))))</f>
        <v>1.5625570603905217</v>
      </c>
      <c r="K101" s="28"/>
      <c r="L101" s="28"/>
      <c r="M101" s="30"/>
      <c r="X101" s="28"/>
      <c r="Y101" s="28"/>
      <c r="Z101" s="30"/>
      <c r="AK101" s="28"/>
      <c r="AL101" s="28"/>
      <c r="AM101" s="30"/>
    </row>
    <row r="102" spans="1:39" ht="15.75" customHeight="1">
      <c r="D102" s="26" t="str">
        <f>+IF($B$3="esp","Educación","Education")</f>
        <v>Education</v>
      </c>
      <c r="F102" s="27">
        <f>+[1]GRUPO!F132</f>
        <v>45.241873370437361</v>
      </c>
      <c r="G102" s="28">
        <f>+[1]GRUPO!G132</f>
        <v>24.540263168747227</v>
      </c>
      <c r="H102" s="29">
        <f t="shared" ref="H102:H106" si="7">IF(G102=0,"---",IF(OR(ABS((F102-G102)/ABS(G102))&gt;9,(F102*G102)&lt;0),"---",IF(G102="0","---",((F102-G102)/ABS(G102)))))</f>
        <v>0.84357735120193267</v>
      </c>
      <c r="K102" s="28"/>
      <c r="L102" s="28"/>
      <c r="M102" s="30"/>
      <c r="Q102" s="45"/>
      <c r="X102" s="28"/>
      <c r="Y102" s="28"/>
      <c r="Z102" s="30"/>
      <c r="AK102" s="28"/>
      <c r="AL102" s="28"/>
      <c r="AM102" s="30"/>
    </row>
    <row r="103" spans="1:39" ht="15.75" customHeight="1">
      <c r="D103" s="26" t="str">
        <f>+IF($B$3="esp","Media","Media")</f>
        <v>Media</v>
      </c>
      <c r="F103" s="27">
        <f>+[1]GRUPO!F133</f>
        <v>-3.2103727198083104E-2</v>
      </c>
      <c r="G103" s="28">
        <f>+[1]GRUPO!G133</f>
        <v>-4.7590224848634897</v>
      </c>
      <c r="H103" s="29">
        <f t="shared" si="7"/>
        <v>0.99325413416301511</v>
      </c>
      <c r="K103" s="28"/>
      <c r="L103" s="28"/>
      <c r="M103" s="30"/>
      <c r="Q103" s="21"/>
      <c r="R103" s="20"/>
      <c r="S103" s="23"/>
      <c r="T103" s="23"/>
      <c r="U103" s="25"/>
      <c r="X103" s="28"/>
      <c r="Y103" s="28"/>
      <c r="Z103" s="30"/>
      <c r="AK103" s="28"/>
      <c r="AL103" s="28"/>
      <c r="AM103" s="30"/>
    </row>
    <row r="104" spans="1:39" ht="15.75" customHeight="1">
      <c r="A104" s="47"/>
      <c r="D104" s="46" t="s">
        <v>6</v>
      </c>
      <c r="F104" s="27">
        <f>+[1]GRUPO!F134</f>
        <v>2.2800151621928171</v>
      </c>
      <c r="G104" s="28">
        <f>+[1]GRUPO!G134</f>
        <v>-3.3255692219018642</v>
      </c>
      <c r="H104" s="29" t="str">
        <f t="shared" si="7"/>
        <v>---</v>
      </c>
      <c r="K104" s="28"/>
      <c r="L104" s="28"/>
      <c r="M104" s="30"/>
      <c r="Q104" s="26"/>
      <c r="S104" s="28"/>
      <c r="T104" s="28"/>
      <c r="U104" s="30"/>
      <c r="X104" s="28"/>
      <c r="Y104" s="28"/>
      <c r="Z104" s="30"/>
      <c r="AK104" s="28"/>
      <c r="AL104" s="28"/>
      <c r="AM104" s="30"/>
    </row>
    <row r="105" spans="1:39">
      <c r="D105" s="46" t="s">
        <v>7</v>
      </c>
      <c r="F105" s="27">
        <f>+[1]GRUPO!F135</f>
        <v>-2.5351590233057868</v>
      </c>
      <c r="G105" s="28">
        <f>+[1]GRUPO!G135</f>
        <v>-1.3012549314623225</v>
      </c>
      <c r="H105" s="29">
        <f t="shared" si="7"/>
        <v>-0.94824162584100968</v>
      </c>
      <c r="Q105" s="46"/>
      <c r="S105" s="28"/>
      <c r="T105" s="28"/>
      <c r="U105" s="30"/>
    </row>
    <row r="106" spans="1:39">
      <c r="D106" s="46" t="str">
        <f>+IF($B$3="esp","Otros","Other")</f>
        <v>Other</v>
      </c>
      <c r="F106" s="27">
        <f>+[1]GRUPO!F136</f>
        <v>0.22304013391488642</v>
      </c>
      <c r="G106" s="28">
        <f>+[1]GRUPO!G136</f>
        <v>-0.13219833149930293</v>
      </c>
      <c r="H106" s="29" t="str">
        <f t="shared" si="7"/>
        <v>---</v>
      </c>
      <c r="Q106" s="46"/>
      <c r="S106" s="28"/>
      <c r="T106" s="28"/>
      <c r="U106" s="30"/>
    </row>
    <row r="107" spans="1:39">
      <c r="D107" s="26" t="str">
        <f>+IF($B$3="esp","Otros","Other")</f>
        <v>Other</v>
      </c>
      <c r="F107" s="27">
        <f>+[1]GRUPO!F137</f>
        <v>-1.4317824200000768</v>
      </c>
      <c r="G107" s="28">
        <f>+[1]GRUPO!G137</f>
        <v>-2.6975285200001977</v>
      </c>
      <c r="H107" s="29">
        <f>IF(G107=0,"---",IF(OR(ABS((F107-G107)/ABS(G107))&gt;9,(F107*G107)&lt;0),"---",IF(G107="0","---",((F107-G107)/ABS(G107)))))</f>
        <v>0.46922436245457311</v>
      </c>
      <c r="Q107" s="26"/>
      <c r="S107" s="28"/>
      <c r="T107" s="28"/>
      <c r="U107" s="30"/>
    </row>
    <row r="108" spans="1:39">
      <c r="Q108" s="46"/>
      <c r="S108" s="28"/>
      <c r="T108" s="28"/>
      <c r="U108" s="30"/>
    </row>
    <row r="109" spans="1:39">
      <c r="Q109" s="46"/>
      <c r="S109" s="28"/>
      <c r="T109" s="28"/>
      <c r="U109" s="30"/>
    </row>
    <row r="110" spans="1:39" ht="15.75" customHeight="1"/>
    <row r="111" spans="1:39" ht="15.75" customHeight="1">
      <c r="D111" s="48" t="str">
        <f>+IF($B$3="esp","Resultados por Negocio                                                                                                        a tipo de cambio constante","Perfomance by Business on constant currency")</f>
        <v>Perfomance by Business on constant currency</v>
      </c>
      <c r="E111" s="10"/>
      <c r="F111" s="11" t="str">
        <f>+$F$6</f>
        <v>JANUARY - MARCH</v>
      </c>
      <c r="G111" s="11"/>
      <c r="H111" s="11"/>
      <c r="I111" s="10"/>
      <c r="J111" s="10"/>
      <c r="K111" s="13"/>
      <c r="L111" s="13"/>
      <c r="M111" s="13"/>
      <c r="Q111" s="50"/>
      <c r="R111" s="10"/>
      <c r="S111" s="13"/>
      <c r="T111" s="14"/>
      <c r="U111" s="14"/>
      <c r="V111" s="10"/>
      <c r="W111" s="10"/>
      <c r="X111" s="13"/>
      <c r="Y111" s="13"/>
      <c r="Z111" s="13"/>
      <c r="AI111" s="10"/>
      <c r="AJ111" s="10"/>
      <c r="AK111" s="13"/>
      <c r="AL111" s="13"/>
      <c r="AM111" s="13"/>
    </row>
    <row r="112" spans="1:39" ht="15.75" customHeight="1">
      <c r="D112" s="49"/>
      <c r="E112" s="10"/>
      <c r="F112" s="10"/>
      <c r="G112" s="10"/>
      <c r="H112" s="10"/>
      <c r="I112" s="10"/>
      <c r="J112" s="10"/>
      <c r="K112" s="10"/>
      <c r="L112" s="10"/>
      <c r="M112" s="10"/>
      <c r="Q112" s="50"/>
      <c r="R112" s="10"/>
      <c r="S112" s="10"/>
      <c r="T112" s="10"/>
      <c r="U112" s="10"/>
      <c r="V112" s="10"/>
      <c r="W112" s="10"/>
      <c r="X112" s="10"/>
      <c r="Y112" s="10"/>
      <c r="Z112" s="10"/>
      <c r="AI112" s="10"/>
      <c r="AJ112" s="10"/>
      <c r="AK112" s="10"/>
      <c r="AL112" s="10"/>
      <c r="AM112" s="10"/>
    </row>
    <row r="113" spans="1:39" ht="15.75" customHeight="1">
      <c r="D113" s="15" t="str">
        <f>+IF($B$3="esp","Millones de €","€ Millions")</f>
        <v>€ Millions</v>
      </c>
      <c r="E113" s="10"/>
      <c r="F113" s="16">
        <v>2022</v>
      </c>
      <c r="G113" s="16">
        <v>2021</v>
      </c>
      <c r="H113" s="16" t="str">
        <f>+IF($B$3="esp","Var.","Chg.")</f>
        <v>Chg.</v>
      </c>
      <c r="I113" s="10"/>
      <c r="J113" s="10"/>
      <c r="K113" s="17"/>
      <c r="L113" s="17"/>
      <c r="M113" s="17"/>
      <c r="Q113" s="15"/>
      <c r="R113" s="10"/>
      <c r="S113" s="17"/>
      <c r="T113" s="17"/>
      <c r="U113" s="17"/>
      <c r="V113" s="10"/>
      <c r="W113" s="10"/>
      <c r="X113" s="17"/>
      <c r="Y113" s="17"/>
      <c r="Z113" s="17"/>
      <c r="AI113" s="10"/>
      <c r="AJ113" s="10"/>
      <c r="AK113" s="17"/>
      <c r="AL113" s="17"/>
      <c r="AM113" s="17"/>
    </row>
    <row r="114" spans="1:39" ht="15.75" customHeight="1">
      <c r="A114" s="47"/>
      <c r="D114" s="18" t="str">
        <f>+IF($B$3="esp","Ingresos de Explotación a tipo constante","Operating Revenues on constant currency")</f>
        <v>Operating Revenues on constant currency</v>
      </c>
      <c r="F114" s="19"/>
      <c r="G114" s="19"/>
      <c r="H114" s="19"/>
      <c r="Q114" s="45"/>
    </row>
    <row r="115" spans="1:39" ht="15">
      <c r="D115" s="21" t="str">
        <f>+IF($B$3="esp","GRUPO","GROUP")</f>
        <v>GROUP</v>
      </c>
      <c r="E115" s="20"/>
      <c r="F115" s="22">
        <f>+[1]GRUPO!F144</f>
        <v>205.74857120410232</v>
      </c>
      <c r="G115" s="23">
        <f>+[1]GRUPO!G144</f>
        <v>158.51658144846473</v>
      </c>
      <c r="H115" s="24">
        <f>IF(G115=0,"---",IF(OR(ABS((F115-G115)/ABS(G115))&gt;9,(F115*G115)&lt;0),"---",IF(G115="0","---",((F115-G115)/ABS(G115)))))</f>
        <v>0.29796245493089413</v>
      </c>
      <c r="I115" s="20"/>
      <c r="J115" s="20"/>
      <c r="K115" s="23"/>
      <c r="L115" s="23"/>
      <c r="M115" s="25"/>
      <c r="Q115" s="21"/>
      <c r="R115" s="20"/>
      <c r="S115" s="23"/>
      <c r="T115" s="23"/>
      <c r="U115" s="25"/>
      <c r="V115" s="20"/>
      <c r="W115" s="20"/>
      <c r="X115" s="23"/>
      <c r="Y115" s="23"/>
      <c r="Z115" s="25"/>
      <c r="AI115" s="20"/>
      <c r="AJ115" s="20"/>
      <c r="AK115" s="23"/>
      <c r="AL115" s="23"/>
      <c r="AM115" s="25"/>
    </row>
    <row r="116" spans="1:39">
      <c r="D116" s="26" t="str">
        <f>+IF($B$3="esp","Educación","Education")</f>
        <v>Education</v>
      </c>
      <c r="F116" s="27">
        <f>+[1]GRUPO!F145</f>
        <v>123.31556193610034</v>
      </c>
      <c r="G116" s="28">
        <f>+[1]GRUPO!G145</f>
        <v>81.973272202614567</v>
      </c>
      <c r="H116" s="29">
        <f t="shared" ref="H116:H120" si="8">IF(G116=0,"---",IF(OR(ABS((F116-G116)/ABS(G116))&gt;9,(F116*G116)&lt;0),"---",IF(G116="0","---",((F116-G116)/ABS(G116)))))</f>
        <v>0.50433865359552088</v>
      </c>
      <c r="K116" s="28"/>
      <c r="L116" s="28"/>
      <c r="M116" s="30"/>
      <c r="Q116" s="26"/>
      <c r="S116" s="28"/>
      <c r="T116" s="28"/>
      <c r="U116" s="30"/>
      <c r="X116" s="28"/>
      <c r="Y116" s="28"/>
      <c r="Z116" s="30"/>
      <c r="AK116" s="28"/>
      <c r="AL116" s="28"/>
      <c r="AM116" s="30"/>
    </row>
    <row r="117" spans="1:39" ht="15.75" customHeight="1">
      <c r="D117" s="26" t="str">
        <f>+IF($B$3="esp","Media","Media")</f>
        <v>Media</v>
      </c>
      <c r="F117" s="27">
        <f>+[1]GRUPO!F146</f>
        <v>82.754322853045892</v>
      </c>
      <c r="G117" s="28">
        <f>+[1]GRUPO!G146</f>
        <v>76.994704155209462</v>
      </c>
      <c r="H117" s="29">
        <f t="shared" si="8"/>
        <v>7.4805387734537251E-2</v>
      </c>
      <c r="K117" s="28"/>
      <c r="L117" s="28"/>
      <c r="M117" s="30"/>
      <c r="Q117" s="46"/>
      <c r="S117" s="28"/>
      <c r="T117" s="28"/>
      <c r="U117" s="30"/>
      <c r="X117" s="28"/>
      <c r="Y117" s="28"/>
      <c r="Z117" s="30"/>
      <c r="AK117" s="28"/>
      <c r="AL117" s="28"/>
      <c r="AM117" s="30"/>
    </row>
    <row r="118" spans="1:39" ht="15.75" customHeight="1">
      <c r="D118" s="46" t="s">
        <v>6</v>
      </c>
      <c r="F118" s="27">
        <f>+[1]GRUPO!F147</f>
        <v>48.933627158815796</v>
      </c>
      <c r="G118" s="28">
        <f>+[1]GRUPO!G147</f>
        <v>41.277071328214191</v>
      </c>
      <c r="H118" s="29">
        <f t="shared" si="8"/>
        <v>0.18549174115868305</v>
      </c>
      <c r="K118" s="28"/>
      <c r="L118" s="28"/>
      <c r="M118" s="30"/>
      <c r="Q118" s="46"/>
      <c r="S118" s="28"/>
      <c r="T118" s="28"/>
      <c r="U118" s="30"/>
      <c r="X118" s="28"/>
      <c r="Y118" s="28"/>
      <c r="Z118" s="30"/>
      <c r="AK118" s="28"/>
      <c r="AL118" s="28"/>
      <c r="AM118" s="30"/>
    </row>
    <row r="119" spans="1:39" ht="15.75" customHeight="1">
      <c r="D119" s="46" t="s">
        <v>7</v>
      </c>
      <c r="F119" s="27">
        <f>+[1]GRUPO!F148</f>
        <v>34.178727243046275</v>
      </c>
      <c r="G119" s="28">
        <f>+[1]GRUPO!G148</f>
        <v>35.817662163862693</v>
      </c>
      <c r="H119" s="29">
        <f t="shared" si="8"/>
        <v>-4.5757730175644426E-2</v>
      </c>
      <c r="K119" s="28"/>
      <c r="L119" s="28"/>
      <c r="M119" s="30"/>
      <c r="Q119" s="26"/>
      <c r="S119" s="28"/>
      <c r="T119" s="28"/>
      <c r="U119" s="30"/>
      <c r="X119" s="28"/>
      <c r="Y119" s="28"/>
      <c r="Z119" s="30"/>
      <c r="AK119" s="28"/>
      <c r="AL119" s="28"/>
      <c r="AM119" s="30"/>
    </row>
    <row r="120" spans="1:39" ht="15.75" customHeight="1">
      <c r="D120" s="46" t="str">
        <f>+IF($B$3="esp","Otros","Other")</f>
        <v>Other</v>
      </c>
      <c r="F120" s="27">
        <f>+[1]GRUPO!F149</f>
        <v>-0.35803154881617871</v>
      </c>
      <c r="G120" s="28">
        <f>+[1]GRUPO!G149</f>
        <v>-0.1000293368674221</v>
      </c>
      <c r="H120" s="29">
        <f t="shared" si="8"/>
        <v>-2.5792654438038531</v>
      </c>
      <c r="K120" s="28"/>
      <c r="L120" s="28"/>
      <c r="M120" s="30"/>
      <c r="Q120" s="46"/>
      <c r="S120" s="28"/>
      <c r="T120" s="28"/>
      <c r="U120" s="30"/>
      <c r="X120" s="28"/>
      <c r="Y120" s="28"/>
      <c r="Z120" s="30"/>
      <c r="AK120" s="28"/>
      <c r="AL120" s="28"/>
      <c r="AM120" s="30"/>
    </row>
    <row r="121" spans="1:39" ht="15.75" customHeight="1">
      <c r="D121" s="26" t="str">
        <f>+IF($B$3="esp","Otros","Other")</f>
        <v>Other</v>
      </c>
      <c r="F121" s="27">
        <f>+[1]GRUPO!F150</f>
        <v>-0.32131358504391017</v>
      </c>
      <c r="G121" s="28">
        <f>+[1]GRUPO!G150</f>
        <v>-0.45139490935929416</v>
      </c>
      <c r="H121" s="29">
        <f>IF(G121=0,"---",IF(OR(ABS((F121-G121)/ABS(G121))&gt;9,(F121*G121)&lt;0),"---",IF(G121="0","---",((F121-G121)/ABS(G121)))))</f>
        <v>0.28817632104008495</v>
      </c>
      <c r="Q121" s="46"/>
      <c r="S121" s="28"/>
      <c r="T121" s="28"/>
      <c r="U121" s="30"/>
    </row>
    <row r="122" spans="1:39" ht="15.75" customHeight="1">
      <c r="A122" s="47"/>
      <c r="Q122" s="26"/>
      <c r="S122" s="28"/>
      <c r="T122" s="28"/>
      <c r="U122" s="30"/>
    </row>
    <row r="123" spans="1:39" ht="15">
      <c r="D123" s="18" t="str">
        <f>+IF($B$3="esp","EBITDA a tipo constante","EBITDA on constant currency")</f>
        <v>EBITDA on constant currency</v>
      </c>
      <c r="F123" s="19"/>
      <c r="G123" s="19"/>
      <c r="H123" s="19"/>
      <c r="I123" s="20"/>
      <c r="J123" s="20"/>
      <c r="K123" s="23"/>
      <c r="L123" s="23"/>
      <c r="M123" s="25"/>
      <c r="V123" s="20"/>
      <c r="W123" s="20"/>
      <c r="X123" s="23"/>
      <c r="Y123" s="23"/>
      <c r="Z123" s="25"/>
      <c r="AI123" s="20"/>
      <c r="AJ123" s="20"/>
      <c r="AK123" s="23"/>
      <c r="AL123" s="23"/>
      <c r="AM123" s="25"/>
    </row>
    <row r="124" spans="1:39" ht="15">
      <c r="D124" s="21" t="str">
        <f>+IF($B$3="esp","GRUPO","GROUP")</f>
        <v>GROUP</v>
      </c>
      <c r="E124" s="20"/>
      <c r="F124" s="22">
        <f>+[1]GRUPO!F153</f>
        <v>40.462440525622</v>
      </c>
      <c r="G124" s="23">
        <f>+[1]GRUPO!G153</f>
        <v>12.306114074840236</v>
      </c>
      <c r="H124" s="24">
        <f>IF(G124=0,"---",IF(OR(ABS((F124-G124)/ABS(G124))&gt;9,(F124*G124)&lt;0),"---",IF(G124="0","---",((F124-G124)/ABS(G124)))))</f>
        <v>2.2879949169614129</v>
      </c>
      <c r="K124" s="28"/>
      <c r="L124" s="28"/>
      <c r="M124" s="30"/>
      <c r="Q124" s="45"/>
      <c r="X124" s="28"/>
      <c r="Y124" s="28"/>
      <c r="Z124" s="30"/>
      <c r="AK124" s="28"/>
      <c r="AL124" s="28"/>
      <c r="AM124" s="30"/>
    </row>
    <row r="125" spans="1:39" ht="15.75" customHeight="1">
      <c r="D125" s="26" t="str">
        <f>+IF($B$3="esp","Educación","Education")</f>
        <v>Education</v>
      </c>
      <c r="F125" s="27">
        <f>+[1]GRUPO!F154</f>
        <v>43.789385626920634</v>
      </c>
      <c r="G125" s="28">
        <f>+[1]GRUPO!G154</f>
        <v>23.239009985863333</v>
      </c>
      <c r="H125" s="29">
        <f t="shared" ref="H125:H129" si="9">IF(G125=0,"---",IF(OR(ABS((F125-G125)/ABS(G125))&gt;9,(F125*G125)&lt;0),"---",IF(G125="0","---",((F125-G125)/ABS(G125)))))</f>
        <v>0.88430512545751416</v>
      </c>
      <c r="K125" s="28"/>
      <c r="L125" s="28"/>
      <c r="M125" s="30"/>
      <c r="Q125" s="21"/>
      <c r="R125" s="20"/>
      <c r="S125" s="23"/>
      <c r="T125" s="23"/>
      <c r="U125" s="25"/>
      <c r="X125" s="28"/>
      <c r="Y125" s="28"/>
      <c r="Z125" s="30"/>
      <c r="AK125" s="28"/>
      <c r="AL125" s="28"/>
      <c r="AM125" s="30"/>
    </row>
    <row r="126" spans="1:39" ht="15.75" customHeight="1">
      <c r="D126" s="26" t="str">
        <f>+IF($B$3="esp","Media","Media")</f>
        <v>Media</v>
      </c>
      <c r="F126" s="27">
        <f>+[1]GRUPO!F155</f>
        <v>-1.8951626612985637</v>
      </c>
      <c r="G126" s="28">
        <f>+[1]GRUPO!G155</f>
        <v>-7.4751540810229002</v>
      </c>
      <c r="H126" s="29">
        <f t="shared" si="9"/>
        <v>0.74647175954408829</v>
      </c>
      <c r="K126" s="28"/>
      <c r="L126" s="28"/>
      <c r="M126" s="30"/>
      <c r="Q126" s="26"/>
      <c r="S126" s="28"/>
      <c r="T126" s="28"/>
      <c r="U126" s="30"/>
      <c r="X126" s="28"/>
      <c r="Y126" s="28"/>
      <c r="Z126" s="30"/>
      <c r="AK126" s="28"/>
      <c r="AL126" s="28"/>
      <c r="AM126" s="30"/>
    </row>
    <row r="127" spans="1:39" ht="15.75" customHeight="1">
      <c r="D127" s="46" t="s">
        <v>6</v>
      </c>
      <c r="F127" s="27">
        <f>+[1]GRUPO!F156</f>
        <v>0.8681120439647253</v>
      </c>
      <c r="G127" s="28">
        <f>+[1]GRUPO!G156</f>
        <v>-4.4917523685174734</v>
      </c>
      <c r="H127" s="29" t="str">
        <f t="shared" si="9"/>
        <v>---</v>
      </c>
      <c r="K127" s="28"/>
      <c r="L127" s="28"/>
      <c r="M127" s="30"/>
      <c r="Q127" s="46"/>
      <c r="S127" s="28"/>
      <c r="T127" s="28"/>
      <c r="U127" s="30"/>
      <c r="X127" s="28"/>
      <c r="Y127" s="28"/>
      <c r="Z127" s="30"/>
      <c r="AK127" s="28"/>
      <c r="AL127" s="28"/>
      <c r="AM127" s="30"/>
    </row>
    <row r="128" spans="1:39" ht="15.75" customHeight="1">
      <c r="D128" s="46" t="s">
        <v>7</v>
      </c>
      <c r="F128" s="27">
        <f>+[1]GRUPO!F157</f>
        <v>-2.6097095570080331</v>
      </c>
      <c r="G128" s="28">
        <f>+[1]GRUPO!G157</f>
        <v>-2.7801717247119591</v>
      </c>
      <c r="H128" s="29">
        <f t="shared" si="9"/>
        <v>6.1313539084204151E-2</v>
      </c>
      <c r="K128" s="28"/>
      <c r="L128" s="28"/>
      <c r="M128" s="30"/>
      <c r="Q128" s="46"/>
      <c r="S128" s="28"/>
      <c r="T128" s="28"/>
      <c r="U128" s="30"/>
      <c r="X128" s="28"/>
      <c r="Y128" s="28"/>
      <c r="Z128" s="30"/>
      <c r="AK128" s="28"/>
      <c r="AL128" s="28"/>
      <c r="AM128" s="30"/>
    </row>
    <row r="129" spans="1:39" ht="15.75" customHeight="1">
      <c r="D129" s="46" t="str">
        <f>+IF($B$3="esp","Otros","Other")</f>
        <v>Other</v>
      </c>
      <c r="F129" s="27">
        <f>+[1]GRUPO!F158</f>
        <v>-0.15356514825525602</v>
      </c>
      <c r="G129" s="28">
        <f>+[1]GRUPO!G158</f>
        <v>-0.20322998779346779</v>
      </c>
      <c r="H129" s="29">
        <f t="shared" si="9"/>
        <v>0.24437751572707664</v>
      </c>
      <c r="Q129" s="26"/>
      <c r="S129" s="28"/>
      <c r="T129" s="28"/>
      <c r="U129" s="30"/>
    </row>
    <row r="130" spans="1:39" ht="15.75" customHeight="1">
      <c r="A130" s="47"/>
      <c r="D130" s="26" t="str">
        <f>+IF($B$3="esp","Otros","Other")</f>
        <v>Other</v>
      </c>
      <c r="F130" s="27">
        <f>+[1]GRUPO!F159</f>
        <v>-1.43178244000007</v>
      </c>
      <c r="G130" s="28">
        <f>+[1]GRUPO!G159</f>
        <v>-3.457741830000197</v>
      </c>
      <c r="H130" s="29">
        <f>IF(G130=0,"---",IF(OR(ABS((F130-G130)/ABS(G130))&gt;9,(F130*G130)&lt;0),"---",IF(G130="0","---",((F130-G130)/ABS(G130)))))</f>
        <v>0.58591979667840366</v>
      </c>
      <c r="Q130" s="46"/>
      <c r="S130" s="28"/>
      <c r="T130" s="28"/>
      <c r="U130" s="30"/>
    </row>
    <row r="131" spans="1:39" ht="15">
      <c r="I131" s="20"/>
      <c r="J131" s="20"/>
      <c r="K131" s="23"/>
      <c r="L131" s="23"/>
      <c r="M131" s="25"/>
      <c r="Q131" s="46"/>
      <c r="S131" s="28"/>
      <c r="T131" s="28"/>
      <c r="U131" s="30"/>
      <c r="V131" s="20"/>
      <c r="W131" s="20"/>
      <c r="X131" s="23"/>
      <c r="Y131" s="23"/>
      <c r="Z131" s="25"/>
      <c r="AI131" s="20"/>
      <c r="AJ131" s="20"/>
      <c r="AK131" s="23"/>
      <c r="AL131" s="23"/>
      <c r="AM131" s="25"/>
    </row>
    <row r="132" spans="1:39" ht="15">
      <c r="D132" s="18" t="str">
        <f>+IF($B$3="esp","EBITDA sin indemnizaciones a tipo constante","EBITDA ex severance expenses on constant currency")</f>
        <v>EBITDA ex severance expenses on constant currency</v>
      </c>
      <c r="F132" s="19"/>
      <c r="G132" s="19"/>
      <c r="H132" s="19"/>
      <c r="K132" s="28"/>
      <c r="L132" s="28"/>
      <c r="M132" s="30"/>
      <c r="Q132" s="26"/>
      <c r="S132" s="28"/>
      <c r="T132" s="28"/>
      <c r="U132" s="30"/>
      <c r="X132" s="28"/>
      <c r="Y132" s="28"/>
      <c r="Z132" s="30"/>
      <c r="AK132" s="28"/>
      <c r="AL132" s="28"/>
      <c r="AM132" s="30"/>
    </row>
    <row r="133" spans="1:39" ht="15">
      <c r="D133" s="21" t="str">
        <f>+IF($B$3="esp","GRUPO","GROUP")</f>
        <v>GROUP</v>
      </c>
      <c r="E133" s="20"/>
      <c r="F133" s="22">
        <f>+[1]GRUPO!F162</f>
        <v>42.95671977926316</v>
      </c>
      <c r="G133" s="23">
        <f>+[1]GRUPO!G162</f>
        <v>17.08371216388354</v>
      </c>
      <c r="H133" s="24">
        <f>IF(G133=0,"---",IF(OR(ABS((F133-G133)/ABS(G133))&gt;9,(F133*G133)&lt;0),"---",IF(G133="0","---",((F133-G133)/ABS(G133)))))</f>
        <v>1.5144839345910674</v>
      </c>
      <c r="K133" s="28"/>
      <c r="L133" s="28"/>
      <c r="M133" s="30"/>
      <c r="X133" s="28"/>
      <c r="Y133" s="28"/>
      <c r="Z133" s="30"/>
      <c r="AK133" s="28"/>
      <c r="AL133" s="28"/>
      <c r="AM133" s="30"/>
    </row>
    <row r="134" spans="1:39" ht="15">
      <c r="D134" s="26" t="str">
        <f>+IF($B$3="esp","Educación","Education")</f>
        <v>Education</v>
      </c>
      <c r="F134" s="27">
        <f>+[1]GRUPO!F163</f>
        <v>44.489544836254858</v>
      </c>
      <c r="G134" s="28">
        <f>+[1]GRUPO!G163</f>
        <v>24.540263168747227</v>
      </c>
      <c r="H134" s="29">
        <f t="shared" ref="H134:H138" si="10">IF(G134=0,"---",IF(OR(ABS((F134-G134)/ABS(G134))&gt;9,(F134*G134)&lt;0),"---",IF(G134="0","---",((F134-G134)/ABS(G134)))))</f>
        <v>0.81292044548705766</v>
      </c>
      <c r="K134" s="28"/>
      <c r="L134" s="28"/>
      <c r="M134" s="30"/>
      <c r="Q134" s="45"/>
      <c r="X134" s="28"/>
      <c r="Y134" s="28"/>
      <c r="Z134" s="30"/>
      <c r="AK134" s="28"/>
      <c r="AL134" s="28"/>
      <c r="AM134" s="30"/>
    </row>
    <row r="135" spans="1:39" ht="15">
      <c r="D135" s="26" t="str">
        <f>+IF($B$3="esp","Media","Media")</f>
        <v>Media</v>
      </c>
      <c r="F135" s="27">
        <f>+[1]GRUPO!F164</f>
        <v>-0.10104263699162107</v>
      </c>
      <c r="G135" s="28">
        <f>+[1]GRUPO!G164</f>
        <v>-4.7590224848634897</v>
      </c>
      <c r="H135" s="29">
        <f t="shared" si="10"/>
        <v>0.97876819508354995</v>
      </c>
      <c r="K135" s="28"/>
      <c r="L135" s="28"/>
      <c r="M135" s="30"/>
      <c r="Q135" s="21"/>
      <c r="R135" s="20"/>
      <c r="S135" s="23"/>
      <c r="T135" s="23"/>
      <c r="U135" s="25"/>
      <c r="X135" s="28"/>
      <c r="Y135" s="28"/>
      <c r="Z135" s="30"/>
      <c r="AK135" s="28"/>
      <c r="AL135" s="28"/>
      <c r="AM135" s="30"/>
    </row>
    <row r="136" spans="1:39">
      <c r="D136" s="46" t="s">
        <v>6</v>
      </c>
      <c r="F136" s="27">
        <f>+[1]GRUPO!F165</f>
        <v>2.2214907137160225</v>
      </c>
      <c r="G136" s="28">
        <f>+[1]GRUPO!G165</f>
        <v>-3.3255692219018642</v>
      </c>
      <c r="H136" s="29" t="str">
        <f t="shared" si="10"/>
        <v>---</v>
      </c>
      <c r="K136" s="28"/>
      <c r="L136" s="28"/>
      <c r="M136" s="30"/>
      <c r="Q136" s="26"/>
      <c r="S136" s="28"/>
      <c r="T136" s="28"/>
      <c r="U136" s="30"/>
      <c r="X136" s="28"/>
      <c r="Y136" s="28"/>
      <c r="Z136" s="30"/>
      <c r="AK136" s="28"/>
      <c r="AL136" s="28"/>
      <c r="AM136" s="30"/>
    </row>
    <row r="137" spans="1:39">
      <c r="D137" s="46" t="s">
        <v>7</v>
      </c>
      <c r="F137" s="27">
        <f>+[1]GRUPO!F166</f>
        <v>-2.5497083570080332</v>
      </c>
      <c r="G137" s="28">
        <f>+[1]GRUPO!G166</f>
        <v>-1.3012549314623225</v>
      </c>
      <c r="H137" s="29">
        <f t="shared" si="10"/>
        <v>-0.95942262761895969</v>
      </c>
      <c r="Q137" s="46"/>
      <c r="S137" s="28"/>
      <c r="T137" s="28"/>
      <c r="U137" s="30"/>
    </row>
    <row r="138" spans="1:39">
      <c r="D138" s="46" t="str">
        <f>+IF($B$3="esp","Otros","Other")</f>
        <v>Other</v>
      </c>
      <c r="F138" s="27">
        <f>+[1]GRUPO!F167</f>
        <v>0.22717500630038989</v>
      </c>
      <c r="G138" s="28">
        <f>+[1]GRUPO!G167</f>
        <v>-0.13219833149930293</v>
      </c>
      <c r="H138" s="29" t="str">
        <f t="shared" si="10"/>
        <v>---</v>
      </c>
      <c r="Q138" s="46"/>
      <c r="S138" s="28"/>
      <c r="T138" s="28"/>
      <c r="U138" s="30"/>
    </row>
    <row r="139" spans="1:39">
      <c r="D139" s="26" t="str">
        <f>+IF($B$3="esp","Otros","Other")</f>
        <v>Other</v>
      </c>
      <c r="F139" s="27">
        <f>+[1]GRUPO!F168</f>
        <v>-1.4317824200000764</v>
      </c>
      <c r="G139" s="28">
        <f>+[1]GRUPO!G168</f>
        <v>-2.6975285200001977</v>
      </c>
      <c r="H139" s="29">
        <f>IF(G139=0,"---",IF(OR(ABS((F139-G139)/ABS(G139))&gt;9,(F139*G139)&lt;0),"---",IF(G139="0","---",((F139-G139)/ABS(G139)))))</f>
        <v>0.46922436245457327</v>
      </c>
      <c r="Q139" s="26"/>
      <c r="S139" s="28"/>
      <c r="T139" s="28"/>
      <c r="U139" s="30"/>
    </row>
    <row r="140" spans="1:39">
      <c r="Q140" s="46"/>
      <c r="S140" s="28"/>
      <c r="T140" s="28"/>
      <c r="U140" s="30"/>
    </row>
    <row r="141" spans="1:39">
      <c r="Q141" s="46"/>
      <c r="S141" s="28"/>
      <c r="T141" s="28"/>
      <c r="U141" s="30"/>
    </row>
    <row r="142" spans="1:39">
      <c r="Q142" s="26"/>
      <c r="S142" s="28"/>
      <c r="T142" s="28"/>
      <c r="U142" s="30"/>
    </row>
  </sheetData>
  <mergeCells count="4">
    <mergeCell ref="D79:D80"/>
    <mergeCell ref="Q79:Q80"/>
    <mergeCell ref="D111:D112"/>
    <mergeCell ref="Q111:Q1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To Publish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 Juan Chamorro Aparicio</dc:creator>
  <cp:lastModifiedBy>Alejandro Juan Chamorro Aparicio</cp:lastModifiedBy>
  <dcterms:created xsi:type="dcterms:W3CDTF">2022-04-25T16:09:16Z</dcterms:created>
  <dcterms:modified xsi:type="dcterms:W3CDTF">2022-04-26T12:34:51Z</dcterms:modified>
</cp:coreProperties>
</file>