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LACIÓN CON INVERSORES\NEW\RESULTS\2022\2Q2022\"/>
    </mc:Choice>
  </mc:AlternateContent>
  <xr:revisionPtr revIDLastSave="0" documentId="13_ncr:1_{DF2B73F3-D9B4-4513-8012-179C2484BE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 Publish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7" l="1"/>
  <c r="AB6" i="7" s="1"/>
  <c r="AR6" i="7" s="1"/>
  <c r="F6" i="7"/>
  <c r="L111" i="7" s="1"/>
  <c r="AT8" i="7"/>
  <c r="AD55" i="7"/>
  <c r="AD8" i="7"/>
  <c r="N113" i="7"/>
  <c r="N81" i="7"/>
  <c r="N55" i="7"/>
  <c r="N8" i="7"/>
  <c r="V6" i="7"/>
  <c r="AL6" i="7" s="1"/>
  <c r="D138" i="7"/>
  <c r="D129" i="7"/>
  <c r="D120" i="7"/>
  <c r="D106" i="7"/>
  <c r="D97" i="7"/>
  <c r="D88" i="7"/>
  <c r="T73" i="7"/>
  <c r="T72" i="7"/>
  <c r="T69" i="7"/>
  <c r="T68" i="7"/>
  <c r="T65" i="7"/>
  <c r="T64" i="7"/>
  <c r="T62" i="7"/>
  <c r="T61" i="7"/>
  <c r="T59" i="7"/>
  <c r="T58" i="7"/>
  <c r="T26" i="7"/>
  <c r="T25" i="7"/>
  <c r="T22" i="7"/>
  <c r="T21" i="7"/>
  <c r="T18" i="7"/>
  <c r="T17" i="7"/>
  <c r="T15" i="7"/>
  <c r="T14" i="7"/>
  <c r="T12" i="7"/>
  <c r="T11" i="7"/>
  <c r="AJ15" i="7"/>
  <c r="AJ14" i="7"/>
  <c r="AJ13" i="7"/>
  <c r="AJ12" i="7"/>
  <c r="AJ11" i="7"/>
  <c r="AJ16" i="7"/>
  <c r="AJ33" i="7"/>
  <c r="AJ32" i="7"/>
  <c r="AJ31" i="7"/>
  <c r="AJ30" i="7"/>
  <c r="AJ29" i="7"/>
  <c r="AJ28" i="7"/>
  <c r="AJ27" i="7"/>
  <c r="AJ26" i="7"/>
  <c r="AJ25" i="7"/>
  <c r="AJ24" i="7"/>
  <c r="AJ23" i="7"/>
  <c r="AJ22" i="7"/>
  <c r="AJ21" i="7"/>
  <c r="AJ20" i="7"/>
  <c r="AJ19" i="7"/>
  <c r="AJ10" i="7"/>
  <c r="AJ9" i="7"/>
  <c r="AN8" i="7"/>
  <c r="AJ8" i="7"/>
  <c r="T74" i="7"/>
  <c r="T71" i="7"/>
  <c r="T70" i="7"/>
  <c r="T67" i="7"/>
  <c r="T66" i="7"/>
  <c r="T63" i="7"/>
  <c r="T60" i="7"/>
  <c r="T57" i="7"/>
  <c r="T56" i="7"/>
  <c r="X55" i="7"/>
  <c r="T55" i="7"/>
  <c r="T3" i="7"/>
  <c r="T36" i="7"/>
  <c r="T35" i="7"/>
  <c r="T34" i="7"/>
  <c r="T33" i="7"/>
  <c r="T32" i="7"/>
  <c r="T31" i="7"/>
  <c r="T30" i="7"/>
  <c r="T29" i="7"/>
  <c r="T28" i="7"/>
  <c r="T27" i="7"/>
  <c r="T24" i="7"/>
  <c r="T23" i="7"/>
  <c r="T20" i="7"/>
  <c r="T19" i="7"/>
  <c r="T16" i="7"/>
  <c r="T13" i="7"/>
  <c r="T10" i="7"/>
  <c r="T9" i="7"/>
  <c r="X8" i="7"/>
  <c r="T8" i="7"/>
  <c r="D3" i="7"/>
  <c r="D139" i="7"/>
  <c r="D135" i="7"/>
  <c r="D134" i="7"/>
  <c r="D133" i="7"/>
  <c r="D132" i="7"/>
  <c r="D130" i="7"/>
  <c r="D126" i="7"/>
  <c r="D125" i="7"/>
  <c r="D124" i="7"/>
  <c r="D123" i="7"/>
  <c r="D121" i="7"/>
  <c r="D117" i="7"/>
  <c r="D116" i="7"/>
  <c r="D115" i="7"/>
  <c r="D114" i="7"/>
  <c r="H113" i="7"/>
  <c r="D113" i="7"/>
  <c r="D111" i="7"/>
  <c r="D107" i="7"/>
  <c r="D103" i="7"/>
  <c r="D102" i="7"/>
  <c r="D101" i="7"/>
  <c r="D100" i="7"/>
  <c r="D98" i="7"/>
  <c r="D94" i="7"/>
  <c r="D93" i="7"/>
  <c r="D92" i="7"/>
  <c r="D91" i="7"/>
  <c r="D89" i="7"/>
  <c r="D85" i="7"/>
  <c r="D84" i="7"/>
  <c r="D83" i="7"/>
  <c r="D82" i="7"/>
  <c r="H81" i="7"/>
  <c r="D81" i="7"/>
  <c r="D79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H55" i="7"/>
  <c r="D55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H8" i="7"/>
  <c r="D8" i="7"/>
  <c r="V53" i="7"/>
  <c r="F111" i="7"/>
  <c r="F79" i="7"/>
  <c r="F53" i="7"/>
  <c r="L53" i="7" l="1"/>
  <c r="AB53" i="7"/>
  <c r="L79" i="7"/>
</calcChain>
</file>

<file path=xl/sharedStrings.xml><?xml version="1.0" encoding="utf-8"?>
<sst xmlns="http://schemas.openxmlformats.org/spreadsheetml/2006/main" count="86" uniqueCount="11">
  <si>
    <t>idioma</t>
  </si>
  <si>
    <t>esp</t>
  </si>
  <si>
    <t>Español</t>
  </si>
  <si>
    <t>eng</t>
  </si>
  <si>
    <t>English</t>
  </si>
  <si>
    <t>Prisa Radio</t>
  </si>
  <si>
    <t>Prisa Noticias</t>
  </si>
  <si>
    <t>PRISA MEDIA</t>
  </si>
  <si>
    <t>Variable expenses</t>
  </si>
  <si>
    <t>Fixed expense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</si>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</sst>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sz val="8"/>
      <color theme="1"/>
      <name val="Neo Sans Pro"/>
      <family val="2"/>
    </font>
    <font>
      <b/>
      <sz val="10"/>
      <color theme="0"/>
      <name val="Neo Sans Pro"/>
      <family val="2"/>
    </font>
    <font>
      <b/>
      <sz val="11"/>
      <color theme="1"/>
      <name val="Neo Sans Pro"/>
      <family val="2"/>
    </font>
    <font>
      <b/>
      <sz val="11"/>
      <color rgb="FF03678B"/>
      <name val="Neo Sans Pro"/>
      <family val="2"/>
    </font>
    <font>
      <i/>
      <sz val="11"/>
      <color theme="1"/>
      <name val="Neo Sans Pro"/>
      <family val="2"/>
    </font>
    <font>
      <b/>
      <sz val="10"/>
      <color theme="1"/>
      <name val="Neo Sans Pro"/>
      <family val="2"/>
    </font>
    <font>
      <sz val="11"/>
      <color rgb="FFFF0000"/>
      <name val="Neo Sans Pro"/>
      <family val="2"/>
    </font>
    <font>
      <sz val="8"/>
      <color rgb="FFFF0000"/>
      <name val="Neo Sans Pro"/>
      <family val="2"/>
    </font>
    <font>
      <sz val="9"/>
      <color rgb="FFFF0000"/>
      <name val="Neo Sans Pro"/>
      <family val="2"/>
    </font>
    <font>
      <b/>
      <sz val="12"/>
      <color rgb="FF0070C0"/>
      <name val="Neo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007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3678B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  <border>
      <left/>
      <right/>
      <top/>
      <bottom style="dashed">
        <color theme="4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right" vertical="center" indent="1"/>
    </xf>
    <xf numFmtId="0" fontId="6" fillId="2" borderId="0" xfId="0" applyFont="1" applyFill="1"/>
    <xf numFmtId="0" fontId="7" fillId="2" borderId="2" xfId="0" applyFont="1" applyFill="1" applyBorder="1"/>
    <xf numFmtId="0" fontId="2" fillId="2" borderId="2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8" fillId="2" borderId="0" xfId="0" applyFont="1" applyFill="1"/>
    <xf numFmtId="164" fontId="6" fillId="4" borderId="0" xfId="0" applyNumberFormat="1" applyFont="1" applyFill="1" applyAlignment="1">
      <alignment horizontal="right" vertical="center" indent="1"/>
    </xf>
    <xf numFmtId="164" fontId="2" fillId="4" borderId="0" xfId="0" applyNumberFormat="1" applyFont="1" applyFill="1" applyAlignment="1">
      <alignment horizontal="right" vertical="center" indent="1"/>
    </xf>
    <xf numFmtId="0" fontId="3" fillId="2" borderId="0" xfId="0" applyFont="1" applyFill="1" applyAlignment="1">
      <alignment horizontal="left" vertical="center" indent="3"/>
    </xf>
    <xf numFmtId="0" fontId="2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indent="1"/>
    </xf>
    <xf numFmtId="165" fontId="8" fillId="4" borderId="0" xfId="1" applyNumberFormat="1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 indent="1"/>
    </xf>
    <xf numFmtId="164" fontId="2" fillId="2" borderId="0" xfId="0" applyNumberFormat="1" applyFont="1" applyFill="1" applyAlignment="1">
      <alignment horizontal="right" vertical="center" indent="1"/>
    </xf>
    <xf numFmtId="164" fontId="3" fillId="2" borderId="0" xfId="0" applyNumberFormat="1" applyFont="1" applyFill="1" applyAlignment="1">
      <alignment horizontal="right" vertical="center" indent="1"/>
    </xf>
    <xf numFmtId="165" fontId="8" fillId="2" borderId="0" xfId="1" applyNumberFormat="1" applyFont="1" applyFill="1" applyAlignment="1">
      <alignment vertical="center"/>
    </xf>
    <xf numFmtId="165" fontId="6" fillId="5" borderId="0" xfId="1" applyNumberFormat="1" applyFont="1" applyFill="1" applyAlignment="1">
      <alignment horizontal="right" vertical="center" indent="1"/>
    </xf>
    <xf numFmtId="165" fontId="2" fillId="5" borderId="0" xfId="1" applyNumberFormat="1" applyFont="1" applyFill="1" applyAlignment="1">
      <alignment horizontal="right" vertical="center" indent="1"/>
    </xf>
    <xf numFmtId="165" fontId="8" fillId="5" borderId="0" xfId="1" applyNumberFormat="1" applyFont="1" applyFill="1" applyAlignment="1">
      <alignment horizontal="right" vertical="center" indent="1"/>
    </xf>
    <xf numFmtId="0" fontId="2" fillId="2" borderId="0" xfId="0" applyFont="1" applyFill="1" applyBorder="1"/>
    <xf numFmtId="164" fontId="2" fillId="2" borderId="0" xfId="0" applyNumberFormat="1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left" vertical="center" indent="3"/>
    </xf>
    <xf numFmtId="0" fontId="6" fillId="2" borderId="0" xfId="0" applyFont="1" applyFill="1" applyBorder="1"/>
    <xf numFmtId="0" fontId="6" fillId="2" borderId="0" xfId="0" applyFont="1" applyFill="1" applyBorder="1" applyAlignment="1">
      <alignment vertical="center"/>
    </xf>
    <xf numFmtId="0" fontId="12" fillId="2" borderId="0" xfId="0" applyFont="1" applyFill="1"/>
    <xf numFmtId="164" fontId="6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Border="1" applyAlignment="1">
      <alignment horizontal="centerContinuous" vertical="center"/>
    </xf>
    <xf numFmtId="0" fontId="3" fillId="2" borderId="0" xfId="0" applyFont="1" applyFill="1" applyBorder="1"/>
    <xf numFmtId="0" fontId="5" fillId="2" borderId="0" xfId="0" applyFont="1" applyFill="1" applyBorder="1" applyAlignment="1">
      <alignment horizontal="right" vertical="center" indent="1"/>
    </xf>
    <xf numFmtId="164" fontId="3" fillId="2" borderId="0" xfId="0" applyNumberFormat="1" applyFont="1" applyFill="1" applyBorder="1" applyAlignment="1">
      <alignment horizontal="right" vertical="center" indent="1"/>
    </xf>
    <xf numFmtId="165" fontId="8" fillId="2" borderId="0" xfId="1" applyNumberFormat="1" applyFont="1" applyFill="1" applyBorder="1" applyAlignment="1">
      <alignment vertical="center"/>
    </xf>
    <xf numFmtId="0" fontId="13" fillId="2" borderId="8" xfId="0" applyFont="1" applyFill="1" applyBorder="1"/>
    <xf numFmtId="0" fontId="3" fillId="2" borderId="8" xfId="0" applyFont="1" applyFill="1" applyBorder="1"/>
    <xf numFmtId="165" fontId="3" fillId="2" borderId="8" xfId="1" applyNumberFormat="1" applyFont="1" applyFill="1" applyBorder="1"/>
    <xf numFmtId="0" fontId="10" fillId="2" borderId="0" xfId="0" applyFont="1" applyFill="1" applyBorder="1"/>
    <xf numFmtId="4" fontId="11" fillId="2" borderId="0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2" fillId="2" borderId="0" xfId="0" applyFont="1" applyFill="1" applyBorder="1" applyAlignment="1">
      <alignment horizontal="left" vertical="center" indent="1"/>
    </xf>
    <xf numFmtId="165" fontId="3" fillId="2" borderId="0" xfId="1" applyNumberFormat="1" applyFont="1" applyFill="1" applyAlignment="1">
      <alignment horizontal="right" vertical="center" indent="1"/>
    </xf>
    <xf numFmtId="165" fontId="2" fillId="2" borderId="0" xfId="1" applyNumberFormat="1" applyFont="1" applyFill="1" applyBorder="1" applyAlignment="1">
      <alignment horizontal="right" vertical="center" indent="1"/>
    </xf>
    <xf numFmtId="165" fontId="6" fillId="2" borderId="0" xfId="1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centerContinuous" vertical="center"/>
    </xf>
    <xf numFmtId="165" fontId="3" fillId="2" borderId="0" xfId="1" applyNumberFormat="1" applyFont="1" applyFill="1" applyBorder="1" applyAlignment="1">
      <alignment horizontal="right" vertical="center" indent="1"/>
    </xf>
    <xf numFmtId="165" fontId="8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left" vertical="center" indent="1"/>
    </xf>
    <xf numFmtId="0" fontId="8" fillId="2" borderId="0" xfId="0" applyFont="1" applyFill="1" applyBorder="1"/>
    <xf numFmtId="0" fontId="2" fillId="2" borderId="0" xfId="0" applyFont="1" applyFill="1" applyBorder="1" applyAlignment="1">
      <alignment horizontal="left" vertical="center" indent="3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3678B"/>
      <color rgb="FFE00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Y142"/>
  <sheetViews>
    <sheetView tabSelected="1" zoomScale="87" zoomScaleNormal="87" workbookViewId="0">
      <selection activeCell="C7" sqref="C7"/>
    </sheetView>
  </sheetViews>
  <sheetFormatPr baseColWidth="10" defaultColWidth="11.42578125" defaultRowHeight="15" x14ac:dyDescent="0.25"/>
  <cols>
    <col min="1" max="1" width="7.5703125" style="1" customWidth="1"/>
    <col min="2" max="2" width="8" style="1" customWidth="1"/>
    <col min="3" max="3" width="11.42578125" style="1"/>
    <col min="4" max="4" width="47.42578125" style="1" customWidth="1"/>
    <col min="5" max="5" width="1" style="1" customWidth="1"/>
    <col min="6" max="7" width="11.42578125" style="1"/>
    <col min="8" max="8" width="11.28515625" style="1" customWidth="1"/>
    <col min="9" max="10" width="1" style="1" customWidth="1"/>
    <col min="11" max="13" width="11.42578125" style="1"/>
    <col min="14" max="14" width="11.28515625" style="1" customWidth="1"/>
    <col min="15" max="15" width="11.42578125" style="1"/>
    <col min="16" max="16" width="11.28515625" style="1" customWidth="1"/>
    <col min="17" max="18" width="11.42578125" style="1"/>
    <col min="19" max="19" width="2" style="1" customWidth="1"/>
    <col min="20" max="20" width="47.140625" style="1" customWidth="1"/>
    <col min="21" max="21" width="1" style="1" customWidth="1"/>
    <col min="22" max="24" width="11.42578125" style="1"/>
    <col min="25" max="26" width="1" style="1" customWidth="1"/>
    <col min="27" max="34" width="11.42578125" style="1"/>
    <col min="35" max="35" width="2" style="1" customWidth="1"/>
    <col min="36" max="36" width="47.140625" style="1" customWidth="1"/>
    <col min="37" max="37" width="0.7109375" style="1" customWidth="1"/>
    <col min="38" max="40" width="11.42578125" style="1"/>
    <col min="41" max="42" width="1" style="1" customWidth="1"/>
    <col min="43" max="50" width="11.42578125" style="1"/>
    <col min="51" max="51" width="2" style="1" customWidth="1"/>
    <col min="52" max="16384" width="11.42578125" style="1"/>
  </cols>
  <sheetData>
    <row r="1" spans="1:48" x14ac:dyDescent="0.25">
      <c r="A1" s="5" t="s">
        <v>2</v>
      </c>
      <c r="B1" s="12" t="s">
        <v>1</v>
      </c>
      <c r="D1" s="5"/>
    </row>
    <row r="2" spans="1:48" ht="15.75" thickBot="1" x14ac:dyDescent="0.3">
      <c r="A2" s="5" t="s">
        <v>4</v>
      </c>
      <c r="B2" s="13" t="s">
        <v>3</v>
      </c>
      <c r="D2" s="5"/>
    </row>
    <row r="3" spans="1:48" ht="18" thickBot="1" x14ac:dyDescent="0.35">
      <c r="A3" s="14" t="s">
        <v>0</v>
      </c>
      <c r="B3" s="3" t="s">
        <v>3</v>
      </c>
      <c r="D3" s="42" t="str">
        <f>+IF($B$3="esp","GRUPO","GROUP")</f>
        <v>GROUP</v>
      </c>
      <c r="E3" s="43"/>
      <c r="F3" s="43"/>
      <c r="G3" s="44"/>
      <c r="H3" s="43"/>
      <c r="I3" s="43"/>
      <c r="J3" s="38"/>
      <c r="L3" s="43"/>
      <c r="M3" s="44"/>
      <c r="N3" s="43"/>
      <c r="T3" s="42" t="str">
        <f>+IF($B$3="esp","EDUCACIÓN","EDUCATION")</f>
        <v>EDUCATION</v>
      </c>
      <c r="U3" s="43"/>
      <c r="V3" s="43"/>
      <c r="W3" s="44"/>
      <c r="X3" s="43"/>
      <c r="Y3" s="43"/>
      <c r="Z3" s="38"/>
      <c r="AB3" s="43"/>
      <c r="AC3" s="44"/>
      <c r="AD3" s="43"/>
      <c r="AJ3" s="42" t="s">
        <v>7</v>
      </c>
      <c r="AK3" s="43"/>
      <c r="AL3" s="43"/>
      <c r="AM3" s="44"/>
      <c r="AN3" s="43"/>
      <c r="AO3" s="43"/>
      <c r="AP3" s="38"/>
      <c r="AR3" s="43"/>
      <c r="AS3" s="44"/>
      <c r="AT3" s="43"/>
    </row>
    <row r="6" spans="1:48" ht="15" customHeight="1" x14ac:dyDescent="0.25">
      <c r="D6" s="2"/>
      <c r="E6" s="2"/>
      <c r="F6" s="6" t="str">
        <f>+IF($B$3="esp","ENERO - JUNIO","JANUARY - JUNE")</f>
        <v>JANUARY - JUNE</v>
      </c>
      <c r="G6" s="7"/>
      <c r="H6" s="7"/>
      <c r="I6" s="2"/>
      <c r="J6" s="2"/>
      <c r="K6" s="52"/>
      <c r="L6" s="62" t="str">
        <f>+IF($B$3="esp","ABRIL - JUNIO","APRIL - JUNE")</f>
        <v>APRIL - JUNE</v>
      </c>
      <c r="M6" s="62"/>
      <c r="N6" s="62"/>
      <c r="O6" s="37"/>
      <c r="P6" s="37"/>
      <c r="T6" s="2"/>
      <c r="U6" s="2"/>
      <c r="V6" s="6" t="str">
        <f>+F6</f>
        <v>JANUARY - JUNE</v>
      </c>
      <c r="W6" s="7"/>
      <c r="X6" s="7"/>
      <c r="Y6" s="2"/>
      <c r="Z6" s="2"/>
      <c r="AA6" s="52"/>
      <c r="AB6" s="62" t="str">
        <f>+L6</f>
        <v>APRIL - JUNE</v>
      </c>
      <c r="AC6" s="62"/>
      <c r="AD6" s="62"/>
      <c r="AE6" s="37"/>
      <c r="AF6" s="37"/>
      <c r="AJ6" s="2"/>
      <c r="AK6" s="2"/>
      <c r="AL6" s="6" t="str">
        <f>+V6</f>
        <v>JANUARY - JUNE</v>
      </c>
      <c r="AM6" s="7"/>
      <c r="AN6" s="7"/>
      <c r="AO6" s="2"/>
      <c r="AP6" s="2"/>
      <c r="AQ6" s="52"/>
      <c r="AR6" s="62" t="str">
        <f>+AB6</f>
        <v>APRIL - JUNE</v>
      </c>
      <c r="AS6" s="62"/>
      <c r="AT6" s="62"/>
      <c r="AU6" s="37"/>
      <c r="AV6" s="37"/>
    </row>
    <row r="7" spans="1:48" x14ac:dyDescent="0.25">
      <c r="D7" s="2"/>
      <c r="E7" s="2"/>
      <c r="F7" s="2"/>
      <c r="G7" s="2"/>
      <c r="H7" s="2"/>
      <c r="I7" s="2"/>
      <c r="J7" s="2"/>
      <c r="K7" s="38"/>
      <c r="L7" s="2"/>
      <c r="M7" s="2"/>
      <c r="N7" s="2"/>
      <c r="O7" s="38"/>
      <c r="P7" s="38"/>
      <c r="T7" s="2"/>
      <c r="U7" s="2"/>
      <c r="V7" s="2"/>
      <c r="W7" s="2"/>
      <c r="X7" s="2"/>
      <c r="Y7" s="2"/>
      <c r="Z7" s="2"/>
      <c r="AA7" s="38"/>
      <c r="AB7" s="2"/>
      <c r="AC7" s="2"/>
      <c r="AD7" s="2"/>
      <c r="AE7" s="38"/>
      <c r="AF7" s="38"/>
      <c r="AJ7" s="2"/>
      <c r="AK7" s="2"/>
      <c r="AL7" s="2"/>
      <c r="AM7" s="2"/>
      <c r="AN7" s="2"/>
      <c r="AO7" s="2"/>
      <c r="AP7" s="2"/>
      <c r="AQ7" s="38"/>
      <c r="AR7" s="2"/>
      <c r="AS7" s="2"/>
      <c r="AT7" s="2"/>
      <c r="AU7" s="38"/>
      <c r="AV7" s="38"/>
    </row>
    <row r="8" spans="1:48" x14ac:dyDescent="0.25">
      <c r="D8" s="4" t="str">
        <f>+IF($B$3="esp","Millones de €","€ Millions")</f>
        <v>€ Millions</v>
      </c>
      <c r="E8" s="2"/>
      <c r="F8" s="8">
        <v>2022</v>
      </c>
      <c r="G8" s="8">
        <v>2021</v>
      </c>
      <c r="H8" s="8" t="str">
        <f>+IF($B$3="esp","Var.","Chg.")</f>
        <v>Chg.</v>
      </c>
      <c r="I8" s="2"/>
      <c r="J8" s="2"/>
      <c r="K8" s="39"/>
      <c r="L8" s="8">
        <v>2022</v>
      </c>
      <c r="M8" s="8">
        <v>2021</v>
      </c>
      <c r="N8" s="8" t="str">
        <f>+IF($B$3="esp","Var.","Chg.")</f>
        <v>Chg.</v>
      </c>
      <c r="O8" s="39"/>
      <c r="P8" s="39"/>
      <c r="T8" s="4" t="str">
        <f>+IF($B$3="esp","Millones de €","€ Millions")</f>
        <v>€ Millions</v>
      </c>
      <c r="U8" s="2"/>
      <c r="V8" s="8">
        <v>2022</v>
      </c>
      <c r="W8" s="8">
        <v>2021</v>
      </c>
      <c r="X8" s="8" t="str">
        <f>+IF($B$3="esp","Var.","Chg.")</f>
        <v>Chg.</v>
      </c>
      <c r="Y8" s="2"/>
      <c r="Z8" s="2"/>
      <c r="AA8" s="39"/>
      <c r="AB8" s="8">
        <v>2022</v>
      </c>
      <c r="AC8" s="8">
        <v>2021</v>
      </c>
      <c r="AD8" s="8" t="str">
        <f>+IF($B$3="esp","Var.","Chg.")</f>
        <v>Chg.</v>
      </c>
      <c r="AE8" s="39"/>
      <c r="AF8" s="39"/>
      <c r="AJ8" s="4" t="str">
        <f>+IF($B$3="esp","Millones de €","€ Millions")</f>
        <v>€ Millions</v>
      </c>
      <c r="AK8" s="2"/>
      <c r="AL8" s="8">
        <v>2022</v>
      </c>
      <c r="AM8" s="8">
        <v>2021</v>
      </c>
      <c r="AN8" s="8" t="str">
        <f>+IF($B$3="esp","Var.","Chg.")</f>
        <v>Chg.</v>
      </c>
      <c r="AO8" s="2"/>
      <c r="AP8" s="2"/>
      <c r="AQ8" s="39"/>
      <c r="AR8" s="8">
        <v>2022</v>
      </c>
      <c r="AS8" s="8">
        <v>2021</v>
      </c>
      <c r="AT8" s="8" t="str">
        <f>+IF($B$3="esp","Var.","Chg.")</f>
        <v>Chg.</v>
      </c>
      <c r="AU8" s="39"/>
      <c r="AV8" s="39"/>
    </row>
    <row r="9" spans="1:48" ht="16.5" x14ac:dyDescent="0.3">
      <c r="D9" s="10" t="str">
        <f>+IF($B$3="esp","Resultados Reportados","Reported Results")</f>
        <v>Reported Results</v>
      </c>
      <c r="F9" s="11"/>
      <c r="G9" s="11"/>
      <c r="H9" s="11"/>
      <c r="K9" s="30"/>
      <c r="L9" s="11"/>
      <c r="M9" s="11"/>
      <c r="N9" s="11"/>
      <c r="O9" s="30"/>
      <c r="P9" s="30"/>
      <c r="T9" s="10" t="str">
        <f>+IF($B$3="esp","Resultados Reportados","Reported Results")</f>
        <v>Reported Results</v>
      </c>
      <c r="V9" s="11"/>
      <c r="W9" s="11"/>
      <c r="X9" s="11"/>
      <c r="AA9" s="30"/>
      <c r="AB9" s="11"/>
      <c r="AC9" s="11"/>
      <c r="AD9" s="11"/>
      <c r="AE9" s="30"/>
      <c r="AF9" s="30"/>
      <c r="AJ9" s="10" t="str">
        <f>+IF($B$3="esp","Resultados Reportados","Reported Results")</f>
        <v>Reported Results</v>
      </c>
      <c r="AL9" s="11"/>
      <c r="AM9" s="11"/>
      <c r="AN9" s="11"/>
      <c r="AQ9" s="30"/>
      <c r="AR9" s="11"/>
      <c r="AS9" s="11"/>
      <c r="AT9" s="11"/>
      <c r="AU9" s="30"/>
      <c r="AV9" s="30"/>
    </row>
    <row r="10" spans="1:48" s="9" customFormat="1" ht="17.25" customHeight="1" x14ac:dyDescent="0.3">
      <c r="D10" s="20" t="str">
        <f>+IF($B$3="esp","Ingresos de Explotación","Operating Revenues")</f>
        <v>Operating Revenues</v>
      </c>
      <c r="F10" s="16">
        <v>388.17126037683295</v>
      </c>
      <c r="G10" s="23">
        <v>306.214990084058</v>
      </c>
      <c r="H10" s="27">
        <v>0.26764290758684744</v>
      </c>
      <c r="K10" s="36"/>
      <c r="L10" s="16">
        <v>177.58390203643773</v>
      </c>
      <c r="M10" s="23">
        <v>147.69840863559327</v>
      </c>
      <c r="N10" s="27">
        <v>0.20234133649048996</v>
      </c>
      <c r="O10" s="36"/>
      <c r="P10" s="51"/>
      <c r="T10" s="20" t="str">
        <f>+IF($B$3="esp","Ingresos de Explotación","Operating Revenues")</f>
        <v>Operating Revenues</v>
      </c>
      <c r="V10" s="16">
        <v>202.50990061409487</v>
      </c>
      <c r="W10" s="23">
        <v>131.73807410550592</v>
      </c>
      <c r="X10" s="27">
        <v>0.5372161919712708</v>
      </c>
      <c r="AA10" s="36"/>
      <c r="AB10" s="16">
        <v>74.142838710660698</v>
      </c>
      <c r="AC10" s="23">
        <v>49.76480190289135</v>
      </c>
      <c r="AD10" s="27">
        <v>0.48986504267292136</v>
      </c>
      <c r="AE10" s="36"/>
      <c r="AF10" s="51"/>
      <c r="AJ10" s="20" t="str">
        <f>+IF($B$3="esp","Ingresos de Explotación","Operating Revenues")</f>
        <v>Operating Revenues</v>
      </c>
      <c r="AL10" s="16">
        <v>186.23409546764927</v>
      </c>
      <c r="AM10" s="23">
        <v>175.15462103967022</v>
      </c>
      <c r="AN10" s="27">
        <v>6.325539321894165E-2</v>
      </c>
      <c r="AQ10" s="36"/>
      <c r="AR10" s="16">
        <v>103.69248544564431</v>
      </c>
      <c r="AS10" s="23">
        <v>98.159916884460756</v>
      </c>
      <c r="AT10" s="27">
        <v>5.6362808127635937E-2</v>
      </c>
      <c r="AU10" s="36"/>
      <c r="AV10" s="51"/>
    </row>
    <row r="11" spans="1:48" ht="17.25" customHeight="1" x14ac:dyDescent="0.25">
      <c r="D11" s="19" t="str">
        <f>+IF($B$3="esp","España","Spain")</f>
        <v>Spain</v>
      </c>
      <c r="F11" s="17">
        <v>151.57465070999976</v>
      </c>
      <c r="G11" s="24">
        <v>149.99664545000005</v>
      </c>
      <c r="H11" s="28">
        <v>1.0520270338483847E-2</v>
      </c>
      <c r="K11" s="31"/>
      <c r="L11" s="17">
        <v>84.244752169999828</v>
      </c>
      <c r="M11" s="24">
        <v>84.78295804000004</v>
      </c>
      <c r="N11" s="28">
        <v>-6.3480430789674726E-3</v>
      </c>
      <c r="O11" s="31"/>
      <c r="P11" s="50"/>
      <c r="T11" s="19" t="str">
        <f>+IF($B$3="esp","Privado","Private")</f>
        <v>Private</v>
      </c>
      <c r="V11" s="17">
        <v>156.81771080983111</v>
      </c>
      <c r="W11" s="24">
        <v>103.40481110670034</v>
      </c>
      <c r="X11" s="28">
        <v>0.51654172694165656</v>
      </c>
      <c r="AA11" s="31"/>
      <c r="AB11" s="17">
        <v>43.776823192769214</v>
      </c>
      <c r="AC11" s="24">
        <v>28.883431671808623</v>
      </c>
      <c r="AD11" s="28">
        <v>0.51563788161283941</v>
      </c>
      <c r="AE11" s="31"/>
      <c r="AF11" s="50"/>
      <c r="AJ11" s="19" t="str">
        <f>+IF($B$3="esp","Publicidad Neta","Net Advertising")</f>
        <v>Net Advertising</v>
      </c>
      <c r="AL11" s="17">
        <v>141.60793766496161</v>
      </c>
      <c r="AM11" s="24">
        <v>132.95843766354579</v>
      </c>
      <c r="AN11" s="28">
        <v>6.5054163943348703E-2</v>
      </c>
      <c r="AQ11" s="31"/>
      <c r="AR11" s="17">
        <v>79.385492178727446</v>
      </c>
      <c r="AS11" s="24">
        <v>76.842194568198394</v>
      </c>
      <c r="AT11" s="28">
        <v>3.3097670164428272E-2</v>
      </c>
      <c r="AU11" s="31"/>
      <c r="AV11" s="50"/>
    </row>
    <row r="12" spans="1:48" ht="17.25" customHeight="1" x14ac:dyDescent="0.25">
      <c r="D12" s="19" t="str">
        <f>+IF($B$3="esp","Internacional","International")</f>
        <v>International</v>
      </c>
      <c r="F12" s="17">
        <v>236.59660966683319</v>
      </c>
      <c r="G12" s="24">
        <v>156.21834463405796</v>
      </c>
      <c r="H12" s="28">
        <v>0.51452513609116535</v>
      </c>
      <c r="K12" s="31"/>
      <c r="L12" s="17">
        <v>93.339149866437907</v>
      </c>
      <c r="M12" s="24">
        <v>62.915450595593228</v>
      </c>
      <c r="N12" s="28">
        <v>0.4835648315769297</v>
      </c>
      <c r="O12" s="31"/>
      <c r="P12" s="50"/>
      <c r="T12" s="19" t="str">
        <f>+IF($B$3="esp","Público","Public")</f>
        <v>Public</v>
      </c>
      <c r="U12" s="2"/>
      <c r="V12" s="17">
        <v>45.692447923646171</v>
      </c>
      <c r="W12" s="24">
        <v>28.333205989717687</v>
      </c>
      <c r="X12" s="28">
        <v>0.61268188076662666</v>
      </c>
      <c r="AA12" s="31"/>
      <c r="AB12" s="17">
        <v>30.372692449952389</v>
      </c>
      <c r="AC12" s="24">
        <v>20.846962516152374</v>
      </c>
      <c r="AD12" s="28">
        <v>0.45693610886571184</v>
      </c>
      <c r="AE12" s="31"/>
      <c r="AF12" s="50"/>
      <c r="AJ12" s="19" t="str">
        <f>+IF($B$3="esp","Circulación","Circulation")</f>
        <v>Circulation</v>
      </c>
      <c r="AK12" s="2"/>
      <c r="AL12" s="17">
        <v>26.646748709999997</v>
      </c>
      <c r="AM12" s="24">
        <v>25.809010700000002</v>
      </c>
      <c r="AN12" s="28">
        <v>3.245912909013577E-2</v>
      </c>
      <c r="AQ12" s="31"/>
      <c r="AR12" s="17">
        <v>13.408009169999994</v>
      </c>
      <c r="AS12" s="24">
        <v>12.965401610000002</v>
      </c>
      <c r="AT12" s="28">
        <v>3.4137589664682347E-2</v>
      </c>
      <c r="AU12" s="31"/>
      <c r="AV12" s="50"/>
    </row>
    <row r="13" spans="1:48" s="2" customFormat="1" ht="17.25" customHeight="1" x14ac:dyDescent="0.3">
      <c r="D13" s="20" t="str">
        <f>+IF($B$3="esp","Gastos de Explotación Contables","Reported Expenses")</f>
        <v>Reported Expenses</v>
      </c>
      <c r="E13" s="9"/>
      <c r="F13" s="16">
        <v>343.44158863944955</v>
      </c>
      <c r="G13" s="23">
        <v>303.48870310825362</v>
      </c>
      <c r="H13" s="27">
        <v>0.13164537962042311</v>
      </c>
      <c r="I13" s="9"/>
      <c r="J13" s="9"/>
      <c r="K13" s="36"/>
      <c r="L13" s="16">
        <v>174.14441446625088</v>
      </c>
      <c r="M13" s="23">
        <v>157.27823573462911</v>
      </c>
      <c r="N13" s="27">
        <v>0.10723784287661756</v>
      </c>
      <c r="O13" s="36"/>
      <c r="P13" s="51"/>
      <c r="T13" s="20" t="str">
        <f>+IF($B$3="esp","Gastos de Explotación Contables","Reported Expenses")</f>
        <v>Reported Expenses</v>
      </c>
      <c r="U13" s="9"/>
      <c r="V13" s="16">
        <v>165.86461878188837</v>
      </c>
      <c r="W13" s="23">
        <v>118.81753547321107</v>
      </c>
      <c r="X13" s="27">
        <v>0.39596077398259677</v>
      </c>
      <c r="AA13" s="36"/>
      <c r="AB13" s="16">
        <v>82.045790585708019</v>
      </c>
      <c r="AC13" s="23">
        <v>60.08327325645984</v>
      </c>
      <c r="AD13" s="27">
        <v>0.36553463449807777</v>
      </c>
      <c r="AE13" s="36"/>
      <c r="AF13" s="51"/>
      <c r="AJ13" s="18" t="str">
        <f>+IF($B$3="esp","Papel","Offline")</f>
        <v>Offline</v>
      </c>
      <c r="AK13" s="9"/>
      <c r="AL13" s="17">
        <v>20.129597024231476</v>
      </c>
      <c r="AM13" s="24">
        <v>20.894296170000001</v>
      </c>
      <c r="AN13" s="28">
        <v>-3.6598463980159257E-2</v>
      </c>
      <c r="AO13" s="1"/>
      <c r="AP13" s="1"/>
      <c r="AQ13" s="31"/>
      <c r="AR13" s="17">
        <v>10.016205039999994</v>
      </c>
      <c r="AS13" s="24">
        <v>10.386460540000002</v>
      </c>
      <c r="AT13" s="28">
        <v>-3.5647899356483548E-2</v>
      </c>
      <c r="AU13" s="36"/>
      <c r="AV13" s="51"/>
    </row>
    <row r="14" spans="1:48" s="2" customFormat="1" ht="17.25" customHeight="1" x14ac:dyDescent="0.25">
      <c r="D14" s="19" t="str">
        <f>+IF($B$3="esp","España","Spain")</f>
        <v>Spain</v>
      </c>
      <c r="E14" s="1"/>
      <c r="F14" s="17">
        <v>154.5132988600007</v>
      </c>
      <c r="G14" s="24">
        <v>171.68382472000062</v>
      </c>
      <c r="H14" s="28">
        <v>-0.1000124845075146</v>
      </c>
      <c r="I14" s="1"/>
      <c r="J14" s="1"/>
      <c r="K14" s="31"/>
      <c r="L14" s="17">
        <v>78.129970880000741</v>
      </c>
      <c r="M14" s="24">
        <v>89.426199130000398</v>
      </c>
      <c r="N14" s="28">
        <v>-0.12631900225993209</v>
      </c>
      <c r="O14" s="31"/>
      <c r="P14" s="50"/>
      <c r="T14" s="19" t="str">
        <f>+IF($B$3="esp","Privado","Private")</f>
        <v>Private</v>
      </c>
      <c r="U14" s="1"/>
      <c r="V14" s="17">
        <v>125.07924538360264</v>
      </c>
      <c r="W14" s="24">
        <v>93.418475449158791</v>
      </c>
      <c r="X14" s="28">
        <v>0.33891336571505726</v>
      </c>
      <c r="AA14" s="31"/>
      <c r="AB14" s="17">
        <v>55.648182456243305</v>
      </c>
      <c r="AC14" s="24">
        <v>44.680783137378214</v>
      </c>
      <c r="AD14" s="28">
        <v>0.24546121506295152</v>
      </c>
      <c r="AE14" s="31"/>
      <c r="AF14" s="50"/>
      <c r="AJ14" s="18" t="str">
        <f>+IF($B$3="esp","Digital","Online")</f>
        <v>Online</v>
      </c>
      <c r="AK14" s="1"/>
      <c r="AL14" s="17">
        <v>6.5171516857685203</v>
      </c>
      <c r="AM14" s="24">
        <v>4.9147145300000004</v>
      </c>
      <c r="AN14" s="28">
        <v>0.32604887750591688</v>
      </c>
      <c r="AO14" s="1"/>
      <c r="AP14" s="1"/>
      <c r="AQ14" s="30"/>
      <c r="AR14" s="17">
        <v>3.3918041300000001</v>
      </c>
      <c r="AS14" s="24">
        <v>2.5789410700000004</v>
      </c>
      <c r="AT14" s="28">
        <v>0.31519256855295247</v>
      </c>
      <c r="AU14" s="31"/>
      <c r="AV14" s="50"/>
    </row>
    <row r="15" spans="1:48" s="9" customFormat="1" ht="17.25" customHeight="1" x14ac:dyDescent="0.3">
      <c r="D15" s="19" t="str">
        <f>+IF($B$3="esp","Internacional","International")</f>
        <v>International</v>
      </c>
      <c r="E15" s="1"/>
      <c r="F15" s="17">
        <v>188.92828977944882</v>
      </c>
      <c r="G15" s="24">
        <v>131.804878388253</v>
      </c>
      <c r="H15" s="28">
        <v>0.4333937566630075</v>
      </c>
      <c r="I15" s="1"/>
      <c r="J15" s="1"/>
      <c r="K15" s="31"/>
      <c r="L15" s="17">
        <v>96.014443586250138</v>
      </c>
      <c r="M15" s="24">
        <v>67.852036604628694</v>
      </c>
      <c r="N15" s="28">
        <v>0.41505617798508759</v>
      </c>
      <c r="O15" s="31"/>
      <c r="P15" s="50"/>
      <c r="T15" s="19" t="str">
        <f>+IF($B$3="esp","Público","Public")</f>
        <v>Public</v>
      </c>
      <c r="U15" s="1"/>
      <c r="V15" s="17">
        <v>40.791247881155243</v>
      </c>
      <c r="W15" s="24">
        <v>25.455269651897698</v>
      </c>
      <c r="X15" s="28">
        <v>0.60246771843229108</v>
      </c>
      <c r="AA15" s="31"/>
      <c r="AB15" s="17">
        <v>26.444179930284509</v>
      </c>
      <c r="AC15" s="24">
        <v>15.460729610840271</v>
      </c>
      <c r="AD15" s="28">
        <v>0.71040957289255002</v>
      </c>
      <c r="AE15" s="31"/>
      <c r="AF15" s="50"/>
      <c r="AJ15" s="19" t="str">
        <f>+IF($B$3="esp","Otros","Others")</f>
        <v>Others</v>
      </c>
      <c r="AK15" s="1"/>
      <c r="AL15" s="17">
        <v>17.979409092687661</v>
      </c>
      <c r="AM15" s="24">
        <v>16.387172676124422</v>
      </c>
      <c r="AN15" s="28">
        <v>9.7163583250884727E-2</v>
      </c>
      <c r="AO15" s="1"/>
      <c r="AP15" s="1"/>
      <c r="AQ15" s="30"/>
      <c r="AR15" s="17">
        <v>10.898984096916875</v>
      </c>
      <c r="AS15" s="24">
        <v>8.3523207062623595</v>
      </c>
      <c r="AT15" s="28">
        <v>0.30490488574571756</v>
      </c>
      <c r="AU15" s="31"/>
      <c r="AV15" s="50"/>
    </row>
    <row r="16" spans="1:48" ht="17.25" customHeight="1" x14ac:dyDescent="0.3">
      <c r="D16" s="20" t="str">
        <f>+IF($B$3="esp","EBITDA Contable","Reported EBITDA")</f>
        <v>Reported EBITDA</v>
      </c>
      <c r="E16" s="9"/>
      <c r="F16" s="16">
        <v>44.729671737383413</v>
      </c>
      <c r="G16" s="23">
        <v>2.7262869758044044</v>
      </c>
      <c r="H16" s="27" t="s">
        <v>10</v>
      </c>
      <c r="K16" s="30"/>
      <c r="L16" s="16">
        <v>3.4394875701868557</v>
      </c>
      <c r="M16" s="23">
        <v>-9.5798270990358318</v>
      </c>
      <c r="N16" s="27" t="s">
        <v>10</v>
      </c>
      <c r="O16" s="30"/>
      <c r="P16" s="30"/>
      <c r="T16" s="20" t="str">
        <f>+IF($B$3="esp","EBITDA Contable","Reported EBITDA")</f>
        <v>Reported EBITDA</v>
      </c>
      <c r="U16" s="9"/>
      <c r="V16" s="16">
        <v>36.6452818322065</v>
      </c>
      <c r="W16" s="23">
        <v>12.920538632294845</v>
      </c>
      <c r="X16" s="27">
        <v>1.8362038824458711</v>
      </c>
      <c r="AA16" s="30"/>
      <c r="AB16" s="16">
        <v>-7.9029518750473216</v>
      </c>
      <c r="AC16" s="23">
        <v>-10.318471353568489</v>
      </c>
      <c r="AD16" s="27">
        <v>0.23409664045690218</v>
      </c>
      <c r="AE16" s="30"/>
      <c r="AF16" s="30"/>
      <c r="AJ16" s="20" t="str">
        <f>+IF($B$3="esp","Gastos de Explotación Contables","Reported Expenses")</f>
        <v>Reported Expenses</v>
      </c>
      <c r="AL16" s="16">
        <v>174.83734050247176</v>
      </c>
      <c r="AM16" s="23">
        <v>176.37842699616047</v>
      </c>
      <c r="AN16" s="27">
        <v>-8.7373865383336066E-3</v>
      </c>
      <c r="AO16" s="2"/>
      <c r="AP16" s="2"/>
      <c r="AQ16" s="40"/>
      <c r="AR16" s="16">
        <v>90.469463380409621</v>
      </c>
      <c r="AS16" s="23">
        <v>91.908568759928102</v>
      </c>
      <c r="AT16" s="27">
        <v>-1.5658010987827792E-2</v>
      </c>
      <c r="AU16" s="30"/>
      <c r="AV16" s="30"/>
    </row>
    <row r="17" spans="4:48" ht="17.25" customHeight="1" x14ac:dyDescent="0.25">
      <c r="D17" s="19" t="str">
        <f>+IF($B$3="esp","España","Spain")</f>
        <v>Spain</v>
      </c>
      <c r="F17" s="17">
        <v>-2.938648150000958</v>
      </c>
      <c r="G17" s="24">
        <v>-21.687179270000563</v>
      </c>
      <c r="H17" s="28">
        <v>0.86449836959359994</v>
      </c>
      <c r="K17" s="30"/>
      <c r="L17" s="17">
        <v>6.1147812899990797</v>
      </c>
      <c r="M17" s="24">
        <v>-4.6432410900003589</v>
      </c>
      <c r="N17" s="28" t="s">
        <v>10</v>
      </c>
      <c r="O17" s="30"/>
      <c r="P17" s="30"/>
      <c r="T17" s="19" t="str">
        <f>+IF($B$3="esp","Privado","Private")</f>
        <v>Private</v>
      </c>
      <c r="V17" s="17">
        <v>31.738465426228469</v>
      </c>
      <c r="W17" s="24">
        <v>9.9863356575415523</v>
      </c>
      <c r="X17" s="28">
        <v>2.1781893293622661</v>
      </c>
      <c r="AA17" s="30"/>
      <c r="AB17" s="17">
        <v>-11.871359263474094</v>
      </c>
      <c r="AC17" s="24">
        <v>-15.797351465569591</v>
      </c>
      <c r="AD17" s="28">
        <v>0.24852217858494932</v>
      </c>
      <c r="AE17" s="30"/>
      <c r="AF17" s="30"/>
      <c r="AJ17" s="19" t="s">
        <v>8</v>
      </c>
      <c r="AL17" s="17">
        <v>31.971735335234285</v>
      </c>
      <c r="AM17" s="24">
        <v>27.681018329639908</v>
      </c>
      <c r="AN17" s="28">
        <v>0.15500574995104213</v>
      </c>
      <c r="AO17" s="2"/>
      <c r="AP17" s="2"/>
      <c r="AQ17" s="40"/>
      <c r="AR17" s="17">
        <v>18.7</v>
      </c>
      <c r="AS17" s="24">
        <v>15.7</v>
      </c>
      <c r="AT17" s="28">
        <v>0.191</v>
      </c>
      <c r="AU17" s="30"/>
      <c r="AV17" s="30"/>
    </row>
    <row r="18" spans="4:48" ht="17.25" customHeight="1" x14ac:dyDescent="0.3">
      <c r="D18" s="19" t="str">
        <f>+IF($B$3="esp","Internacional","International")</f>
        <v>International</v>
      </c>
      <c r="F18" s="17">
        <v>47.668319887384371</v>
      </c>
      <c r="G18" s="24">
        <v>24.413466245804965</v>
      </c>
      <c r="H18" s="28">
        <v>0.95254206868618474</v>
      </c>
      <c r="K18" s="40"/>
      <c r="L18" s="17">
        <v>-2.675293719812224</v>
      </c>
      <c r="M18" s="24">
        <v>-4.936586009035473</v>
      </c>
      <c r="N18" s="28">
        <v>0.45806804238483589</v>
      </c>
      <c r="O18" s="40"/>
      <c r="P18" s="53"/>
      <c r="T18" s="19" t="str">
        <f>+IF($B$3="esp","Público","Public")</f>
        <v>Public</v>
      </c>
      <c r="V18" s="17">
        <v>4.9012000424909239</v>
      </c>
      <c r="W18" s="24">
        <v>2.8779363378199885</v>
      </c>
      <c r="X18" s="28">
        <v>0.70302587242202164</v>
      </c>
      <c r="AA18" s="40"/>
      <c r="AB18" s="17">
        <v>3.928512519667879</v>
      </c>
      <c r="AC18" s="24">
        <v>5.3862329053121023</v>
      </c>
      <c r="AD18" s="28">
        <v>-0.27063820136826344</v>
      </c>
      <c r="AE18" s="40"/>
      <c r="AF18" s="53"/>
      <c r="AJ18" s="19" t="s">
        <v>9</v>
      </c>
      <c r="AL18" s="17">
        <v>142.86560516723728</v>
      </c>
      <c r="AM18" s="24">
        <v>148.69740866652035</v>
      </c>
      <c r="AN18" s="28">
        <v>-3.9219267851277065E-2</v>
      </c>
      <c r="AO18" s="9"/>
      <c r="AP18" s="9"/>
      <c r="AQ18" s="36"/>
      <c r="AR18" s="17">
        <v>71.8</v>
      </c>
      <c r="AS18" s="24">
        <v>76.2</v>
      </c>
      <c r="AT18" s="28">
        <v>-5.8000000000000003E-2</v>
      </c>
      <c r="AU18" s="40"/>
      <c r="AV18" s="53"/>
    </row>
    <row r="19" spans="4:48" ht="17.25" customHeight="1" x14ac:dyDescent="0.25">
      <c r="D19" s="21" t="str">
        <f>+IF($B$3="esp","Margen EBITDA ","EBITDA Margin")</f>
        <v>EBITDA Margin</v>
      </c>
      <c r="E19" s="15"/>
      <c r="F19" s="22">
        <v>0.11523179664038052</v>
      </c>
      <c r="G19" s="26">
        <v>8.9031793481306083E-3</v>
      </c>
      <c r="H19" s="29" t="s">
        <v>10</v>
      </c>
      <c r="K19" s="40"/>
      <c r="L19" s="22">
        <v>1.9368239636276947E-2</v>
      </c>
      <c r="M19" s="26">
        <v>-6.4860733352053376E-2</v>
      </c>
      <c r="N19" s="29" t="s">
        <v>10</v>
      </c>
      <c r="O19" s="40"/>
      <c r="P19" s="53"/>
      <c r="T19" s="21" t="str">
        <f>+IF($B$3="esp","Margen EBITDA ","EBITDA Margin")</f>
        <v>EBITDA Margin</v>
      </c>
      <c r="U19" s="15"/>
      <c r="V19" s="22">
        <v>0.18095550746448766</v>
      </c>
      <c r="W19" s="26">
        <v>9.8077482307408634E-2</v>
      </c>
      <c r="X19" s="29">
        <v>0.84502602643602465</v>
      </c>
      <c r="AA19" s="40"/>
      <c r="AB19" s="22">
        <v>-0.10659089957275926</v>
      </c>
      <c r="AC19" s="26">
        <v>-0.20734476897352991</v>
      </c>
      <c r="AD19" s="29">
        <v>0.48592433703322946</v>
      </c>
      <c r="AE19" s="40"/>
      <c r="AF19" s="53"/>
      <c r="AJ19" s="20" t="str">
        <f>+IF($B$3="esp","EBITDA Contable","Reported EBITDA")</f>
        <v>Reported EBITDA</v>
      </c>
      <c r="AL19" s="16">
        <v>11.396754965177493</v>
      </c>
      <c r="AM19" s="23">
        <v>-1.2238059564902413</v>
      </c>
      <c r="AN19" s="27" t="s">
        <v>10</v>
      </c>
      <c r="AQ19" s="31"/>
      <c r="AR19" s="16">
        <v>13.22302206523468</v>
      </c>
      <c r="AS19" s="23">
        <v>6.251348124532659</v>
      </c>
      <c r="AT19" s="27">
        <v>1.1152272760722652</v>
      </c>
      <c r="AU19" s="40"/>
      <c r="AV19" s="53"/>
    </row>
    <row r="20" spans="4:48" s="9" customFormat="1" ht="17.25" customHeight="1" x14ac:dyDescent="0.3">
      <c r="D20" s="20" t="str">
        <f>+IF($B$3="esp","EBITDA sin indemnizaciones","EBITDA ex severance expenses")</f>
        <v>EBITDA ex severance expenses</v>
      </c>
      <c r="F20" s="16">
        <v>49.673788017694257</v>
      </c>
      <c r="G20" s="23">
        <v>17.966641545918876</v>
      </c>
      <c r="H20" s="27">
        <v>1.7647787089612006</v>
      </c>
      <c r="K20" s="36"/>
      <c r="L20" s="16">
        <v>5.8958007944550559</v>
      </c>
      <c r="M20" s="23">
        <v>0.88292938203533566</v>
      </c>
      <c r="N20" s="27">
        <v>5.6775451292197463</v>
      </c>
      <c r="O20" s="36"/>
      <c r="P20" s="51"/>
      <c r="T20" s="20" t="str">
        <f>+IF($B$3="esp","EBITDA sin indemnizaciones","EBITDA ex severance expenses")</f>
        <v>EBITDA ex severance expenses</v>
      </c>
      <c r="V20" s="16">
        <v>38.606366331369124</v>
      </c>
      <c r="W20" s="23">
        <v>15.00584539737293</v>
      </c>
      <c r="X20" s="27">
        <v>1.5727551703370162</v>
      </c>
      <c r="AA20" s="36"/>
      <c r="AB20" s="16">
        <v>-6.6355070390682371</v>
      </c>
      <c r="AC20" s="23">
        <v>-9.5344177713742972</v>
      </c>
      <c r="AD20" s="27">
        <v>0.3040469593234752</v>
      </c>
      <c r="AE20" s="36"/>
      <c r="AF20" s="51"/>
      <c r="AJ20" s="21" t="str">
        <f>+IF($B$3="esp","Margen EBITDA ","EBITDA Margin")</f>
        <v>EBITDA Margin</v>
      </c>
      <c r="AK20" s="15"/>
      <c r="AL20" s="22">
        <v>6.1195856411573268E-2</v>
      </c>
      <c r="AM20" s="26">
        <v>-6.9870035356535947E-3</v>
      </c>
      <c r="AN20" s="29" t="s">
        <v>10</v>
      </c>
      <c r="AO20" s="1"/>
      <c r="AP20" s="1"/>
      <c r="AQ20" s="36"/>
      <c r="AR20" s="22">
        <v>0.12752150754613939</v>
      </c>
      <c r="AS20" s="26">
        <v>6.3685344516854217E-2</v>
      </c>
      <c r="AT20" s="29">
        <v>1.0023681824064097</v>
      </c>
      <c r="AU20" s="36"/>
      <c r="AV20" s="51"/>
    </row>
    <row r="21" spans="4:48" ht="17.25" customHeight="1" x14ac:dyDescent="0.3">
      <c r="D21" s="19" t="str">
        <f>+IF($B$3="esp","España","Spain")</f>
        <v>Spain</v>
      </c>
      <c r="F21" s="17">
        <v>-6.239684000096446E-2</v>
      </c>
      <c r="G21" s="24">
        <v>-9.0853515000005594</v>
      </c>
      <c r="H21" s="28">
        <v>0.99313214904222902</v>
      </c>
      <c r="K21" s="31"/>
      <c r="L21" s="17">
        <v>7.1138157499990768</v>
      </c>
      <c r="M21" s="24">
        <v>4.6712142799996421</v>
      </c>
      <c r="N21" s="28">
        <v>0.52290503573294045</v>
      </c>
      <c r="O21" s="31"/>
      <c r="P21" s="50"/>
      <c r="T21" s="19" t="str">
        <f>+IF($B$3="esp","Privado","Private")</f>
        <v>Private</v>
      </c>
      <c r="V21" s="17">
        <v>32.971701446691192</v>
      </c>
      <c r="W21" s="24">
        <v>11.452422922662995</v>
      </c>
      <c r="X21" s="28">
        <v>1.8790153550340931</v>
      </c>
      <c r="AA21" s="31"/>
      <c r="AB21" s="17">
        <v>-11.14020694399678</v>
      </c>
      <c r="AC21" s="24">
        <v>-14.954754213037917</v>
      </c>
      <c r="AD21" s="28">
        <v>0.25507254848197519</v>
      </c>
      <c r="AE21" s="31"/>
      <c r="AF21" s="50"/>
      <c r="AJ21" s="20" t="str">
        <f>+IF($B$3="esp","EBITDA sin indemnizaciones","EBITDA ex severance expenses")</f>
        <v>EBITDA ex severance expenses</v>
      </c>
      <c r="AK21" s="9"/>
      <c r="AL21" s="16">
        <v>14.330636046325717</v>
      </c>
      <c r="AM21" s="23">
        <v>8.4601676185461461</v>
      </c>
      <c r="AN21" s="27">
        <v>0.69389504942082847</v>
      </c>
      <c r="AQ21" s="31"/>
      <c r="AR21" s="16">
        <v>14.362739773523799</v>
      </c>
      <c r="AS21" s="23">
        <v>13.219190103409636</v>
      </c>
      <c r="AT21" s="27">
        <v>8.6506787569323687E-2</v>
      </c>
      <c r="AU21" s="31"/>
      <c r="AV21" s="50"/>
    </row>
    <row r="22" spans="4:48" ht="17.25" customHeight="1" x14ac:dyDescent="0.3">
      <c r="D22" s="19" t="str">
        <f>+IF($B$3="esp","Internacional","International")</f>
        <v>International</v>
      </c>
      <c r="F22" s="17">
        <v>49.736184857695221</v>
      </c>
      <c r="G22" s="24">
        <v>27.051993045919435</v>
      </c>
      <c r="H22" s="28">
        <v>0.83854050136973202</v>
      </c>
      <c r="K22" s="31"/>
      <c r="L22" s="17">
        <v>-1.2180149555440209</v>
      </c>
      <c r="M22" s="24">
        <v>-3.7882848979643065</v>
      </c>
      <c r="N22" s="28">
        <v>0.67847852303860778</v>
      </c>
      <c r="O22" s="31"/>
      <c r="P22" s="50"/>
      <c r="T22" s="19" t="str">
        <f>+IF($B$3="esp","Público","Public")</f>
        <v>Public</v>
      </c>
      <c r="V22" s="17">
        <v>5.6290542875015825</v>
      </c>
      <c r="W22" s="24">
        <v>3.4937240456848131</v>
      </c>
      <c r="X22" s="28">
        <v>0.61119029834487637</v>
      </c>
      <c r="AA22" s="31"/>
      <c r="AB22" s="17">
        <v>4.4648134892627045</v>
      </c>
      <c r="AC22" s="24">
        <v>5.3216115172058185</v>
      </c>
      <c r="AD22" s="28">
        <v>-0.1610034902346624</v>
      </c>
      <c r="AE22" s="31"/>
      <c r="AF22" s="50"/>
      <c r="AJ22" s="21" t="str">
        <f>+IF($B$3="esp","Margen EBITDA sin indemnizaciones ","EBITDA ex severance expenses Margin")</f>
        <v>EBITDA ex severance expenses Margin</v>
      </c>
      <c r="AL22" s="22">
        <v>7.6949583320606793E-2</v>
      </c>
      <c r="AM22" s="26">
        <v>4.8301138550207186E-2</v>
      </c>
      <c r="AN22" s="29">
        <v>0.59312152115463379</v>
      </c>
      <c r="AO22" s="9"/>
      <c r="AP22" s="9"/>
      <c r="AQ22" s="41"/>
      <c r="AR22" s="22">
        <v>0.13851283158848343</v>
      </c>
      <c r="AS22" s="26">
        <v>0.13466993985915146</v>
      </c>
      <c r="AT22" s="29">
        <v>2.8535631138999342E-2</v>
      </c>
      <c r="AU22" s="31"/>
      <c r="AV22" s="50"/>
    </row>
    <row r="23" spans="4:48" ht="17.25" customHeight="1" x14ac:dyDescent="0.25">
      <c r="D23" s="21" t="str">
        <f>+IF($B$3="esp","Margen EBITDA sin indemnizaciones ","EBITDA ex severance expenses Margin")</f>
        <v>EBITDA ex severance expenses Margin</v>
      </c>
      <c r="E23" s="15"/>
      <c r="F23" s="22">
        <v>0.12796874237796849</v>
      </c>
      <c r="G23" s="26">
        <v>5.8673292058585756E-2</v>
      </c>
      <c r="H23" s="29">
        <v>1.1810390705568499</v>
      </c>
      <c r="K23" s="40"/>
      <c r="L23" s="22">
        <v>3.3200085857136533E-2</v>
      </c>
      <c r="M23" s="26">
        <v>5.9779207521032281E-3</v>
      </c>
      <c r="N23" s="29">
        <v>4.5537848750262633</v>
      </c>
      <c r="O23" s="40"/>
      <c r="P23" s="53"/>
      <c r="T23" s="21" t="str">
        <f>+IF($B$3="esp","Margen EBITDA sin indemnizaciones ","EBITDA ex severance expenses Margin")</f>
        <v>EBITDA ex severance expenses Margin</v>
      </c>
      <c r="U23" s="15"/>
      <c r="V23" s="22">
        <v>0.19063940189738104</v>
      </c>
      <c r="W23" s="26">
        <v>0.11390667048430587</v>
      </c>
      <c r="X23" s="29">
        <v>0.67364563538574718</v>
      </c>
      <c r="AA23" s="40"/>
      <c r="AB23" s="22">
        <v>-8.9496263623827829E-2</v>
      </c>
      <c r="AC23" s="26">
        <v>-0.19158958554641298</v>
      </c>
      <c r="AD23" s="29">
        <v>0.53287511234713136</v>
      </c>
      <c r="AE23" s="40"/>
      <c r="AF23" s="53"/>
      <c r="AJ23" s="20" t="str">
        <f>+IF($B$3="esp","EBIT Contable","Reported EBIT")</f>
        <v>Reported EBIT</v>
      </c>
      <c r="AL23" s="16">
        <v>-2.4982412035945485</v>
      </c>
      <c r="AM23" s="23">
        <v>-13.695355660416233</v>
      </c>
      <c r="AN23" s="27">
        <v>0.81758478819099012</v>
      </c>
      <c r="AQ23" s="36"/>
      <c r="AR23" s="16">
        <v>6.4277953115617263</v>
      </c>
      <c r="AS23" s="23">
        <v>3.964037328010761E-2</v>
      </c>
      <c r="AT23" s="27" t="s">
        <v>10</v>
      </c>
      <c r="AU23" s="40"/>
      <c r="AV23" s="53"/>
    </row>
    <row r="24" spans="4:48" ht="17.25" customHeight="1" x14ac:dyDescent="0.3">
      <c r="D24" s="20" t="str">
        <f>+IF($B$3="esp","EBIT Contable","Reported EBIT")</f>
        <v>Reported EBIT</v>
      </c>
      <c r="E24" s="9"/>
      <c r="F24" s="16">
        <v>10.118550013985333</v>
      </c>
      <c r="G24" s="23">
        <v>-28.408900839821811</v>
      </c>
      <c r="H24" s="27" t="s">
        <v>10</v>
      </c>
      <c r="K24" s="40"/>
      <c r="L24" s="16">
        <v>-13.683831309966054</v>
      </c>
      <c r="M24" s="23">
        <v>-23.866604623914224</v>
      </c>
      <c r="N24" s="27">
        <v>0.42665362226452103</v>
      </c>
      <c r="O24" s="40"/>
      <c r="P24" s="53"/>
      <c r="T24" s="20" t="str">
        <f>+IF($B$3="esp","EBIT Contable","Reported EBIT")</f>
        <v>Reported EBIT</v>
      </c>
      <c r="U24" s="9"/>
      <c r="V24" s="16">
        <v>16.651599747580597</v>
      </c>
      <c r="W24" s="23">
        <v>-5.2981010494050098</v>
      </c>
      <c r="X24" s="27" t="s">
        <v>10</v>
      </c>
      <c r="AA24" s="40"/>
      <c r="AB24" s="16">
        <v>-17.672273741527249</v>
      </c>
      <c r="AC24" s="23">
        <v>-18.173263257193977</v>
      </c>
      <c r="AD24" s="27">
        <v>2.7567394395632744E-2</v>
      </c>
      <c r="AE24" s="40"/>
      <c r="AF24" s="53"/>
      <c r="AJ24" s="21" t="str">
        <f>+IF($B$3="esp","Margen EBIT ","EBIT Margin")</f>
        <v>EBIT Margin</v>
      </c>
      <c r="AL24" s="22">
        <v>-1.3414521102171208E-2</v>
      </c>
      <c r="AM24" s="26">
        <v>-7.8190090441943944E-2</v>
      </c>
      <c r="AN24" s="29">
        <v>0.82843706886192348</v>
      </c>
      <c r="AO24" s="15"/>
      <c r="AP24" s="15"/>
      <c r="AQ24" s="40"/>
      <c r="AR24" s="22">
        <v>6.1989017660601664E-2</v>
      </c>
      <c r="AS24" s="26">
        <v>4.0383462556072003E-4</v>
      </c>
      <c r="AT24" s="29" t="s">
        <v>10</v>
      </c>
      <c r="AU24" s="40"/>
      <c r="AV24" s="53"/>
    </row>
    <row r="25" spans="4:48" s="15" customFormat="1" ht="17.25" customHeight="1" x14ac:dyDescent="0.3">
      <c r="D25" s="19" t="str">
        <f>+IF($B$3="esp","España","Spain")</f>
        <v>Spain</v>
      </c>
      <c r="E25" s="1"/>
      <c r="F25" s="17">
        <v>-16.065803530000949</v>
      </c>
      <c r="G25" s="24">
        <v>-33.388095170000767</v>
      </c>
      <c r="H25" s="28">
        <v>0.5188164090164662</v>
      </c>
      <c r="K25" s="41"/>
      <c r="L25" s="17">
        <v>-0.49170015000085954</v>
      </c>
      <c r="M25" s="24">
        <v>-10.448778210000604</v>
      </c>
      <c r="N25" s="28">
        <v>0.95294185213633398</v>
      </c>
      <c r="O25" s="41"/>
      <c r="P25" s="54"/>
      <c r="T25" s="19" t="str">
        <f>+IF($B$3="esp","Privado","Private")</f>
        <v>Private</v>
      </c>
      <c r="U25" s="1"/>
      <c r="V25" s="17">
        <v>14.278635475615134</v>
      </c>
      <c r="W25" s="24">
        <v>-6.168783566712527</v>
      </c>
      <c r="X25" s="28" t="s">
        <v>10</v>
      </c>
      <c r="AA25" s="41"/>
      <c r="AB25" s="17">
        <v>-20.396674213211895</v>
      </c>
      <c r="AC25" s="24">
        <v>-22.297653492900299</v>
      </c>
      <c r="AD25" s="28">
        <v>8.5254678493128719E-2</v>
      </c>
      <c r="AE25" s="41"/>
      <c r="AF25" s="54"/>
      <c r="AJ25" s="20" t="str">
        <f>+IF($B$3="esp","Resultado Financiero","Financial Result")</f>
        <v>Financial Result</v>
      </c>
      <c r="AK25" s="1"/>
      <c r="AL25" s="16">
        <v>-6.0122852372271973</v>
      </c>
      <c r="AM25" s="23">
        <v>-3.539107690358597</v>
      </c>
      <c r="AN25" s="27">
        <v>-0.69881387153212282</v>
      </c>
      <c r="AO25" s="9"/>
      <c r="AP25" s="9"/>
      <c r="AQ25" s="41"/>
      <c r="AR25" s="16">
        <v>-5.573701377484749</v>
      </c>
      <c r="AS25" s="23">
        <v>-2.1737089498746358</v>
      </c>
      <c r="AT25" s="27">
        <v>-1.5641433632622255</v>
      </c>
      <c r="AU25" s="41"/>
      <c r="AV25" s="54"/>
    </row>
    <row r="26" spans="4:48" s="9" customFormat="1" ht="17.25" customHeight="1" x14ac:dyDescent="0.3">
      <c r="D26" s="19" t="str">
        <f>+IF($B$3="esp","Internacional","International")</f>
        <v>International</v>
      </c>
      <c r="E26" s="1"/>
      <c r="F26" s="17">
        <v>26.18435354398628</v>
      </c>
      <c r="G26" s="24">
        <v>4.9791943301789523</v>
      </c>
      <c r="H26" s="28">
        <v>4.2587530848680926</v>
      </c>
      <c r="K26" s="36"/>
      <c r="L26" s="17">
        <v>-13.192131159965196</v>
      </c>
      <c r="M26" s="24">
        <v>-13.417826413913623</v>
      </c>
      <c r="N26" s="28">
        <v>1.6820552523648082E-2</v>
      </c>
      <c r="O26" s="36"/>
      <c r="P26" s="51"/>
      <c r="T26" s="19" t="str">
        <f>+IF($B$3="esp","Público","Public")</f>
        <v>Public</v>
      </c>
      <c r="U26" s="1"/>
      <c r="V26" s="17">
        <v>2.3979649009898396</v>
      </c>
      <c r="W26" s="24">
        <v>0.86292983381620392</v>
      </c>
      <c r="X26" s="28">
        <v>1.7788642911847501</v>
      </c>
      <c r="AA26" s="36"/>
      <c r="AB26" s="17">
        <v>2.6970811600383091</v>
      </c>
      <c r="AC26" s="24">
        <v>4.1317317143140695</v>
      </c>
      <c r="AD26" s="28">
        <v>-0.34722742265804019</v>
      </c>
      <c r="AE26" s="36"/>
      <c r="AF26" s="51"/>
      <c r="AJ26" s="19" t="str">
        <f>+IF($B$3="esp","Gastos por intereses de financiación","Interests on debt")</f>
        <v>Interests on debt</v>
      </c>
      <c r="AK26" s="1"/>
      <c r="AL26" s="17">
        <v>-2.3851458472515246</v>
      </c>
      <c r="AM26" s="24">
        <v>-2.5222732782231634</v>
      </c>
      <c r="AN26" s="28">
        <v>5.4366603395267062E-2</v>
      </c>
      <c r="AO26" s="1"/>
      <c r="AP26" s="1"/>
      <c r="AQ26" s="36"/>
      <c r="AR26" s="17">
        <v>-1.2570434499358627</v>
      </c>
      <c r="AS26" s="24">
        <v>-1.2437535294570292</v>
      </c>
      <c r="AT26" s="28">
        <v>-1.0685332876711761E-2</v>
      </c>
      <c r="AU26" s="36"/>
      <c r="AV26" s="51"/>
    </row>
    <row r="27" spans="4:48" ht="17.25" customHeight="1" x14ac:dyDescent="0.25">
      <c r="D27" s="21" t="str">
        <f>+IF($B$3="esp","Margen EBIT ","EBIT Margin")</f>
        <v>EBIT Margin</v>
      </c>
      <c r="E27" s="15"/>
      <c r="F27" s="22">
        <v>2.6067231263237626E-2</v>
      </c>
      <c r="G27" s="26">
        <v>-9.2774363632633999E-2</v>
      </c>
      <c r="H27" s="29" t="s">
        <v>10</v>
      </c>
      <c r="K27" s="31"/>
      <c r="L27" s="22">
        <v>-7.7055584166397711E-2</v>
      </c>
      <c r="M27" s="26">
        <v>-0.16159012710014198</v>
      </c>
      <c r="N27" s="29">
        <v>0.52314175655890049</v>
      </c>
      <c r="O27" s="31"/>
      <c r="P27" s="50"/>
      <c r="T27" s="21" t="str">
        <f>+IF($B$3="esp","Margen EBIT ","EBIT Margin")</f>
        <v>EBIT Margin</v>
      </c>
      <c r="U27" s="15"/>
      <c r="V27" s="22">
        <v>8.222610201815303E-2</v>
      </c>
      <c r="W27" s="26">
        <v>-4.0216931098915915E-2</v>
      </c>
      <c r="X27" s="29" t="s">
        <v>10</v>
      </c>
      <c r="AA27" s="31"/>
      <c r="AB27" s="22">
        <v>-0.23835442571186885</v>
      </c>
      <c r="AC27" s="26">
        <v>-0.36518307241846176</v>
      </c>
      <c r="AD27" s="29">
        <v>0.34730154896462589</v>
      </c>
      <c r="AE27" s="31"/>
      <c r="AF27" s="50"/>
      <c r="AJ27" s="19" t="str">
        <f>+IF($B$3="esp","Otros resultados financieros","Other financial results")</f>
        <v>Other financial results</v>
      </c>
      <c r="AL27" s="17">
        <v>-3.6271393899756728</v>
      </c>
      <c r="AM27" s="24">
        <v>-1.0168344121354336</v>
      </c>
      <c r="AN27" s="28">
        <v>-2.56708953462579</v>
      </c>
      <c r="AQ27" s="31"/>
      <c r="AR27" s="17">
        <v>-4.3166579275488868</v>
      </c>
      <c r="AS27" s="24">
        <v>-0.92995542041760659</v>
      </c>
      <c r="AT27" s="28">
        <v>-3.6417901684044645</v>
      </c>
      <c r="AU27" s="31"/>
      <c r="AV27" s="50"/>
    </row>
    <row r="28" spans="4:48" ht="17.25" customHeight="1" x14ac:dyDescent="0.3">
      <c r="D28" s="20" t="str">
        <f>+IF($B$3="esp","Resultado Financiero","Financial Result")</f>
        <v>Financial Result</v>
      </c>
      <c r="E28" s="9"/>
      <c r="F28" s="16">
        <v>-22.441127218084521</v>
      </c>
      <c r="G28" s="23">
        <v>-29.054100709737511</v>
      </c>
      <c r="H28" s="27">
        <v>0.22760895467801023</v>
      </c>
      <c r="K28" s="31"/>
      <c r="L28" s="16">
        <v>-6.9611929961426195</v>
      </c>
      <c r="M28" s="23">
        <v>-21.914505012863955</v>
      </c>
      <c r="N28" s="27">
        <v>0.68234769655730965</v>
      </c>
      <c r="O28" s="31"/>
      <c r="P28" s="50"/>
      <c r="T28" s="20" t="str">
        <f>+IF($B$3="esp","Resultado Financiero","Financial Result")</f>
        <v>Financial Result</v>
      </c>
      <c r="U28" s="9"/>
      <c r="V28" s="16">
        <v>-5.67997389085735</v>
      </c>
      <c r="W28" s="23">
        <v>-5.1638293293789355</v>
      </c>
      <c r="X28" s="27">
        <v>-9.9953838238199935E-2</v>
      </c>
      <c r="AA28" s="31"/>
      <c r="AB28" s="16">
        <v>-4.8349296586579129</v>
      </c>
      <c r="AC28" s="23">
        <v>-5.4441188129893412</v>
      </c>
      <c r="AD28" s="27">
        <v>0.11189857812763739</v>
      </c>
      <c r="AE28" s="31"/>
      <c r="AF28" s="50"/>
      <c r="AJ28" s="20" t="str">
        <f>+IF($B$3="esp","Resultado puesta en equivalencia","Result from associates")</f>
        <v>Result from associates</v>
      </c>
      <c r="AL28" s="16">
        <v>3.574203936219063</v>
      </c>
      <c r="AM28" s="23">
        <v>-0.31720428738873341</v>
      </c>
      <c r="AN28" s="27" t="s">
        <v>10</v>
      </c>
      <c r="AQ28" s="31"/>
      <c r="AR28" s="16">
        <v>3.5463307011385066</v>
      </c>
      <c r="AS28" s="23">
        <v>6.3686177512925268E-2</v>
      </c>
      <c r="AT28" s="27" t="s">
        <v>10</v>
      </c>
      <c r="AU28" s="31"/>
      <c r="AV28" s="50"/>
    </row>
    <row r="29" spans="4:48" ht="17.25" customHeight="1" x14ac:dyDescent="0.25">
      <c r="D29" s="19" t="str">
        <f>+IF($B$3="esp","Gastos por intereses de financiación","Interests on debt")</f>
        <v>Interests on debt</v>
      </c>
      <c r="F29" s="17">
        <v>-32.384747790930383</v>
      </c>
      <c r="G29" s="24">
        <v>-26.360682611798971</v>
      </c>
      <c r="H29" s="28">
        <v>-0.22852462767542508</v>
      </c>
      <c r="K29" s="40"/>
      <c r="L29" s="17">
        <v>-16.143689414992313</v>
      </c>
      <c r="M29" s="24">
        <v>-13.61107869423207</v>
      </c>
      <c r="N29" s="28">
        <v>-0.1860698022290827</v>
      </c>
      <c r="O29" s="40"/>
      <c r="P29" s="53"/>
      <c r="T29" s="19" t="str">
        <f>+IF($B$3="esp","Gastos por intereses de financiación","Interests on debt")</f>
        <v>Interests on debt</v>
      </c>
      <c r="V29" s="17">
        <v>-4.566256133678853</v>
      </c>
      <c r="W29" s="24">
        <v>-4.8118623335758084</v>
      </c>
      <c r="X29" s="28">
        <v>5.1041817672792741E-2</v>
      </c>
      <c r="AA29" s="40"/>
      <c r="AB29" s="17">
        <v>-2.1163659950564488</v>
      </c>
      <c r="AC29" s="24">
        <v>-2.730435474775041</v>
      </c>
      <c r="AD29" s="28">
        <v>0.22489800084698394</v>
      </c>
      <c r="AE29" s="40"/>
      <c r="AF29" s="53"/>
      <c r="AJ29" s="20" t="str">
        <f>+IF($B$3="esp","Resultado antes de impuestos","Profit before tax")</f>
        <v>Profit before tax</v>
      </c>
      <c r="AL29" s="16">
        <v>-4.9363225046026828</v>
      </c>
      <c r="AM29" s="23">
        <v>-17.551667638163565</v>
      </c>
      <c r="AN29" s="27">
        <v>0.71875478693150718</v>
      </c>
      <c r="AQ29" s="36"/>
      <c r="AR29" s="16">
        <v>4.4004246352154857</v>
      </c>
      <c r="AS29" s="23">
        <v>-2.0703823990816037</v>
      </c>
      <c r="AT29" s="27" t="s">
        <v>10</v>
      </c>
      <c r="AU29" s="40"/>
      <c r="AV29" s="53"/>
    </row>
    <row r="30" spans="4:48" ht="17.25" customHeight="1" x14ac:dyDescent="0.3">
      <c r="D30" s="19" t="str">
        <f>+IF($B$3="esp","Otros resultados financieros","Other financial results")</f>
        <v>Other financial results</v>
      </c>
      <c r="F30" s="17">
        <v>9.9436205728458624</v>
      </c>
      <c r="G30" s="24">
        <v>-2.6934180979385403</v>
      </c>
      <c r="H30" s="28" t="s">
        <v>10</v>
      </c>
      <c r="K30" s="40"/>
      <c r="L30" s="17">
        <v>9.1824964188496931</v>
      </c>
      <c r="M30" s="24">
        <v>-8.3034263186318853</v>
      </c>
      <c r="N30" s="28" t="s">
        <v>10</v>
      </c>
      <c r="O30" s="40"/>
      <c r="P30" s="53"/>
      <c r="T30" s="19" t="str">
        <f>+IF($B$3="esp","Otros resultados financieros","Other financial results")</f>
        <v>Other financial results</v>
      </c>
      <c r="V30" s="17">
        <v>-1.1137177571784971</v>
      </c>
      <c r="W30" s="24">
        <v>-0.35196699580312707</v>
      </c>
      <c r="X30" s="28">
        <v>-2.1642675888890892</v>
      </c>
      <c r="AA30" s="40"/>
      <c r="AB30" s="17">
        <v>-2.7185636636014636</v>
      </c>
      <c r="AC30" s="24">
        <v>-2.7136833382143006</v>
      </c>
      <c r="AD30" s="28">
        <v>-1.7984137347338445E-3</v>
      </c>
      <c r="AE30" s="40"/>
      <c r="AF30" s="53"/>
      <c r="AJ30" s="19" t="str">
        <f>+IF($B$3="esp","Impuesto sobre sociedades","Income tax expense")</f>
        <v>Income tax expense</v>
      </c>
      <c r="AK30" s="9"/>
      <c r="AL30" s="17">
        <v>1.828988599098357</v>
      </c>
      <c r="AM30" s="24">
        <v>-4.3940286811298426E-2</v>
      </c>
      <c r="AN30" s="28" t="s">
        <v>10</v>
      </c>
      <c r="AO30" s="9"/>
      <c r="AP30" s="9"/>
      <c r="AQ30" s="36"/>
      <c r="AR30" s="17">
        <v>1.9280233480971243</v>
      </c>
      <c r="AS30" s="24">
        <v>0.5458345682815865</v>
      </c>
      <c r="AT30" s="28">
        <v>2.5322485238833217</v>
      </c>
      <c r="AU30" s="40"/>
      <c r="AV30" s="53"/>
    </row>
    <row r="31" spans="4:48" s="15" customFormat="1" ht="17.25" customHeight="1" x14ac:dyDescent="0.3">
      <c r="D31" s="20" t="str">
        <f>+IF($B$3="esp","Resultado puesta en equivalencia","Result from associates")</f>
        <v>Result from associates</v>
      </c>
      <c r="E31" s="9"/>
      <c r="F31" s="16">
        <v>3.475388751874863</v>
      </c>
      <c r="G31" s="23">
        <v>-0.30586592488873349</v>
      </c>
      <c r="H31" s="27" t="s">
        <v>10</v>
      </c>
      <c r="K31" s="41"/>
      <c r="L31" s="16">
        <v>3.5527202485383067</v>
      </c>
      <c r="M31" s="23">
        <v>6.7027162512925231E-2</v>
      </c>
      <c r="N31" s="27" t="s">
        <v>10</v>
      </c>
      <c r="O31" s="41"/>
      <c r="P31" s="54"/>
      <c r="T31" s="20" t="str">
        <f>+IF($B$3="esp","Resultado puesta en equivalencia","Result from associates")</f>
        <v>Result from associates</v>
      </c>
      <c r="U31" s="9"/>
      <c r="V31" s="16">
        <v>0</v>
      </c>
      <c r="W31" s="23">
        <v>0</v>
      </c>
      <c r="X31" s="27" t="s">
        <v>10</v>
      </c>
      <c r="AA31" s="41"/>
      <c r="AB31" s="16">
        <v>0</v>
      </c>
      <c r="AC31" s="23">
        <v>0</v>
      </c>
      <c r="AD31" s="27" t="s">
        <v>10</v>
      </c>
      <c r="AE31" s="41"/>
      <c r="AF31" s="54"/>
      <c r="AJ31" s="20" t="str">
        <f>+IF($B$3="esp","Resultado operaciones en discontinuación","Results from discontinued activities")</f>
        <v>Results from discontinued activities</v>
      </c>
      <c r="AK31" s="1"/>
      <c r="AL31" s="16">
        <v>0</v>
      </c>
      <c r="AM31" s="23">
        <v>0</v>
      </c>
      <c r="AN31" s="27" t="s">
        <v>10</v>
      </c>
      <c r="AO31" s="1"/>
      <c r="AP31" s="1"/>
      <c r="AQ31" s="31"/>
      <c r="AR31" s="16">
        <v>0</v>
      </c>
      <c r="AS31" s="23">
        <v>0</v>
      </c>
      <c r="AT31" s="27" t="s">
        <v>10</v>
      </c>
      <c r="AU31" s="41"/>
      <c r="AV31" s="54"/>
    </row>
    <row r="32" spans="4:48" s="9" customFormat="1" ht="17.25" customHeight="1" x14ac:dyDescent="0.3">
      <c r="D32" s="20" t="str">
        <f>+IF($B$3="esp","Resultado antes de impuestos","Profit before tax")</f>
        <v>Profit before tax</v>
      </c>
      <c r="F32" s="16">
        <v>-8.8471884522243247</v>
      </c>
      <c r="G32" s="23">
        <v>-57.768867474448058</v>
      </c>
      <c r="H32" s="27">
        <v>0.84685196648285421</v>
      </c>
      <c r="K32" s="36"/>
      <c r="L32" s="16">
        <v>-17.092304057570367</v>
      </c>
      <c r="M32" s="23">
        <v>-45.714082474265254</v>
      </c>
      <c r="N32" s="27">
        <v>0.62610418644643084</v>
      </c>
      <c r="O32" s="36"/>
      <c r="P32" s="51"/>
      <c r="T32" s="20" t="str">
        <f>+IF($B$3="esp","Resultado antes de impuestos","Profit before tax")</f>
        <v>Profit before tax</v>
      </c>
      <c r="V32" s="16">
        <v>10.971625856723247</v>
      </c>
      <c r="W32" s="23">
        <v>-10.461930378783945</v>
      </c>
      <c r="X32" s="27" t="s">
        <v>10</v>
      </c>
      <c r="AA32" s="36"/>
      <c r="AB32" s="16">
        <v>-22.507203400185166</v>
      </c>
      <c r="AC32" s="23">
        <v>-23.617382070183318</v>
      </c>
      <c r="AD32" s="27">
        <v>4.7006847189881414E-2</v>
      </c>
      <c r="AE32" s="36"/>
      <c r="AF32" s="51"/>
      <c r="AJ32" s="20" t="str">
        <f>+IF($B$3="esp","Resultado atribuido a socios externos","Minority interest")</f>
        <v>Minority interest</v>
      </c>
      <c r="AK32" s="1"/>
      <c r="AL32" s="16">
        <v>-0.57992630548118551</v>
      </c>
      <c r="AM32" s="23">
        <v>-2.1696315358871487</v>
      </c>
      <c r="AN32" s="27">
        <v>0.73270746857758162</v>
      </c>
      <c r="AQ32" s="36"/>
      <c r="AR32" s="16">
        <v>0.34987743133013116</v>
      </c>
      <c r="AS32" s="23">
        <v>3.5962752991168578E-2</v>
      </c>
      <c r="AT32" s="27">
        <v>8.7288834204670316</v>
      </c>
      <c r="AU32" s="36"/>
      <c r="AV32" s="51"/>
    </row>
    <row r="33" spans="4:48" ht="17.25" customHeight="1" x14ac:dyDescent="0.3">
      <c r="D33" s="19" t="str">
        <f>+IF($B$3="esp","Impuesto sobre sociedades","Income tax expense")</f>
        <v>Income tax expense</v>
      </c>
      <c r="F33" s="17">
        <v>5.5239640537690438</v>
      </c>
      <c r="G33" s="24">
        <v>0.66403303953440396</v>
      </c>
      <c r="H33" s="28">
        <v>7.3188090424570564</v>
      </c>
      <c r="K33" s="31"/>
      <c r="L33" s="17">
        <v>-3.4565863740858642</v>
      </c>
      <c r="M33" s="24">
        <v>-3.0053918607993206</v>
      </c>
      <c r="N33" s="28">
        <v>-0.15012834737848224</v>
      </c>
      <c r="O33" s="31"/>
      <c r="P33" s="50"/>
      <c r="T33" s="19" t="str">
        <f>+IF($B$3="esp","Impuesto sobre sociedades","Income tax expense")</f>
        <v>Income tax expense</v>
      </c>
      <c r="V33" s="17">
        <v>4.7578435246706912</v>
      </c>
      <c r="W33" s="24">
        <v>0.68476731634569732</v>
      </c>
      <c r="X33" s="28">
        <v>5.9481171357027005</v>
      </c>
      <c r="AA33" s="31"/>
      <c r="AB33" s="17">
        <v>-4.6067261821829861</v>
      </c>
      <c r="AC33" s="24">
        <v>-3.562829439080911</v>
      </c>
      <c r="AD33" s="28">
        <v>-0.29299655258584734</v>
      </c>
      <c r="AE33" s="31"/>
      <c r="AF33" s="50"/>
      <c r="AJ33" s="20" t="str">
        <f>+IF($B$3="esp","Resultado Neto","Net Profit")</f>
        <v>Net Profit</v>
      </c>
      <c r="AL33" s="16">
        <v>-6.1853847982197765</v>
      </c>
      <c r="AM33" s="23">
        <v>-15.338095815464984</v>
      </c>
      <c r="AN33" s="27">
        <v>0.5967305933776198</v>
      </c>
      <c r="AO33" s="9"/>
      <c r="AP33" s="9"/>
      <c r="AQ33" s="36"/>
      <c r="AR33" s="16">
        <v>2.122523855788315</v>
      </c>
      <c r="AS33" s="23">
        <v>-2.6521797203543045</v>
      </c>
      <c r="AT33" s="27" t="s">
        <v>10</v>
      </c>
      <c r="AU33" s="31"/>
      <c r="AV33" s="50"/>
    </row>
    <row r="34" spans="4:48" ht="17.25" customHeight="1" x14ac:dyDescent="0.3">
      <c r="D34" s="20" t="str">
        <f>+IF($B$3="esp","Resultado operaciones en discontinuación","Results from discontinued activities")</f>
        <v>Results from discontinued activities</v>
      </c>
      <c r="E34" s="9"/>
      <c r="F34" s="16">
        <v>8.0449999999999028E-5</v>
      </c>
      <c r="G34" s="23">
        <v>-1.9999999999998863E-4</v>
      </c>
      <c r="H34" s="27" t="s">
        <v>10</v>
      </c>
      <c r="K34" s="31"/>
      <c r="L34" s="16">
        <v>8.0449999999999028E-5</v>
      </c>
      <c r="M34" s="23">
        <v>-1.8081999999998286E-4</v>
      </c>
      <c r="N34" s="27" t="s">
        <v>10</v>
      </c>
      <c r="O34" s="31"/>
      <c r="P34" s="50"/>
      <c r="T34" s="20" t="str">
        <f>+IF($B$3="esp","Resultado operaciones en discontinuación","Results from discontinued activities")</f>
        <v>Results from discontinued activities</v>
      </c>
      <c r="U34" s="9"/>
      <c r="V34" s="16">
        <v>0</v>
      </c>
      <c r="W34" s="23">
        <v>0</v>
      </c>
      <c r="X34" s="27" t="s">
        <v>10</v>
      </c>
      <c r="AA34" s="31"/>
      <c r="AB34" s="16">
        <v>0</v>
      </c>
      <c r="AC34" s="23">
        <v>0</v>
      </c>
      <c r="AD34" s="27" t="s">
        <v>10</v>
      </c>
      <c r="AE34" s="31"/>
      <c r="AF34" s="50"/>
      <c r="AJ34" s="18"/>
      <c r="AK34" s="9"/>
      <c r="AL34" s="25"/>
      <c r="AM34" s="25"/>
      <c r="AN34" s="49"/>
      <c r="AO34" s="9"/>
      <c r="AP34" s="9"/>
      <c r="AQ34" s="36"/>
      <c r="AR34" s="25"/>
      <c r="AS34" s="25"/>
      <c r="AT34" s="49"/>
      <c r="AU34" s="31"/>
      <c r="AV34" s="50"/>
    </row>
    <row r="35" spans="4:48" ht="17.25" customHeight="1" x14ac:dyDescent="0.3">
      <c r="D35" s="20" t="str">
        <f>+IF($B$3="esp","Resultado atribuido a socios externos","Minority interest")</f>
        <v>Minority interest</v>
      </c>
      <c r="E35" s="9"/>
      <c r="F35" s="16">
        <v>-0.3737349692597724</v>
      </c>
      <c r="G35" s="23">
        <v>-2.2545073777286304</v>
      </c>
      <c r="H35" s="27">
        <v>0.83422765746887784</v>
      </c>
      <c r="K35" s="40"/>
      <c r="L35" s="16">
        <v>0.46547694641992915</v>
      </c>
      <c r="M35" s="23">
        <v>-0.30650079300727939</v>
      </c>
      <c r="N35" s="27" t="s">
        <v>10</v>
      </c>
      <c r="O35" s="40"/>
      <c r="P35" s="53"/>
      <c r="T35" s="20" t="str">
        <f>+IF($B$3="esp","Resultado atribuido a socios externos","Minority interest")</f>
        <v>Minority interest</v>
      </c>
      <c r="U35" s="9"/>
      <c r="V35" s="16">
        <v>0.1150919070041569</v>
      </c>
      <c r="W35" s="23">
        <v>6.7265280608634834E-2</v>
      </c>
      <c r="X35" s="27">
        <v>0.71101504316600705</v>
      </c>
      <c r="AA35" s="40"/>
      <c r="AB35" s="16">
        <v>-8.4088834596636838E-2</v>
      </c>
      <c r="AC35" s="23">
        <v>-2.1595441130966508E-2</v>
      </c>
      <c r="AD35" s="27">
        <v>-2.8938234272074546</v>
      </c>
      <c r="AE35" s="40"/>
      <c r="AF35" s="53"/>
      <c r="AU35" s="40"/>
      <c r="AV35" s="53"/>
    </row>
    <row r="36" spans="4:48" ht="17.25" customHeight="1" x14ac:dyDescent="0.3">
      <c r="D36" s="20" t="str">
        <f>+IF($B$3="esp","Resultado Neto","Net Profit")</f>
        <v>Net Profit</v>
      </c>
      <c r="E36" s="9"/>
      <c r="F36" s="16">
        <v>-13.997337086732877</v>
      </c>
      <c r="G36" s="23">
        <v>-56.178593136253028</v>
      </c>
      <c r="H36" s="27">
        <v>0.75084215703329615</v>
      </c>
      <c r="K36" s="40"/>
      <c r="L36" s="16">
        <v>-14.101114179903787</v>
      </c>
      <c r="M36" s="23">
        <v>-42.402370640457946</v>
      </c>
      <c r="N36" s="27">
        <v>0.66744514594546511</v>
      </c>
      <c r="O36" s="40"/>
      <c r="P36" s="53"/>
      <c r="T36" s="20" t="str">
        <f>+IF($B$3="esp","Resultado Neto","Net Profit")</f>
        <v>Net Profit</v>
      </c>
      <c r="U36" s="9"/>
      <c r="V36" s="16">
        <v>6.0986904250484582</v>
      </c>
      <c r="W36" s="23">
        <v>-11.213962975738321</v>
      </c>
      <c r="X36" s="27" t="s">
        <v>10</v>
      </c>
      <c r="AA36" s="40"/>
      <c r="AB36" s="16">
        <v>-17.816388383405531</v>
      </c>
      <c r="AC36" s="23">
        <v>-20.032957189971505</v>
      </c>
      <c r="AD36" s="27">
        <v>0.11064611108316987</v>
      </c>
      <c r="AE36" s="40"/>
      <c r="AF36" s="53"/>
      <c r="AU36" s="40"/>
      <c r="AV36" s="53"/>
    </row>
    <row r="37" spans="4:48" s="15" customFormat="1" ht="17.25" customHeight="1" x14ac:dyDescent="0.25">
      <c r="K37" s="41"/>
      <c r="O37" s="41"/>
      <c r="P37" s="54"/>
      <c r="AA37" s="41"/>
      <c r="AE37" s="41"/>
      <c r="AF37" s="54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41"/>
      <c r="AV37" s="54"/>
    </row>
    <row r="38" spans="4:48" s="9" customFormat="1" ht="17.25" customHeight="1" x14ac:dyDescent="0.3">
      <c r="K38" s="36"/>
      <c r="O38" s="36"/>
      <c r="P38" s="51"/>
      <c r="AA38" s="36"/>
      <c r="AE38" s="36"/>
      <c r="AF38" s="51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36"/>
      <c r="AV38" s="51"/>
    </row>
    <row r="39" spans="4:48" ht="17.25" customHeight="1" x14ac:dyDescent="0.25">
      <c r="K39" s="31"/>
      <c r="O39" s="31"/>
      <c r="P39" s="50"/>
      <c r="AA39" s="31"/>
      <c r="AE39" s="31"/>
      <c r="AF39" s="50"/>
      <c r="AU39" s="31"/>
      <c r="AV39" s="50"/>
    </row>
    <row r="40" spans="4:48" ht="17.25" customHeight="1" x14ac:dyDescent="0.25">
      <c r="K40" s="31"/>
      <c r="O40" s="31"/>
      <c r="P40" s="50"/>
      <c r="AA40" s="31"/>
      <c r="AE40" s="31"/>
      <c r="AF40" s="50"/>
      <c r="AU40" s="31"/>
      <c r="AV40" s="50"/>
    </row>
    <row r="41" spans="4:48" s="9" customFormat="1" ht="17.25" customHeight="1" x14ac:dyDescent="0.3">
      <c r="K41" s="36"/>
      <c r="O41" s="36"/>
      <c r="P41" s="51"/>
      <c r="AA41" s="36"/>
      <c r="AE41" s="36"/>
      <c r="AF41" s="51"/>
      <c r="AJ41" s="38"/>
      <c r="AK41" s="38"/>
      <c r="AL41" s="52"/>
      <c r="AM41" s="37"/>
      <c r="AN41" s="37"/>
      <c r="AO41" s="2"/>
      <c r="AP41" s="2"/>
      <c r="AQ41" s="52"/>
      <c r="AR41" s="52"/>
      <c r="AS41" s="37"/>
      <c r="AT41" s="37"/>
      <c r="AU41" s="36"/>
      <c r="AV41" s="51"/>
    </row>
    <row r="42" spans="4:48" s="9" customFormat="1" ht="17.25" customHeight="1" x14ac:dyDescent="0.3">
      <c r="K42" s="36"/>
      <c r="O42" s="36"/>
      <c r="P42" s="51"/>
      <c r="AA42" s="36"/>
      <c r="AE42" s="36"/>
      <c r="AF42" s="51"/>
      <c r="AJ42" s="38"/>
      <c r="AK42" s="38"/>
      <c r="AL42" s="38"/>
      <c r="AM42" s="38"/>
      <c r="AN42" s="38"/>
      <c r="AO42" s="2"/>
      <c r="AP42" s="2"/>
      <c r="AQ42" s="38"/>
      <c r="AR42" s="38"/>
      <c r="AS42" s="38"/>
      <c r="AT42" s="38"/>
      <c r="AU42" s="36"/>
      <c r="AV42" s="51"/>
    </row>
    <row r="43" spans="4:48" ht="17.25" customHeight="1" x14ac:dyDescent="0.25">
      <c r="K43" s="31"/>
      <c r="O43" s="31"/>
      <c r="P43" s="50"/>
      <c r="AA43" s="31"/>
      <c r="AE43" s="31"/>
      <c r="AF43" s="50"/>
      <c r="AJ43" s="55"/>
      <c r="AK43" s="38"/>
      <c r="AL43" s="39"/>
      <c r="AM43" s="39"/>
      <c r="AN43" s="39"/>
      <c r="AO43" s="2"/>
      <c r="AP43" s="2"/>
      <c r="AQ43" s="39"/>
      <c r="AR43" s="39"/>
      <c r="AS43" s="39"/>
      <c r="AT43" s="39"/>
      <c r="AU43" s="31"/>
      <c r="AV43" s="50"/>
    </row>
    <row r="44" spans="4:48" s="9" customFormat="1" ht="17.25" customHeight="1" x14ac:dyDescent="0.3">
      <c r="K44" s="36"/>
      <c r="O44" s="36"/>
      <c r="P44" s="51"/>
      <c r="AA44" s="36"/>
      <c r="AE44" s="36"/>
      <c r="AF44" s="51"/>
      <c r="AJ44" s="56"/>
      <c r="AK44" s="30"/>
      <c r="AL44" s="30"/>
      <c r="AM44" s="30"/>
      <c r="AN44" s="30"/>
      <c r="AO44" s="1"/>
      <c r="AP44" s="1"/>
      <c r="AQ44" s="30"/>
      <c r="AR44" s="30"/>
      <c r="AS44" s="30"/>
      <c r="AT44" s="30"/>
      <c r="AU44" s="36"/>
      <c r="AV44" s="51"/>
    </row>
    <row r="45" spans="4:48" s="9" customFormat="1" ht="17.25" customHeight="1" x14ac:dyDescent="0.3">
      <c r="K45" s="36"/>
      <c r="O45" s="36"/>
      <c r="P45" s="51"/>
      <c r="AA45" s="36"/>
      <c r="AE45" s="36"/>
      <c r="AF45" s="51"/>
      <c r="AJ45" s="34"/>
      <c r="AK45" s="33"/>
      <c r="AL45" s="36"/>
      <c r="AM45" s="36"/>
      <c r="AN45" s="51"/>
      <c r="AQ45" s="36"/>
      <c r="AR45" s="36"/>
      <c r="AS45" s="36"/>
      <c r="AT45" s="51"/>
      <c r="AU45" s="36"/>
      <c r="AV45" s="51"/>
    </row>
    <row r="46" spans="4:48" s="9" customFormat="1" ht="17.25" customHeight="1" x14ac:dyDescent="0.3">
      <c r="K46" s="36"/>
      <c r="O46" s="36"/>
      <c r="P46" s="51"/>
      <c r="AA46" s="36"/>
      <c r="AE46" s="36"/>
      <c r="AF46" s="51"/>
      <c r="AJ46" s="48"/>
      <c r="AK46" s="30"/>
      <c r="AL46" s="31"/>
      <c r="AM46" s="31"/>
      <c r="AN46" s="50"/>
      <c r="AO46" s="1"/>
      <c r="AP46" s="1"/>
      <c r="AQ46" s="31"/>
      <c r="AR46" s="31"/>
      <c r="AS46" s="31"/>
      <c r="AT46" s="50"/>
      <c r="AU46" s="36"/>
      <c r="AV46" s="51"/>
    </row>
    <row r="47" spans="4:48" ht="17.25" customHeight="1" x14ac:dyDescent="0.25">
      <c r="AJ47" s="48"/>
      <c r="AK47" s="30"/>
      <c r="AL47" s="31"/>
      <c r="AM47" s="31"/>
      <c r="AN47" s="50"/>
      <c r="AQ47" s="31"/>
      <c r="AR47" s="31"/>
      <c r="AS47" s="31"/>
      <c r="AT47" s="50"/>
    </row>
    <row r="48" spans="4:48" ht="16.5" x14ac:dyDescent="0.3">
      <c r="AJ48" s="34"/>
      <c r="AK48" s="33"/>
      <c r="AL48" s="36"/>
      <c r="AM48" s="36"/>
      <c r="AN48" s="51"/>
      <c r="AO48" s="2"/>
      <c r="AP48" s="2"/>
      <c r="AQ48" s="40"/>
      <c r="AR48" s="36"/>
      <c r="AS48" s="36"/>
      <c r="AT48" s="51"/>
    </row>
    <row r="49" spans="4:51" x14ac:dyDescent="0.25"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</row>
    <row r="50" spans="4:51" s="45" customFormat="1" ht="16.5" x14ac:dyDescent="0.3">
      <c r="F50" s="46"/>
      <c r="G50" s="46"/>
      <c r="K50" s="46"/>
      <c r="L50" s="46"/>
      <c r="M50" s="46"/>
      <c r="O50" s="46"/>
      <c r="AJ50" s="48"/>
      <c r="AK50" s="30"/>
      <c r="AL50" s="31"/>
      <c r="AM50" s="31"/>
      <c r="AN50" s="50"/>
      <c r="AO50" s="9"/>
      <c r="AP50" s="9"/>
      <c r="AQ50" s="36"/>
      <c r="AR50" s="31"/>
      <c r="AS50" s="31"/>
      <c r="AT50" s="50"/>
    </row>
    <row r="51" spans="4:51" ht="16.5" x14ac:dyDescent="0.3">
      <c r="AJ51" s="34"/>
      <c r="AK51" s="33"/>
      <c r="AL51" s="36"/>
      <c r="AM51" s="36"/>
      <c r="AN51" s="51"/>
      <c r="AQ51" s="31"/>
      <c r="AR51" s="36"/>
      <c r="AS51" s="36"/>
      <c r="AT51" s="51"/>
    </row>
    <row r="52" spans="4:51" x14ac:dyDescent="0.25">
      <c r="AJ52" s="48"/>
      <c r="AK52" s="30"/>
      <c r="AL52" s="31"/>
      <c r="AM52" s="31"/>
      <c r="AN52" s="50"/>
      <c r="AQ52" s="31"/>
      <c r="AR52" s="31"/>
      <c r="AS52" s="31"/>
      <c r="AT52" s="50"/>
    </row>
    <row r="53" spans="4:51" x14ac:dyDescent="0.25">
      <c r="D53" s="2"/>
      <c r="E53" s="2"/>
      <c r="F53" s="6" t="str">
        <f>+$F$6</f>
        <v>JANUARY - JUNE</v>
      </c>
      <c r="G53" s="7"/>
      <c r="H53" s="7"/>
      <c r="I53" s="2"/>
      <c r="J53" s="2"/>
      <c r="K53" s="52"/>
      <c r="L53" s="62" t="str">
        <f>+$F$6</f>
        <v>JANUARY - JUNE</v>
      </c>
      <c r="M53" s="62"/>
      <c r="N53" s="62"/>
      <c r="O53" s="37"/>
      <c r="P53" s="37"/>
      <c r="T53" s="2"/>
      <c r="U53" s="2"/>
      <c r="V53" s="6" t="str">
        <f>+$F$6</f>
        <v>JANUARY - JUNE</v>
      </c>
      <c r="W53" s="7"/>
      <c r="X53" s="7"/>
      <c r="Y53" s="2"/>
      <c r="Z53" s="2"/>
      <c r="AA53" s="52"/>
      <c r="AB53" s="62" t="str">
        <f>+$F$6</f>
        <v>JANUARY - JUNE</v>
      </c>
      <c r="AC53" s="62"/>
      <c r="AD53" s="62"/>
      <c r="AE53" s="37"/>
      <c r="AF53" s="37"/>
      <c r="AJ53" s="48"/>
      <c r="AK53" s="30"/>
      <c r="AL53" s="31"/>
      <c r="AM53" s="31"/>
      <c r="AN53" s="50"/>
      <c r="AQ53" s="40"/>
      <c r="AR53" s="31"/>
      <c r="AS53" s="31"/>
      <c r="AT53" s="50"/>
      <c r="AU53" s="37"/>
      <c r="AV53" s="37"/>
    </row>
    <row r="54" spans="4:51" x14ac:dyDescent="0.25">
      <c r="D54" s="2"/>
      <c r="E54" s="2"/>
      <c r="F54" s="2"/>
      <c r="G54" s="2"/>
      <c r="H54" s="2"/>
      <c r="I54" s="2"/>
      <c r="J54" s="2"/>
      <c r="K54" s="38"/>
      <c r="L54" s="2"/>
      <c r="M54" s="2"/>
      <c r="N54" s="2"/>
      <c r="O54" s="38"/>
      <c r="P54" s="38"/>
      <c r="T54" s="2"/>
      <c r="U54" s="2"/>
      <c r="V54" s="2"/>
      <c r="W54" s="2"/>
      <c r="X54" s="2"/>
      <c r="Y54" s="2"/>
      <c r="Z54" s="2"/>
      <c r="AA54" s="38"/>
      <c r="AB54" s="2"/>
      <c r="AC54" s="2"/>
      <c r="AD54" s="2"/>
      <c r="AE54" s="38"/>
      <c r="AF54" s="38"/>
      <c r="AJ54" s="57"/>
      <c r="AK54" s="58"/>
      <c r="AL54" s="41"/>
      <c r="AM54" s="41"/>
      <c r="AN54" s="54"/>
      <c r="AQ54" s="40"/>
      <c r="AR54" s="41"/>
      <c r="AS54" s="41"/>
      <c r="AT54" s="54"/>
      <c r="AU54" s="38"/>
      <c r="AV54" s="38"/>
    </row>
    <row r="55" spans="4:51" ht="16.5" x14ac:dyDescent="0.3">
      <c r="D55" s="4" t="str">
        <f>+IF($B$3="esp","Millones de €","€ Millions")</f>
        <v>€ Millions</v>
      </c>
      <c r="E55" s="2"/>
      <c r="F55" s="8">
        <v>2022</v>
      </c>
      <c r="G55" s="8">
        <v>2021</v>
      </c>
      <c r="H55" s="8" t="str">
        <f>+IF($B$3="esp","Var.","Chg.")</f>
        <v>Chg.</v>
      </c>
      <c r="I55" s="2"/>
      <c r="J55" s="2"/>
      <c r="K55" s="39"/>
      <c r="L55" s="8">
        <v>2022</v>
      </c>
      <c r="M55" s="8">
        <v>2021</v>
      </c>
      <c r="N55" s="8" t="str">
        <f>+IF($B$3="esp","Var.","Chg.")</f>
        <v>Chg.</v>
      </c>
      <c r="O55" s="39"/>
      <c r="P55" s="39"/>
      <c r="T55" s="4" t="str">
        <f>+IF($B$3="esp","Millones de €","€ Millions")</f>
        <v>€ Millions</v>
      </c>
      <c r="U55" s="2"/>
      <c r="V55" s="8">
        <v>2022</v>
      </c>
      <c r="W55" s="8">
        <v>2021</v>
      </c>
      <c r="X55" s="8" t="str">
        <f>+IF($B$3="esp","Var.","Chg.")</f>
        <v>Chg.</v>
      </c>
      <c r="Y55" s="2"/>
      <c r="Z55" s="2"/>
      <c r="AA55" s="39"/>
      <c r="AB55" s="8">
        <v>2022</v>
      </c>
      <c r="AC55" s="8">
        <v>2021</v>
      </c>
      <c r="AD55" s="8" t="str">
        <f>+IF($B$3="esp","Var.","Chg.")</f>
        <v>Chg.</v>
      </c>
      <c r="AE55" s="39"/>
      <c r="AF55" s="39"/>
      <c r="AJ55" s="34"/>
      <c r="AK55" s="33"/>
      <c r="AL55" s="36"/>
      <c r="AM55" s="36"/>
      <c r="AN55" s="51"/>
      <c r="AO55" s="9"/>
      <c r="AP55" s="9"/>
      <c r="AQ55" s="36"/>
      <c r="AR55" s="36"/>
      <c r="AS55" s="36"/>
      <c r="AT55" s="51"/>
      <c r="AU55" s="39"/>
      <c r="AV55" s="39"/>
    </row>
    <row r="56" spans="4:51" ht="16.5" x14ac:dyDescent="0.3">
      <c r="D56" s="10" t="str">
        <f>+IF($B$3="esp","Resultados a tipo de cambio constante","Results at constant currency")</f>
        <v>Results at constant currency</v>
      </c>
      <c r="F56" s="11"/>
      <c r="G56" s="11"/>
      <c r="H56" s="11"/>
      <c r="K56" s="30"/>
      <c r="L56" s="11"/>
      <c r="M56" s="11"/>
      <c r="N56" s="11"/>
      <c r="O56" s="30"/>
      <c r="P56" s="30"/>
      <c r="T56" s="10" t="str">
        <f>+IF($B$3="esp","Resultados a tipo de cambio constante","Results at constant currency")</f>
        <v>Results at constant currency</v>
      </c>
      <c r="V56" s="11"/>
      <c r="W56" s="11"/>
      <c r="X56" s="11"/>
      <c r="AA56" s="30"/>
      <c r="AB56" s="11"/>
      <c r="AC56" s="11"/>
      <c r="AD56" s="11"/>
      <c r="AE56" s="30"/>
      <c r="AF56" s="30"/>
      <c r="AJ56" s="48"/>
      <c r="AK56" s="30"/>
      <c r="AL56" s="31"/>
      <c r="AM56" s="31"/>
      <c r="AN56" s="50"/>
      <c r="AQ56" s="31"/>
      <c r="AR56" s="31"/>
      <c r="AS56" s="31"/>
      <c r="AT56" s="50"/>
      <c r="AU56" s="30"/>
      <c r="AV56" s="30"/>
    </row>
    <row r="57" spans="4:51" ht="15.75" customHeight="1" x14ac:dyDescent="0.3">
      <c r="D57" s="20" t="str">
        <f>+IF($B$3="esp","Ingresos de Explotación","Operating Revenues")</f>
        <v>Operating Revenues</v>
      </c>
      <c r="E57" s="9"/>
      <c r="F57" s="16">
        <v>374.75906184920484</v>
      </c>
      <c r="G57" s="23">
        <v>306.214990084058</v>
      </c>
      <c r="H57" s="27">
        <v>0.22384296649334851</v>
      </c>
      <c r="I57" s="9"/>
      <c r="J57" s="9"/>
      <c r="K57" s="36"/>
      <c r="L57" s="16">
        <v>169.01049064510252</v>
      </c>
      <c r="M57" s="23">
        <v>147.69840863559327</v>
      </c>
      <c r="N57" s="27">
        <v>0.14429459468375977</v>
      </c>
      <c r="O57" s="36"/>
      <c r="P57" s="51"/>
      <c r="T57" s="20" t="str">
        <f>+IF($B$3="esp","Ingresos de Explotación","Operating Revenues")</f>
        <v>Operating Revenues</v>
      </c>
      <c r="U57" s="9"/>
      <c r="V57" s="16">
        <v>189.65932991297603</v>
      </c>
      <c r="W57" s="23">
        <v>131.73807410550592</v>
      </c>
      <c r="X57" s="27">
        <v>0.43966982363111179</v>
      </c>
      <c r="Y57" s="9"/>
      <c r="Z57" s="9"/>
      <c r="AA57" s="36"/>
      <c r="AB57" s="16">
        <v>66.343767976875696</v>
      </c>
      <c r="AC57" s="23">
        <v>49.76480190289135</v>
      </c>
      <c r="AD57" s="27">
        <v>0.3331464296057231</v>
      </c>
      <c r="AE57" s="36"/>
      <c r="AF57" s="51"/>
      <c r="AJ57" s="48"/>
      <c r="AK57" s="30"/>
      <c r="AL57" s="31"/>
      <c r="AM57" s="31"/>
      <c r="AN57" s="50"/>
      <c r="AQ57" s="31"/>
      <c r="AR57" s="31"/>
      <c r="AS57" s="31"/>
      <c r="AT57" s="50"/>
      <c r="AU57" s="36"/>
      <c r="AV57" s="51"/>
    </row>
    <row r="58" spans="4:51" ht="15.75" customHeight="1" x14ac:dyDescent="0.25">
      <c r="D58" s="19" t="str">
        <f>+IF($B$3="esp","España","Spain")</f>
        <v>Spain</v>
      </c>
      <c r="F58" s="17">
        <v>151.57465070999979</v>
      </c>
      <c r="G58" s="24">
        <v>149.99664545000005</v>
      </c>
      <c r="H58" s="28">
        <v>1.0520270338484036E-2</v>
      </c>
      <c r="K58" s="31"/>
      <c r="L58" s="17">
        <v>84.244752169999828</v>
      </c>
      <c r="M58" s="24">
        <v>84.78295804000004</v>
      </c>
      <c r="N58" s="28">
        <v>-6.3480430789674726E-3</v>
      </c>
      <c r="O58" s="31"/>
      <c r="P58" s="50"/>
      <c r="T58" s="19" t="str">
        <f>+IF($B$3="esp","Privado","Private")</f>
        <v>Private</v>
      </c>
      <c r="V58" s="17">
        <v>149.45838739251127</v>
      </c>
      <c r="W58" s="24">
        <v>103.40481110670034</v>
      </c>
      <c r="X58" s="28">
        <v>0.44537169782448155</v>
      </c>
      <c r="AA58" s="31"/>
      <c r="AB58" s="17">
        <v>39.675034574997227</v>
      </c>
      <c r="AC58" s="24">
        <v>28.883431671808623</v>
      </c>
      <c r="AD58" s="28">
        <v>0.37362606444446966</v>
      </c>
      <c r="AE58" s="31"/>
      <c r="AF58" s="50"/>
      <c r="AJ58" s="57"/>
      <c r="AK58" s="58"/>
      <c r="AL58" s="41"/>
      <c r="AM58" s="41"/>
      <c r="AN58" s="54"/>
      <c r="AQ58" s="40"/>
      <c r="AR58" s="41"/>
      <c r="AS58" s="41"/>
      <c r="AT58" s="54"/>
      <c r="AU58" s="31"/>
      <c r="AV58" s="50"/>
    </row>
    <row r="59" spans="4:51" ht="15.75" customHeight="1" x14ac:dyDescent="0.3">
      <c r="D59" s="19" t="str">
        <f>+IF($B$3="esp","Internacional","International")</f>
        <v>International</v>
      </c>
      <c r="F59" s="17">
        <v>223.18441113920505</v>
      </c>
      <c r="G59" s="24">
        <v>156.21834463405796</v>
      </c>
      <c r="H59" s="28">
        <v>0.42866967168302389</v>
      </c>
      <c r="K59" s="31"/>
      <c r="L59" s="17">
        <v>84.765738475102694</v>
      </c>
      <c r="M59" s="24">
        <v>62.915450595593228</v>
      </c>
      <c r="N59" s="28">
        <v>0.34729605641638561</v>
      </c>
      <c r="O59" s="31"/>
      <c r="P59" s="50"/>
      <c r="T59" s="19" t="str">
        <f>+IF($B$3="esp","Público","Public")</f>
        <v>Public</v>
      </c>
      <c r="V59" s="17">
        <v>40.201200639847187</v>
      </c>
      <c r="W59" s="24">
        <v>28.333205989717687</v>
      </c>
      <c r="X59" s="28">
        <v>0.41887228202966076</v>
      </c>
      <c r="AA59" s="31"/>
      <c r="AB59" s="17">
        <v>26.675410333939379</v>
      </c>
      <c r="AC59" s="24">
        <v>20.846962516152374</v>
      </c>
      <c r="AD59" s="28">
        <v>0.27958259210525671</v>
      </c>
      <c r="AE59" s="31"/>
      <c r="AF59" s="50"/>
      <c r="AJ59" s="34"/>
      <c r="AK59" s="33"/>
      <c r="AL59" s="36"/>
      <c r="AM59" s="36"/>
      <c r="AN59" s="51"/>
      <c r="AQ59" s="40"/>
      <c r="AR59" s="36"/>
      <c r="AS59" s="36"/>
      <c r="AT59" s="51"/>
      <c r="AU59" s="31"/>
      <c r="AV59" s="50"/>
    </row>
    <row r="60" spans="4:51" ht="15.75" customHeight="1" x14ac:dyDescent="0.3">
      <c r="D60" s="20" t="str">
        <f>+IF($B$3="esp","Gastos de Explotación","Expenses")</f>
        <v>Expenses</v>
      </c>
      <c r="E60" s="9"/>
      <c r="F60" s="16">
        <v>329.19536869011642</v>
      </c>
      <c r="G60" s="23">
        <v>303.48870310825362</v>
      </c>
      <c r="H60" s="27">
        <v>8.4703863170463078E-2</v>
      </c>
      <c r="I60" s="2"/>
      <c r="J60" s="2"/>
      <c r="K60" s="40"/>
      <c r="L60" s="16">
        <v>163.90923801163615</v>
      </c>
      <c r="M60" s="23">
        <v>157.27823573462911</v>
      </c>
      <c r="N60" s="27">
        <v>4.2160965540046717E-2</v>
      </c>
      <c r="O60" s="40"/>
      <c r="P60" s="53"/>
      <c r="T60" s="20" t="str">
        <f>+IF($B$3="esp","Gastos de Explotación","Expenses")</f>
        <v>Expenses</v>
      </c>
      <c r="U60" s="9"/>
      <c r="V60" s="16">
        <v>152.11255419734343</v>
      </c>
      <c r="W60" s="23">
        <v>118.81753547321107</v>
      </c>
      <c r="X60" s="27">
        <v>0.28021973853883841</v>
      </c>
      <c r="Y60" s="2"/>
      <c r="Z60" s="2"/>
      <c r="AA60" s="40"/>
      <c r="AB60" s="16">
        <v>72.586377888163724</v>
      </c>
      <c r="AC60" s="23">
        <v>60.08327325645984</v>
      </c>
      <c r="AD60" s="27">
        <v>0.20809626297048681</v>
      </c>
      <c r="AE60" s="40"/>
      <c r="AF60" s="53"/>
      <c r="AJ60" s="48"/>
      <c r="AK60" s="30"/>
      <c r="AL60" s="31"/>
      <c r="AM60" s="31"/>
      <c r="AN60" s="50"/>
      <c r="AO60" s="15"/>
      <c r="AP60" s="15"/>
      <c r="AQ60" s="41"/>
      <c r="AR60" s="31"/>
      <c r="AS60" s="31"/>
      <c r="AT60" s="50"/>
      <c r="AU60" s="40"/>
      <c r="AV60" s="53"/>
    </row>
    <row r="61" spans="4:51" ht="15.75" customHeight="1" x14ac:dyDescent="0.3">
      <c r="D61" s="19" t="str">
        <f>+IF($B$3="esp","España","Spain")</f>
        <v>Spain</v>
      </c>
      <c r="F61" s="17">
        <v>154.51329886000076</v>
      </c>
      <c r="G61" s="24">
        <v>171.68382472000062</v>
      </c>
      <c r="H61" s="28">
        <v>-0.10001248450751427</v>
      </c>
      <c r="I61" s="2"/>
      <c r="J61" s="2"/>
      <c r="K61" s="40"/>
      <c r="L61" s="17">
        <v>78.129970880000769</v>
      </c>
      <c r="M61" s="24">
        <v>89.426199130000398</v>
      </c>
      <c r="N61" s="28">
        <v>-0.12631900225993178</v>
      </c>
      <c r="O61" s="40"/>
      <c r="P61" s="53"/>
      <c r="T61" s="19" t="str">
        <f>+IF($B$3="esp","Privado","Private")</f>
        <v>Private</v>
      </c>
      <c r="V61" s="17">
        <v>116.03586113598425</v>
      </c>
      <c r="W61" s="24">
        <v>93.418475449158791</v>
      </c>
      <c r="X61" s="28">
        <v>0.2421082722457244</v>
      </c>
      <c r="Y61" s="2"/>
      <c r="Z61" s="2"/>
      <c r="AA61" s="40"/>
      <c r="AB61" s="17">
        <v>49.512325815539626</v>
      </c>
      <c r="AC61" s="24">
        <v>44.680783137378214</v>
      </c>
      <c r="AD61" s="28">
        <v>0.1081346909991721</v>
      </c>
      <c r="AE61" s="40"/>
      <c r="AF61" s="53"/>
      <c r="AJ61" s="48"/>
      <c r="AK61" s="30"/>
      <c r="AL61" s="31"/>
      <c r="AM61" s="31"/>
      <c r="AN61" s="50"/>
      <c r="AO61" s="9"/>
      <c r="AP61" s="9"/>
      <c r="AQ61" s="36"/>
      <c r="AR61" s="31"/>
      <c r="AS61" s="31"/>
      <c r="AT61" s="50"/>
      <c r="AU61" s="40"/>
      <c r="AV61" s="53"/>
    </row>
    <row r="62" spans="4:51" ht="15.75" customHeight="1" x14ac:dyDescent="0.3">
      <c r="D62" s="19" t="str">
        <f>+IF($B$3="esp","Internacional","International")</f>
        <v>International</v>
      </c>
      <c r="F62" s="17">
        <v>174.68206983011569</v>
      </c>
      <c r="G62" s="24">
        <v>131.804878388253</v>
      </c>
      <c r="H62" s="28">
        <v>0.32530807634874376</v>
      </c>
      <c r="I62" s="9"/>
      <c r="J62" s="9"/>
      <c r="K62" s="36"/>
      <c r="L62" s="17">
        <v>85.779267131635379</v>
      </c>
      <c r="M62" s="24">
        <v>67.852036604628694</v>
      </c>
      <c r="N62" s="28">
        <v>0.26421064752216644</v>
      </c>
      <c r="O62" s="36"/>
      <c r="P62" s="51"/>
      <c r="T62" s="19" t="str">
        <f>+IF($B$3="esp","Público","Public")</f>
        <v>Public</v>
      </c>
      <c r="V62" s="17">
        <v>36.082567544228709</v>
      </c>
      <c r="W62" s="24">
        <v>25.455269651897698</v>
      </c>
      <c r="X62" s="28">
        <v>0.41748911080730755</v>
      </c>
      <c r="Y62" s="9"/>
      <c r="Z62" s="9"/>
      <c r="AA62" s="36"/>
      <c r="AB62" s="17">
        <v>23.120623873443893</v>
      </c>
      <c r="AC62" s="24">
        <v>15.460729610840271</v>
      </c>
      <c r="AD62" s="28">
        <v>0.49544196525065004</v>
      </c>
      <c r="AE62" s="36"/>
      <c r="AF62" s="51"/>
      <c r="AJ62" s="57"/>
      <c r="AK62" s="58"/>
      <c r="AL62" s="41"/>
      <c r="AM62" s="41"/>
      <c r="AN62" s="54"/>
      <c r="AQ62" s="31"/>
      <c r="AR62" s="41"/>
      <c r="AS62" s="41"/>
      <c r="AT62" s="54"/>
      <c r="AU62" s="36"/>
      <c r="AV62" s="51"/>
    </row>
    <row r="63" spans="4:51" ht="15.75" customHeight="1" x14ac:dyDescent="0.3">
      <c r="D63" s="20" t="str">
        <f>+IF($B$3="esp","EBITDA","EBITDA")</f>
        <v>EBITDA</v>
      </c>
      <c r="E63" s="9"/>
      <c r="F63" s="16">
        <v>45.563693159088388</v>
      </c>
      <c r="G63" s="23">
        <v>2.7262869758044044</v>
      </c>
      <c r="H63" s="27" t="s">
        <v>10</v>
      </c>
      <c r="K63" s="31"/>
      <c r="L63" s="16">
        <v>5.1012526334663875</v>
      </c>
      <c r="M63" s="23">
        <v>-9.5798270990358318</v>
      </c>
      <c r="N63" s="27" t="s">
        <v>10</v>
      </c>
      <c r="O63" s="31"/>
      <c r="P63" s="50"/>
      <c r="T63" s="20" t="str">
        <f>+IF($B$3="esp","EBITDA Contable","Reported EBITDA")</f>
        <v>Reported EBITDA</v>
      </c>
      <c r="U63" s="9"/>
      <c r="V63" s="16">
        <v>37.546775715632613</v>
      </c>
      <c r="W63" s="23">
        <v>12.920538632294845</v>
      </c>
      <c r="X63" s="27">
        <v>1.9059760420347005</v>
      </c>
      <c r="AA63" s="31"/>
      <c r="AB63" s="16">
        <v>-6.2426099112880209</v>
      </c>
      <c r="AC63" s="23">
        <v>-10.318471353568489</v>
      </c>
      <c r="AD63" s="27">
        <v>0.39500632434967148</v>
      </c>
      <c r="AE63" s="31"/>
      <c r="AF63" s="50"/>
      <c r="AQ63" s="31"/>
      <c r="AU63" s="31"/>
      <c r="AV63" s="50"/>
    </row>
    <row r="64" spans="4:51" ht="15.75" customHeight="1" x14ac:dyDescent="0.25">
      <c r="D64" s="19" t="str">
        <f>+IF($B$3="esp","España","Spain")</f>
        <v>Spain</v>
      </c>
      <c r="F64" s="17">
        <v>-2.9386481500009651</v>
      </c>
      <c r="G64" s="24">
        <v>-21.687179270000563</v>
      </c>
      <c r="H64" s="28">
        <v>0.8644983695935996</v>
      </c>
      <c r="K64" s="31"/>
      <c r="L64" s="17">
        <v>6.1147812899990655</v>
      </c>
      <c r="M64" s="24">
        <v>-4.6432410900003589</v>
      </c>
      <c r="N64" s="28" t="s">
        <v>10</v>
      </c>
      <c r="O64" s="31"/>
      <c r="P64" s="50"/>
      <c r="T64" s="19" t="str">
        <f>+IF($B$3="esp","Privado","Private")</f>
        <v>Private</v>
      </c>
      <c r="V64" s="17">
        <v>33.422526256527028</v>
      </c>
      <c r="W64" s="24">
        <v>9.9863356575415523</v>
      </c>
      <c r="X64" s="28">
        <v>2.3468258430995923</v>
      </c>
      <c r="AA64" s="31"/>
      <c r="AB64" s="17">
        <v>-9.8372912405423989</v>
      </c>
      <c r="AC64" s="24">
        <v>-15.797351465569591</v>
      </c>
      <c r="AD64" s="28">
        <v>0.37728224493942381</v>
      </c>
      <c r="AE64" s="31"/>
      <c r="AF64" s="50"/>
      <c r="AJ64" s="18"/>
      <c r="AK64" s="2"/>
      <c r="AL64" s="25"/>
      <c r="AM64" s="25"/>
      <c r="AN64" s="49"/>
      <c r="AQ64" s="40"/>
      <c r="AR64" s="25"/>
      <c r="AS64" s="25"/>
      <c r="AT64" s="49"/>
      <c r="AU64" s="31"/>
      <c r="AV64" s="50"/>
    </row>
    <row r="65" spans="4:48" ht="15.75" customHeight="1" x14ac:dyDescent="0.25">
      <c r="D65" s="19" t="str">
        <f>+IF($B$3="esp","Internacional","International")</f>
        <v>International</v>
      </c>
      <c r="F65" s="17">
        <v>48.502341309089353</v>
      </c>
      <c r="G65" s="24">
        <v>24.413466245804965</v>
      </c>
      <c r="H65" s="28">
        <v>0.98670442045171058</v>
      </c>
      <c r="K65" s="40"/>
      <c r="L65" s="17">
        <v>-1.013528656532678</v>
      </c>
      <c r="M65" s="24">
        <v>-4.936586009035473</v>
      </c>
      <c r="N65" s="28">
        <v>0.79469036806456761</v>
      </c>
      <c r="O65" s="40"/>
      <c r="P65" s="53"/>
      <c r="T65" s="19" t="str">
        <f>+IF($B$3="esp","Público","Public")</f>
        <v>Public</v>
      </c>
      <c r="V65" s="17">
        <v>4.1186330956184776</v>
      </c>
      <c r="W65" s="24">
        <v>2.8779363378199885</v>
      </c>
      <c r="X65" s="28">
        <v>0.43110639436114351</v>
      </c>
      <c r="AA65" s="40"/>
      <c r="AB65" s="17">
        <v>3.554786460495484</v>
      </c>
      <c r="AC65" s="24">
        <v>5.3862329053121023</v>
      </c>
      <c r="AD65" s="28">
        <v>-0.34002362634753097</v>
      </c>
      <c r="AE65" s="40"/>
      <c r="AF65" s="53"/>
      <c r="AQ65" s="30"/>
      <c r="AU65" s="40"/>
      <c r="AV65" s="53"/>
    </row>
    <row r="66" spans="4:48" ht="15.75" customHeight="1" x14ac:dyDescent="0.25">
      <c r="D66" s="21" t="str">
        <f>+IF($B$3="esp","Margen EBITDA ","EBITDA Margin")</f>
        <v>EBITDA Margin</v>
      </c>
      <c r="E66" s="15"/>
      <c r="F66" s="22">
        <v>0.12158129795250223</v>
      </c>
      <c r="G66" s="26">
        <v>8.9031793481306083E-3</v>
      </c>
      <c r="H66" s="29" t="s">
        <v>10</v>
      </c>
      <c r="K66" s="40"/>
      <c r="L66" s="22">
        <v>3.0183053217556044E-2</v>
      </c>
      <c r="M66" s="26">
        <v>-6.4860733352053376E-2</v>
      </c>
      <c r="N66" s="29" t="s">
        <v>10</v>
      </c>
      <c r="O66" s="40"/>
      <c r="P66" s="53"/>
      <c r="T66" s="21" t="str">
        <f>+IF($B$3="esp","Margen EBITDA ","EBITDA Margin")</f>
        <v>EBITDA Margin</v>
      </c>
      <c r="U66" s="15"/>
      <c r="V66" s="22">
        <v>0.19796956855674178</v>
      </c>
      <c r="W66" s="26">
        <v>9.8077482307408634E-2</v>
      </c>
      <c r="X66" s="29">
        <v>1.0185017386176056</v>
      </c>
      <c r="AA66" s="40"/>
      <c r="AB66" s="22">
        <v>-9.4094895446154042E-2</v>
      </c>
      <c r="AC66" s="26">
        <v>-0.20734476897352991</v>
      </c>
      <c r="AD66" s="29">
        <v>0.54619112933509117</v>
      </c>
      <c r="AE66" s="40"/>
      <c r="AF66" s="53"/>
      <c r="AQ66" s="30"/>
      <c r="AU66" s="40"/>
      <c r="AV66" s="53"/>
    </row>
    <row r="67" spans="4:48" ht="15.75" customHeight="1" x14ac:dyDescent="0.3">
      <c r="D67" s="20" t="str">
        <f>+IF($B$3="esp","EBITDA sin indemnizaciones","EBITDA ex severance expenses")</f>
        <v>EBITDA ex severance expenses</v>
      </c>
      <c r="E67" s="9"/>
      <c r="F67" s="16">
        <v>50.260132699327713</v>
      </c>
      <c r="G67" s="23">
        <v>17.966641545918876</v>
      </c>
      <c r="H67" s="27">
        <v>1.7974138945708698</v>
      </c>
      <c r="I67" s="9"/>
      <c r="J67" s="9"/>
      <c r="K67" s="36"/>
      <c r="L67" s="16">
        <v>7.3034129200645523</v>
      </c>
      <c r="M67" s="23">
        <v>0.88292938203533566</v>
      </c>
      <c r="N67" s="27">
        <v>7.2717973471770394</v>
      </c>
      <c r="O67" s="36"/>
      <c r="P67" s="51"/>
      <c r="T67" s="20" t="str">
        <f>+IF($B$3="esp","EBITDA sin indemnizaciones","EBITDA ex severance expenses")</f>
        <v>EBITDA ex severance expenses</v>
      </c>
      <c r="U67" s="9"/>
      <c r="V67" s="16">
        <v>39.26466031180184</v>
      </c>
      <c r="W67" s="23">
        <v>15.00584539737293</v>
      </c>
      <c r="X67" s="27">
        <v>1.6166243401838523</v>
      </c>
      <c r="Y67" s="9"/>
      <c r="Z67" s="9"/>
      <c r="AA67" s="36"/>
      <c r="AB67" s="16">
        <v>-5.2248845244530173</v>
      </c>
      <c r="AC67" s="23">
        <v>-9.5344177713742972</v>
      </c>
      <c r="AD67" s="27">
        <v>0.45199752625273321</v>
      </c>
      <c r="AE67" s="36"/>
      <c r="AF67" s="51"/>
      <c r="AO67" s="2"/>
      <c r="AP67" s="2"/>
      <c r="AQ67" s="52"/>
      <c r="AU67" s="36"/>
      <c r="AV67" s="51"/>
    </row>
    <row r="68" spans="4:48" ht="15.75" customHeight="1" x14ac:dyDescent="0.25">
      <c r="D68" s="19" t="str">
        <f>+IF($B$3="esp","España","Spain")</f>
        <v>Spain</v>
      </c>
      <c r="F68" s="17">
        <v>-6.2396840000957354E-2</v>
      </c>
      <c r="G68" s="24">
        <v>-9.0853515000005594</v>
      </c>
      <c r="H68" s="28">
        <v>0.99313214904222979</v>
      </c>
      <c r="K68" s="31"/>
      <c r="L68" s="17">
        <v>7.1138157499990839</v>
      </c>
      <c r="M68" s="24">
        <v>4.6712142799996421</v>
      </c>
      <c r="N68" s="28">
        <v>0.522905035732942</v>
      </c>
      <c r="O68" s="31"/>
      <c r="P68" s="50"/>
      <c r="T68" s="19" t="str">
        <f>+IF($B$3="esp","Privado","Private")</f>
        <v>Private</v>
      </c>
      <c r="V68" s="17">
        <v>34.651083093061914</v>
      </c>
      <c r="W68" s="24">
        <v>11.452422922662995</v>
      </c>
      <c r="X68" s="28">
        <v>2.0256552108717103</v>
      </c>
      <c r="AA68" s="31"/>
      <c r="AB68" s="17">
        <v>-9.1243818262249974</v>
      </c>
      <c r="AC68" s="24">
        <v>-14.954754213037917</v>
      </c>
      <c r="AD68" s="28">
        <v>0.38986748319339543</v>
      </c>
      <c r="AE68" s="31"/>
      <c r="AF68" s="50"/>
      <c r="AJ68" s="18"/>
      <c r="AL68" s="25"/>
      <c r="AM68" s="25"/>
      <c r="AN68" s="49"/>
      <c r="AO68" s="2"/>
      <c r="AP68" s="2"/>
      <c r="AQ68" s="38"/>
      <c r="AR68" s="25"/>
      <c r="AS68" s="25"/>
      <c r="AT68" s="49"/>
      <c r="AU68" s="31"/>
      <c r="AV68" s="50"/>
    </row>
    <row r="69" spans="4:48" ht="15.75" customHeight="1" x14ac:dyDescent="0.25">
      <c r="D69" s="19" t="str">
        <f>+IF($B$3="esp","Internacional","International")</f>
        <v>International</v>
      </c>
      <c r="F69" s="17">
        <v>50.32252953932867</v>
      </c>
      <c r="G69" s="24">
        <v>27.051993045919435</v>
      </c>
      <c r="H69" s="28">
        <v>0.86021523271533595</v>
      </c>
      <c r="K69" s="31"/>
      <c r="L69" s="17">
        <v>0.18959717006546839</v>
      </c>
      <c r="M69" s="24">
        <v>-3.7882848979643065</v>
      </c>
      <c r="N69" s="28" t="s">
        <v>10</v>
      </c>
      <c r="O69" s="31"/>
      <c r="P69" s="50"/>
      <c r="T69" s="19" t="str">
        <f>+IF($B$3="esp","Público","Public")</f>
        <v>Public</v>
      </c>
      <c r="V69" s="17">
        <v>4.6079666215635795</v>
      </c>
      <c r="W69" s="24">
        <v>3.4937240456848131</v>
      </c>
      <c r="X69" s="28">
        <v>0.31892689900766363</v>
      </c>
      <c r="AA69" s="31"/>
      <c r="AB69" s="17">
        <v>3.8596108861061511</v>
      </c>
      <c r="AC69" s="24">
        <v>5.3216115172058185</v>
      </c>
      <c r="AD69" s="28">
        <v>-0.2747289287037829</v>
      </c>
      <c r="AE69" s="31"/>
      <c r="AF69" s="50"/>
      <c r="AJ69" s="18"/>
      <c r="AL69" s="25"/>
      <c r="AM69" s="25"/>
      <c r="AN69" s="49"/>
      <c r="AO69" s="2"/>
      <c r="AP69" s="2"/>
      <c r="AQ69" s="39"/>
      <c r="AR69" s="25"/>
      <c r="AS69" s="25"/>
      <c r="AT69" s="49"/>
      <c r="AU69" s="31"/>
      <c r="AV69" s="50"/>
    </row>
    <row r="70" spans="4:48" ht="15.75" customHeight="1" x14ac:dyDescent="0.25">
      <c r="D70" s="21" t="str">
        <f>+IF($B$3="esp","Margen EBITDA sin indemnizaciones ","EBITDA ex severance expenses Margin")</f>
        <v>EBITDA ex severance expenses Margin</v>
      </c>
      <c r="E70" s="15"/>
      <c r="F70" s="22">
        <v>0.13411318848789128</v>
      </c>
      <c r="G70" s="26">
        <v>5.8673292058585756E-2</v>
      </c>
      <c r="H70" s="29">
        <v>1.28576212076149</v>
      </c>
      <c r="K70" s="40"/>
      <c r="L70" s="22">
        <v>4.321277863988135E-2</v>
      </c>
      <c r="M70" s="26">
        <v>5.9779207521032281E-3</v>
      </c>
      <c r="N70" s="29">
        <v>6.228730595780763</v>
      </c>
      <c r="O70" s="40"/>
      <c r="P70" s="53"/>
      <c r="T70" s="21" t="str">
        <f>+IF($B$3="esp","Margen EBITDA sin indemnizaciones ","EBITDA ex severance expenses Margin")</f>
        <v>EBITDA ex severance expenses Margin</v>
      </c>
      <c r="U70" s="15"/>
      <c r="V70" s="22">
        <v>0.20702730696042307</v>
      </c>
      <c r="W70" s="26">
        <v>0.11390667048430587</v>
      </c>
      <c r="X70" s="29">
        <v>0.81751697315169447</v>
      </c>
      <c r="AA70" s="40"/>
      <c r="AB70" s="22">
        <v>-7.8754714780055385E-2</v>
      </c>
      <c r="AC70" s="26">
        <v>-0.19158958554641298</v>
      </c>
      <c r="AD70" s="29">
        <v>0.58894052327819824</v>
      </c>
      <c r="AE70" s="40"/>
      <c r="AF70" s="53"/>
      <c r="AQ70" s="30"/>
      <c r="AU70" s="40"/>
      <c r="AV70" s="53"/>
    </row>
    <row r="71" spans="4:48" ht="15.75" customHeight="1" x14ac:dyDescent="0.3">
      <c r="D71" s="20" t="str">
        <f>+IF($B$3="esp","EBIT","EBIT")</f>
        <v>EBIT</v>
      </c>
      <c r="E71" s="9"/>
      <c r="F71" s="16">
        <v>12.669164129711985</v>
      </c>
      <c r="G71" s="23">
        <v>-28.408900839821811</v>
      </c>
      <c r="H71" s="27" t="s">
        <v>10</v>
      </c>
      <c r="K71" s="40"/>
      <c r="L71" s="16">
        <v>-10.596061185145393</v>
      </c>
      <c r="M71" s="23">
        <v>-23.866604623914224</v>
      </c>
      <c r="N71" s="27">
        <v>0.55602980180397377</v>
      </c>
      <c r="O71" s="40"/>
      <c r="P71" s="53"/>
      <c r="T71" s="20" t="str">
        <f>+IF($B$3="esp","EBIT Contable","Reported EBIT")</f>
        <v>Reported EBIT</v>
      </c>
      <c r="U71" s="9"/>
      <c r="V71" s="16">
        <v>19.205647024909918</v>
      </c>
      <c r="W71" s="23">
        <v>-5.2981010494050098</v>
      </c>
      <c r="X71" s="27" t="s">
        <v>10</v>
      </c>
      <c r="AA71" s="40"/>
      <c r="AB71" s="16">
        <v>-14.669062755572039</v>
      </c>
      <c r="AC71" s="23">
        <v>-18.173263257193977</v>
      </c>
      <c r="AD71" s="27">
        <v>0.19282175424574793</v>
      </c>
      <c r="AE71" s="40"/>
      <c r="AF71" s="53"/>
      <c r="AJ71" s="18"/>
      <c r="AL71" s="25"/>
      <c r="AM71" s="25"/>
      <c r="AN71" s="49"/>
      <c r="AO71" s="9"/>
      <c r="AP71" s="9"/>
      <c r="AQ71" s="36"/>
      <c r="AR71" s="25"/>
      <c r="AS71" s="25"/>
      <c r="AT71" s="49"/>
      <c r="AU71" s="40"/>
      <c r="AV71" s="53"/>
    </row>
    <row r="72" spans="4:48" ht="15.75" customHeight="1" x14ac:dyDescent="0.25">
      <c r="D72" s="19" t="str">
        <f>+IF($B$3="esp","España","Spain")</f>
        <v>Spain</v>
      </c>
      <c r="F72" s="17">
        <v>-16.065803530000949</v>
      </c>
      <c r="G72" s="24">
        <v>-33.388095170000767</v>
      </c>
      <c r="H72" s="28">
        <v>0.5188164090164662</v>
      </c>
      <c r="I72" s="15"/>
      <c r="J72" s="15"/>
      <c r="K72" s="41"/>
      <c r="L72" s="17">
        <v>-0.49170015000084888</v>
      </c>
      <c r="M72" s="24">
        <v>-10.448778210000604</v>
      </c>
      <c r="N72" s="28">
        <v>0.95294185213633509</v>
      </c>
      <c r="O72" s="41"/>
      <c r="P72" s="54"/>
      <c r="T72" s="19" t="str">
        <f>+IF($B$3="esp","Privado","Private")</f>
        <v>Private</v>
      </c>
      <c r="V72" s="17">
        <v>17.085265919691075</v>
      </c>
      <c r="W72" s="24">
        <v>-6.168783566712527</v>
      </c>
      <c r="X72" s="28" t="s">
        <v>10</v>
      </c>
      <c r="Y72" s="15"/>
      <c r="Z72" s="15"/>
      <c r="AA72" s="41"/>
      <c r="AB72" s="17">
        <v>-17.424475246639751</v>
      </c>
      <c r="AC72" s="24">
        <v>-22.297653492900299</v>
      </c>
      <c r="AD72" s="28">
        <v>0.21855116942292585</v>
      </c>
      <c r="AE72" s="41"/>
      <c r="AF72" s="54"/>
      <c r="AJ72" s="18"/>
      <c r="AL72" s="25"/>
      <c r="AM72" s="25"/>
      <c r="AN72" s="49"/>
      <c r="AQ72" s="31"/>
      <c r="AR72" s="25"/>
      <c r="AS72" s="25"/>
      <c r="AT72" s="49"/>
      <c r="AU72" s="41"/>
      <c r="AV72" s="54"/>
    </row>
    <row r="73" spans="4:48" ht="15.75" customHeight="1" x14ac:dyDescent="0.3">
      <c r="D73" s="19" t="str">
        <f>+IF($B$3="esp","Internacional","International")</f>
        <v>International</v>
      </c>
      <c r="F73" s="17">
        <v>28.734967659712932</v>
      </c>
      <c r="G73" s="24">
        <v>4.9791943301789523</v>
      </c>
      <c r="H73" s="28">
        <v>4.7710074671217333</v>
      </c>
      <c r="I73" s="9"/>
      <c r="J73" s="9"/>
      <c r="K73" s="36"/>
      <c r="L73" s="17">
        <v>-10.104361035144546</v>
      </c>
      <c r="M73" s="24">
        <v>-13.417826413913623</v>
      </c>
      <c r="N73" s="28">
        <v>0.24694501751290934</v>
      </c>
      <c r="O73" s="36"/>
      <c r="P73" s="51"/>
      <c r="T73" s="19" t="str">
        <f>+IF($B$3="esp","Público","Public")</f>
        <v>Public</v>
      </c>
      <c r="V73" s="17">
        <v>2.1453817342432204</v>
      </c>
      <c r="W73" s="24">
        <v>0.86292983381620392</v>
      </c>
      <c r="X73" s="28">
        <v>1.4861601142650573</v>
      </c>
      <c r="Y73" s="9"/>
      <c r="Z73" s="9"/>
      <c r="AA73" s="36"/>
      <c r="AB73" s="17">
        <v>2.7280931794213785</v>
      </c>
      <c r="AC73" s="24">
        <v>4.1317317143140695</v>
      </c>
      <c r="AD73" s="28">
        <v>-0.3397216063254766</v>
      </c>
      <c r="AE73" s="36"/>
      <c r="AF73" s="51"/>
      <c r="AQ73" s="31"/>
      <c r="AU73" s="36"/>
      <c r="AV73" s="51"/>
    </row>
    <row r="74" spans="4:48" ht="15.75" customHeight="1" x14ac:dyDescent="0.25">
      <c r="D74" s="21" t="str">
        <f>+IF($B$3="esp","Margen EBIT ","EBIT Margin")</f>
        <v>EBIT Margin</v>
      </c>
      <c r="E74" s="15"/>
      <c r="F74" s="22">
        <v>3.3806158194540976E-2</v>
      </c>
      <c r="G74" s="26">
        <v>-9.2774363632633999E-2</v>
      </c>
      <c r="H74" s="29" t="s">
        <v>10</v>
      </c>
      <c r="K74" s="31"/>
      <c r="L74" s="22">
        <v>-6.2694695132242309E-2</v>
      </c>
      <c r="M74" s="26">
        <v>-0.16159012710014198</v>
      </c>
      <c r="N74" s="29">
        <v>0.61201407377204031</v>
      </c>
      <c r="O74" s="31"/>
      <c r="P74" s="50"/>
      <c r="T74" s="21" t="str">
        <f>+IF($B$3="esp","Margen EBIT ","EBIT Margin")</f>
        <v>EBIT Margin</v>
      </c>
      <c r="U74" s="15"/>
      <c r="V74" s="22">
        <v>0.10126391901586021</v>
      </c>
      <c r="W74" s="26">
        <v>-4.0216931098915915E-2</v>
      </c>
      <c r="X74" s="29" t="s">
        <v>10</v>
      </c>
      <c r="AA74" s="31"/>
      <c r="AB74" s="22">
        <v>-0.22110686810379809</v>
      </c>
      <c r="AC74" s="26">
        <v>-0.36518307241846176</v>
      </c>
      <c r="AD74" s="29">
        <v>0.39453144243654137</v>
      </c>
      <c r="AE74" s="31"/>
      <c r="AF74" s="50"/>
      <c r="AQ74" s="31"/>
      <c r="AU74" s="31"/>
      <c r="AV74" s="50"/>
    </row>
    <row r="75" spans="4:48" ht="15.75" customHeight="1" x14ac:dyDescent="0.25">
      <c r="K75" s="31"/>
      <c r="O75" s="31"/>
      <c r="P75" s="50"/>
      <c r="T75" s="18"/>
      <c r="V75" s="25"/>
      <c r="W75" s="25"/>
      <c r="X75" s="49"/>
      <c r="AA75" s="31"/>
      <c r="AB75" s="25"/>
      <c r="AC75" s="25"/>
      <c r="AD75" s="49"/>
      <c r="AE75" s="31"/>
      <c r="AF75" s="50"/>
      <c r="AQ75" s="31"/>
      <c r="AU75" s="31"/>
      <c r="AV75" s="50"/>
    </row>
    <row r="76" spans="4:48" ht="15.75" customHeight="1" x14ac:dyDescent="0.25">
      <c r="D76" s="18"/>
      <c r="F76" s="25"/>
      <c r="G76" s="25"/>
      <c r="H76" s="49"/>
      <c r="K76" s="40"/>
      <c r="L76" s="25"/>
      <c r="M76" s="25"/>
      <c r="N76" s="49"/>
      <c r="O76" s="40"/>
      <c r="P76" s="53"/>
      <c r="T76" s="18"/>
      <c r="V76" s="25"/>
      <c r="W76" s="25"/>
      <c r="X76" s="49"/>
      <c r="AA76" s="40"/>
      <c r="AB76" s="25"/>
      <c r="AC76" s="25"/>
      <c r="AD76" s="49"/>
      <c r="AE76" s="40"/>
      <c r="AF76" s="53"/>
      <c r="AQ76" s="31"/>
      <c r="AU76" s="40"/>
      <c r="AV76" s="53"/>
    </row>
    <row r="77" spans="4:48" x14ac:dyDescent="0.25">
      <c r="K77" s="30"/>
      <c r="O77" s="30"/>
      <c r="P77" s="30"/>
      <c r="AA77" s="30"/>
      <c r="AE77" s="30"/>
      <c r="AF77" s="30"/>
      <c r="AQ77" s="30"/>
      <c r="AU77" s="30"/>
      <c r="AV77" s="30"/>
    </row>
    <row r="78" spans="4:48" x14ac:dyDescent="0.25">
      <c r="K78" s="30"/>
      <c r="O78" s="30"/>
      <c r="P78" s="30"/>
      <c r="AA78" s="30"/>
      <c r="AE78" s="30"/>
      <c r="AF78" s="30"/>
      <c r="AQ78" s="30"/>
      <c r="AU78" s="30"/>
      <c r="AV78" s="30"/>
    </row>
    <row r="79" spans="4:48" ht="16.5" x14ac:dyDescent="0.3">
      <c r="D79" s="60" t="str">
        <f>+IF($B$3="esp","Resultados por Negocio","Perfomance by Business")</f>
        <v>Perfomance by Business</v>
      </c>
      <c r="E79" s="2"/>
      <c r="F79" s="6" t="str">
        <f>+$F$6</f>
        <v>JANUARY - JUNE</v>
      </c>
      <c r="G79" s="7"/>
      <c r="H79" s="7"/>
      <c r="I79" s="2"/>
      <c r="J79" s="2"/>
      <c r="K79" s="52"/>
      <c r="L79" s="62" t="str">
        <f>+$F$6</f>
        <v>JANUARY - JUNE</v>
      </c>
      <c r="M79" s="62"/>
      <c r="N79" s="62"/>
      <c r="O79" s="37"/>
      <c r="P79" s="37"/>
      <c r="T79" s="63"/>
      <c r="U79" s="38"/>
      <c r="V79" s="52"/>
      <c r="W79" s="37"/>
      <c r="X79" s="37"/>
      <c r="Y79" s="2"/>
      <c r="Z79" s="2"/>
      <c r="AA79" s="52"/>
      <c r="AB79" s="52"/>
      <c r="AC79" s="37"/>
      <c r="AD79" s="37"/>
      <c r="AE79" s="37"/>
      <c r="AF79" s="37"/>
      <c r="AO79" s="9"/>
      <c r="AP79" s="9"/>
      <c r="AQ79" s="36"/>
      <c r="AU79" s="37"/>
      <c r="AV79" s="37"/>
    </row>
    <row r="80" spans="4:48" x14ac:dyDescent="0.25">
      <c r="D80" s="61"/>
      <c r="E80" s="2"/>
      <c r="F80" s="2"/>
      <c r="G80" s="2"/>
      <c r="H80" s="2"/>
      <c r="I80" s="2"/>
      <c r="J80" s="2"/>
      <c r="K80" s="38"/>
      <c r="L80" s="2"/>
      <c r="M80" s="2"/>
      <c r="N80" s="2"/>
      <c r="O80" s="38"/>
      <c r="P80" s="38"/>
      <c r="T80" s="63"/>
      <c r="U80" s="38"/>
      <c r="V80" s="38"/>
      <c r="W80" s="38"/>
      <c r="X80" s="38"/>
      <c r="Y80" s="2"/>
      <c r="Z80" s="2"/>
      <c r="AA80" s="38"/>
      <c r="AB80" s="38"/>
      <c r="AC80" s="38"/>
      <c r="AD80" s="38"/>
      <c r="AE80" s="38"/>
      <c r="AF80" s="38"/>
      <c r="AQ80" s="31"/>
      <c r="AU80" s="38"/>
      <c r="AV80" s="38"/>
    </row>
    <row r="81" spans="1:48" x14ac:dyDescent="0.25">
      <c r="D81" s="4" t="str">
        <f>+IF($B$3="esp","Millones de €","€ Millions")</f>
        <v>€ Millions</v>
      </c>
      <c r="E81" s="2"/>
      <c r="F81" s="8">
        <v>2022</v>
      </c>
      <c r="G81" s="8">
        <v>2021</v>
      </c>
      <c r="H81" s="8" t="str">
        <f>+IF($B$3="esp","Var.","Chg.")</f>
        <v>Chg.</v>
      </c>
      <c r="I81" s="2"/>
      <c r="J81" s="2"/>
      <c r="K81" s="39"/>
      <c r="L81" s="8">
        <v>2022</v>
      </c>
      <c r="M81" s="8">
        <v>2021</v>
      </c>
      <c r="N81" s="8" t="str">
        <f>+IF($B$3="esp","Var.","Chg.")</f>
        <v>Chg.</v>
      </c>
      <c r="O81" s="39"/>
      <c r="P81" s="39"/>
      <c r="T81" s="55"/>
      <c r="U81" s="38"/>
      <c r="V81" s="39"/>
      <c r="W81" s="39"/>
      <c r="X81" s="39"/>
      <c r="Y81" s="2"/>
      <c r="Z81" s="2"/>
      <c r="AA81" s="39"/>
      <c r="AB81" s="39"/>
      <c r="AC81" s="39"/>
      <c r="AD81" s="39"/>
      <c r="AE81" s="39"/>
      <c r="AF81" s="39"/>
      <c r="AQ81" s="31"/>
      <c r="AU81" s="39"/>
      <c r="AV81" s="39"/>
    </row>
    <row r="82" spans="1:48" ht="16.5" x14ac:dyDescent="0.3">
      <c r="D82" s="10" t="str">
        <f>+IF($B$3="esp","Ingresos de Explotación","Operating Revenues")</f>
        <v>Operating Revenues</v>
      </c>
      <c r="F82" s="11"/>
      <c r="G82" s="11"/>
      <c r="H82" s="11"/>
      <c r="K82" s="30"/>
      <c r="L82" s="11"/>
      <c r="M82" s="11"/>
      <c r="N82" s="11"/>
      <c r="O82" s="30"/>
      <c r="P82" s="30"/>
      <c r="T82" s="56"/>
      <c r="U82" s="30"/>
      <c r="V82" s="30"/>
      <c r="W82" s="30"/>
      <c r="X82" s="30"/>
      <c r="AA82" s="30"/>
      <c r="AB82" s="30"/>
      <c r="AC82" s="30"/>
      <c r="AD82" s="30"/>
      <c r="AE82" s="30"/>
      <c r="AF82" s="30"/>
      <c r="AQ82" s="31"/>
      <c r="AU82" s="30"/>
      <c r="AV82" s="30"/>
    </row>
    <row r="83" spans="1:48" ht="15.75" customHeight="1" x14ac:dyDescent="0.3">
      <c r="D83" s="20" t="str">
        <f>+IF($B$3="esp","GRUPO","GROUP")</f>
        <v>GROUP</v>
      </c>
      <c r="E83" s="9"/>
      <c r="F83" s="16">
        <v>388.17126037683295</v>
      </c>
      <c r="G83" s="23">
        <v>306.214990084058</v>
      </c>
      <c r="H83" s="27">
        <v>0.26764290758684744</v>
      </c>
      <c r="I83" s="9"/>
      <c r="J83" s="9"/>
      <c r="K83" s="36"/>
      <c r="L83" s="16">
        <v>177.58390203643773</v>
      </c>
      <c r="M83" s="23">
        <v>147.69840863559327</v>
      </c>
      <c r="N83" s="27">
        <v>0.20234133649048996</v>
      </c>
      <c r="O83" s="36"/>
      <c r="P83" s="51"/>
      <c r="T83" s="34"/>
      <c r="U83" s="33"/>
      <c r="V83" s="36"/>
      <c r="W83" s="36"/>
      <c r="X83" s="51"/>
      <c r="Y83" s="9"/>
      <c r="Z83" s="9"/>
      <c r="AA83" s="36"/>
      <c r="AB83" s="36"/>
      <c r="AC83" s="36"/>
      <c r="AD83" s="51"/>
      <c r="AE83" s="36"/>
      <c r="AF83" s="51"/>
      <c r="AQ83" s="31"/>
      <c r="AU83" s="36"/>
      <c r="AV83" s="51"/>
    </row>
    <row r="84" spans="1:48" ht="15.75" customHeight="1" x14ac:dyDescent="0.25">
      <c r="D84" s="19" t="str">
        <f>+IF($B$3="esp","Educación","Education")</f>
        <v>Education</v>
      </c>
      <c r="F84" s="17">
        <v>202.50990061409487</v>
      </c>
      <c r="G84" s="24">
        <v>131.73807410550592</v>
      </c>
      <c r="H84" s="28">
        <v>0.5372161919712708</v>
      </c>
      <c r="K84" s="31"/>
      <c r="L84" s="17">
        <v>74.142838710660698</v>
      </c>
      <c r="M84" s="24">
        <v>49.76480190289135</v>
      </c>
      <c r="N84" s="28">
        <v>0.48986504267292136</v>
      </c>
      <c r="O84" s="31"/>
      <c r="P84" s="50"/>
      <c r="T84" s="48"/>
      <c r="U84" s="30"/>
      <c r="V84" s="31"/>
      <c r="W84" s="31"/>
      <c r="X84" s="50"/>
      <c r="AA84" s="31"/>
      <c r="AB84" s="31"/>
      <c r="AC84" s="31"/>
      <c r="AD84" s="50"/>
      <c r="AE84" s="31"/>
      <c r="AF84" s="50"/>
      <c r="AQ84" s="31"/>
      <c r="AU84" s="31"/>
      <c r="AV84" s="50"/>
    </row>
    <row r="85" spans="1:48" ht="15.75" customHeight="1" x14ac:dyDescent="0.25">
      <c r="D85" s="19" t="str">
        <f>+IF($B$3="esp","Media","Media")</f>
        <v>Media</v>
      </c>
      <c r="F85" s="17">
        <v>186.23409546764927</v>
      </c>
      <c r="G85" s="24">
        <v>175.15462103967022</v>
      </c>
      <c r="H85" s="28">
        <v>6.325539321894165E-2</v>
      </c>
      <c r="K85" s="31"/>
      <c r="L85" s="17">
        <v>103.69248544564431</v>
      </c>
      <c r="M85" s="24">
        <v>98.159916884460756</v>
      </c>
      <c r="N85" s="28">
        <v>5.6362808127635937E-2</v>
      </c>
      <c r="O85" s="31"/>
      <c r="P85" s="50"/>
      <c r="T85" s="59"/>
      <c r="U85" s="30"/>
      <c r="V85" s="31"/>
      <c r="W85" s="31"/>
      <c r="X85" s="50"/>
      <c r="AA85" s="31"/>
      <c r="AB85" s="31"/>
      <c r="AC85" s="31"/>
      <c r="AD85" s="50"/>
      <c r="AE85" s="31"/>
      <c r="AF85" s="50"/>
      <c r="AQ85" s="30"/>
      <c r="AU85" s="31"/>
      <c r="AV85" s="50"/>
    </row>
    <row r="86" spans="1:48" ht="15.75" customHeight="1" x14ac:dyDescent="0.25">
      <c r="D86" s="32" t="s">
        <v>5</v>
      </c>
      <c r="F86" s="17">
        <v>111.52517568333209</v>
      </c>
      <c r="G86" s="24">
        <v>96.605438902318483</v>
      </c>
      <c r="H86" s="28">
        <v>0.15443992543835486</v>
      </c>
      <c r="K86" s="31"/>
      <c r="L86" s="17">
        <v>62.85959067006366</v>
      </c>
      <c r="M86" s="24">
        <v>55.328367574104291</v>
      </c>
      <c r="N86" s="28">
        <v>0.13611865714043331</v>
      </c>
      <c r="O86" s="31"/>
      <c r="P86" s="50"/>
      <c r="T86" s="59"/>
      <c r="U86" s="30"/>
      <c r="V86" s="31"/>
      <c r="W86" s="31"/>
      <c r="X86" s="50"/>
      <c r="AA86" s="31"/>
      <c r="AB86" s="31"/>
      <c r="AC86" s="31"/>
      <c r="AD86" s="50"/>
      <c r="AE86" s="31"/>
      <c r="AF86" s="50"/>
      <c r="AQ86" s="30"/>
      <c r="AU86" s="31"/>
      <c r="AV86" s="50"/>
    </row>
    <row r="87" spans="1:48" ht="15.75" customHeight="1" x14ac:dyDescent="0.3">
      <c r="D87" s="32" t="s">
        <v>6</v>
      </c>
      <c r="F87" s="17">
        <v>72.250125808945597</v>
      </c>
      <c r="G87" s="24">
        <v>78.578211273103079</v>
      </c>
      <c r="H87" s="28">
        <v>-8.0532317567828804E-2</v>
      </c>
      <c r="K87" s="31"/>
      <c r="L87" s="17">
        <v>38.063303496447681</v>
      </c>
      <c r="M87" s="24">
        <v>42.760549109240387</v>
      </c>
      <c r="N87" s="28">
        <v>-0.10984998346940428</v>
      </c>
      <c r="O87" s="31"/>
      <c r="P87" s="50"/>
      <c r="T87" s="48"/>
      <c r="U87" s="30"/>
      <c r="V87" s="31"/>
      <c r="W87" s="31"/>
      <c r="X87" s="50"/>
      <c r="AA87" s="31"/>
      <c r="AB87" s="31"/>
      <c r="AC87" s="31"/>
      <c r="AD87" s="50"/>
      <c r="AE87" s="31"/>
      <c r="AF87" s="50"/>
      <c r="AO87" s="9"/>
      <c r="AP87" s="9"/>
      <c r="AQ87" s="36"/>
      <c r="AU87" s="31"/>
      <c r="AV87" s="50"/>
    </row>
    <row r="88" spans="1:48" ht="15.75" customHeight="1" x14ac:dyDescent="0.25">
      <c r="A88" s="35"/>
      <c r="D88" s="32" t="str">
        <f>+IF($B$3="esp","Otros","Other")</f>
        <v>Other</v>
      </c>
      <c r="F88" s="17">
        <v>2.4587939753715773</v>
      </c>
      <c r="G88" s="24">
        <v>-2.9029135751343915E-2</v>
      </c>
      <c r="H88" s="28" t="s">
        <v>10</v>
      </c>
      <c r="K88" s="31"/>
      <c r="L88" s="17">
        <v>2.7695912791329675</v>
      </c>
      <c r="M88" s="24">
        <v>7.1000201116078188E-2</v>
      </c>
      <c r="N88" s="28" t="s">
        <v>10</v>
      </c>
      <c r="O88" s="31"/>
      <c r="P88" s="50"/>
      <c r="T88" s="59"/>
      <c r="U88" s="30"/>
      <c r="V88" s="31"/>
      <c r="W88" s="31"/>
      <c r="X88" s="50"/>
      <c r="AA88" s="31"/>
      <c r="AB88" s="31"/>
      <c r="AC88" s="31"/>
      <c r="AD88" s="50"/>
      <c r="AE88" s="31"/>
      <c r="AF88" s="50"/>
      <c r="AQ88" s="31"/>
      <c r="AU88" s="31"/>
      <c r="AV88" s="50"/>
    </row>
    <row r="89" spans="1:48" x14ac:dyDescent="0.25">
      <c r="D89" s="19" t="str">
        <f>+IF($B$3="esp","Otros","Other")</f>
        <v>Other</v>
      </c>
      <c r="F89" s="17">
        <v>-0.57273570491119585</v>
      </c>
      <c r="G89" s="24">
        <v>-0.67770506111813233</v>
      </c>
      <c r="H89" s="28">
        <v>0.15488943823696638</v>
      </c>
      <c r="K89" s="30"/>
      <c r="L89" s="17">
        <v>-0.25142211986727148</v>
      </c>
      <c r="M89" s="24">
        <v>-0.22631015175883817</v>
      </c>
      <c r="N89" s="28">
        <v>-0.11096262325515671</v>
      </c>
      <c r="O89" s="30"/>
      <c r="P89" s="30"/>
      <c r="T89" s="59"/>
      <c r="U89" s="30"/>
      <c r="V89" s="31"/>
      <c r="W89" s="31"/>
      <c r="X89" s="50"/>
      <c r="AA89" s="30"/>
      <c r="AB89" s="31"/>
      <c r="AC89" s="31"/>
      <c r="AD89" s="50"/>
      <c r="AE89" s="30"/>
      <c r="AF89" s="30"/>
      <c r="AQ89" s="31"/>
      <c r="AU89" s="30"/>
      <c r="AV89" s="30"/>
    </row>
    <row r="90" spans="1:48" x14ac:dyDescent="0.25">
      <c r="K90" s="30"/>
      <c r="O90" s="30"/>
      <c r="P90" s="30"/>
      <c r="T90" s="48"/>
      <c r="U90" s="30"/>
      <c r="V90" s="31"/>
      <c r="W90" s="31"/>
      <c r="X90" s="50"/>
      <c r="AA90" s="30"/>
      <c r="AB90" s="31"/>
      <c r="AC90" s="31"/>
      <c r="AD90" s="50"/>
      <c r="AE90" s="30"/>
      <c r="AF90" s="30"/>
      <c r="AQ90" s="31"/>
      <c r="AU90" s="30"/>
      <c r="AV90" s="30"/>
    </row>
    <row r="91" spans="1:48" ht="15.75" customHeight="1" x14ac:dyDescent="0.3">
      <c r="D91" s="10" t="str">
        <f>+IF($B$3="esp","EBITDA","EBITDA")</f>
        <v>EBITDA</v>
      </c>
      <c r="F91" s="11"/>
      <c r="G91" s="11"/>
      <c r="H91" s="11"/>
      <c r="I91" s="9"/>
      <c r="J91" s="9"/>
      <c r="K91" s="36"/>
      <c r="L91" s="11"/>
      <c r="M91" s="11"/>
      <c r="N91" s="11"/>
      <c r="O91" s="36"/>
      <c r="P91" s="51"/>
      <c r="T91" s="30"/>
      <c r="U91" s="30"/>
      <c r="V91" s="30"/>
      <c r="W91" s="30"/>
      <c r="X91" s="30"/>
      <c r="Y91" s="9"/>
      <c r="Z91" s="9"/>
      <c r="AA91" s="36"/>
      <c r="AB91" s="30"/>
      <c r="AC91" s="30"/>
      <c r="AD91" s="30"/>
      <c r="AE91" s="36"/>
      <c r="AF91" s="51"/>
      <c r="AQ91" s="31"/>
      <c r="AU91" s="36"/>
      <c r="AV91" s="51"/>
    </row>
    <row r="92" spans="1:48" ht="15.75" customHeight="1" x14ac:dyDescent="0.3">
      <c r="D92" s="20" t="str">
        <f>+IF($B$3="esp","GRUPO","GROUP")</f>
        <v>GROUP</v>
      </c>
      <c r="E92" s="9"/>
      <c r="F92" s="16">
        <v>44.729671737383413</v>
      </c>
      <c r="G92" s="23">
        <v>2.7262869758044044</v>
      </c>
      <c r="H92" s="27" t="s">
        <v>10</v>
      </c>
      <c r="K92" s="31"/>
      <c r="L92" s="16">
        <v>3.4394875701868557</v>
      </c>
      <c r="M92" s="23">
        <v>-9.5798270990358318</v>
      </c>
      <c r="N92" s="27" t="s">
        <v>10</v>
      </c>
      <c r="O92" s="31"/>
      <c r="P92" s="50"/>
      <c r="T92" s="56"/>
      <c r="U92" s="30"/>
      <c r="V92" s="30"/>
      <c r="W92" s="30"/>
      <c r="X92" s="30"/>
      <c r="AA92" s="31"/>
      <c r="AB92" s="30"/>
      <c r="AC92" s="30"/>
      <c r="AD92" s="30"/>
      <c r="AE92" s="31"/>
      <c r="AF92" s="50"/>
      <c r="AQ92" s="31"/>
      <c r="AU92" s="31"/>
      <c r="AV92" s="50"/>
    </row>
    <row r="93" spans="1:48" ht="15.75" customHeight="1" x14ac:dyDescent="0.3">
      <c r="D93" s="19" t="str">
        <f>+IF($B$3="esp","Educación","Education")</f>
        <v>Education</v>
      </c>
      <c r="F93" s="17">
        <v>36.6452818322065</v>
      </c>
      <c r="G93" s="24">
        <v>12.920538632294845</v>
      </c>
      <c r="H93" s="28">
        <v>1.8362038824458711</v>
      </c>
      <c r="K93" s="31"/>
      <c r="L93" s="17">
        <v>-7.9029518750473216</v>
      </c>
      <c r="M93" s="24">
        <v>-10.318471353568489</v>
      </c>
      <c r="N93" s="28">
        <v>0.23409664045690218</v>
      </c>
      <c r="O93" s="31"/>
      <c r="P93" s="50"/>
      <c r="T93" s="34"/>
      <c r="U93" s="33"/>
      <c r="V93" s="36"/>
      <c r="W93" s="36"/>
      <c r="X93" s="51"/>
      <c r="AA93" s="31"/>
      <c r="AB93" s="36"/>
      <c r="AC93" s="36"/>
      <c r="AD93" s="51"/>
      <c r="AE93" s="31"/>
      <c r="AF93" s="50"/>
      <c r="AQ93" s="30"/>
      <c r="AU93" s="31"/>
      <c r="AV93" s="50"/>
    </row>
    <row r="94" spans="1:48" ht="15.75" customHeight="1" x14ac:dyDescent="0.25">
      <c r="D94" s="19" t="str">
        <f>+IF($B$3="esp","Media","Media")</f>
        <v>Media</v>
      </c>
      <c r="F94" s="17">
        <v>11.396754965177493</v>
      </c>
      <c r="G94" s="24">
        <v>-1.2238059564902413</v>
      </c>
      <c r="H94" s="28" t="s">
        <v>10</v>
      </c>
      <c r="K94" s="31"/>
      <c r="L94" s="17">
        <v>13.22302206523468</v>
      </c>
      <c r="M94" s="24">
        <v>6.251348124532659</v>
      </c>
      <c r="N94" s="28">
        <v>1.1152272760722652</v>
      </c>
      <c r="O94" s="31"/>
      <c r="P94" s="50"/>
      <c r="T94" s="48"/>
      <c r="U94" s="30"/>
      <c r="V94" s="31"/>
      <c r="W94" s="31"/>
      <c r="X94" s="50"/>
      <c r="AA94" s="31"/>
      <c r="AB94" s="31"/>
      <c r="AC94" s="31"/>
      <c r="AD94" s="50"/>
      <c r="AE94" s="31"/>
      <c r="AF94" s="50"/>
      <c r="AQ94" s="30"/>
      <c r="AU94" s="31"/>
      <c r="AV94" s="50"/>
    </row>
    <row r="95" spans="1:48" ht="15.75" customHeight="1" x14ac:dyDescent="0.25">
      <c r="D95" s="32" t="s">
        <v>5</v>
      </c>
      <c r="F95" s="17">
        <v>13.634729359535461</v>
      </c>
      <c r="G95" s="24">
        <v>-1.9177552145363055</v>
      </c>
      <c r="H95" s="28" t="s">
        <v>10</v>
      </c>
      <c r="K95" s="31"/>
      <c r="L95" s="17">
        <v>12.707162305161383</v>
      </c>
      <c r="M95" s="24">
        <v>2.5739971539811677</v>
      </c>
      <c r="N95" s="28">
        <v>3.936742950747782</v>
      </c>
      <c r="O95" s="31"/>
      <c r="P95" s="50"/>
      <c r="T95" s="59"/>
      <c r="U95" s="30"/>
      <c r="V95" s="31"/>
      <c r="W95" s="31"/>
      <c r="X95" s="50"/>
      <c r="AA95" s="31"/>
      <c r="AB95" s="31"/>
      <c r="AC95" s="31"/>
      <c r="AD95" s="50"/>
      <c r="AE95" s="31"/>
      <c r="AF95" s="50"/>
      <c r="AQ95" s="30"/>
      <c r="AU95" s="31"/>
      <c r="AV95" s="50"/>
    </row>
    <row r="96" spans="1:48" ht="15.75" customHeight="1" x14ac:dyDescent="0.25">
      <c r="A96" s="35"/>
      <c r="D96" s="32" t="s">
        <v>6</v>
      </c>
      <c r="F96" s="17">
        <v>-2.4330716428045744</v>
      </c>
      <c r="G96" s="24">
        <v>0.79160369924204055</v>
      </c>
      <c r="H96" s="28" t="s">
        <v>10</v>
      </c>
      <c r="K96" s="31"/>
      <c r="L96" s="17">
        <v>0.16208858050121266</v>
      </c>
      <c r="M96" s="24">
        <v>3.5717754239539996</v>
      </c>
      <c r="N96" s="28">
        <v>-0.9546196047449762</v>
      </c>
      <c r="O96" s="31"/>
      <c r="P96" s="50"/>
      <c r="T96" s="59"/>
      <c r="U96" s="30"/>
      <c r="V96" s="31"/>
      <c r="W96" s="31"/>
      <c r="X96" s="50"/>
      <c r="AA96" s="31"/>
      <c r="AB96" s="31"/>
      <c r="AC96" s="31"/>
      <c r="AD96" s="50"/>
      <c r="AE96" s="31"/>
      <c r="AF96" s="50"/>
      <c r="AQ96" s="30"/>
      <c r="AU96" s="31"/>
      <c r="AV96" s="50"/>
    </row>
    <row r="97" spans="1:48" x14ac:dyDescent="0.25">
      <c r="D97" s="32" t="str">
        <f>+IF($B$3="esp","Otros","Other")</f>
        <v>Other</v>
      </c>
      <c r="F97" s="17">
        <v>0.19509724844660647</v>
      </c>
      <c r="G97" s="24">
        <v>-9.7654441195976327E-2</v>
      </c>
      <c r="H97" s="28" t="s">
        <v>10</v>
      </c>
      <c r="K97" s="30"/>
      <c r="L97" s="17">
        <v>0.3537711795720857</v>
      </c>
      <c r="M97" s="24">
        <v>0.10557554659749147</v>
      </c>
      <c r="N97" s="28">
        <v>2.3508818185033342</v>
      </c>
      <c r="O97" s="30"/>
      <c r="P97" s="30"/>
      <c r="T97" s="48"/>
      <c r="U97" s="30"/>
      <c r="V97" s="31"/>
      <c r="W97" s="31"/>
      <c r="X97" s="50"/>
      <c r="AA97" s="30"/>
      <c r="AB97" s="31"/>
      <c r="AC97" s="31"/>
      <c r="AD97" s="50"/>
      <c r="AE97" s="30"/>
      <c r="AF97" s="30"/>
      <c r="AQ97" s="30"/>
      <c r="AU97" s="30"/>
      <c r="AV97" s="30"/>
    </row>
    <row r="98" spans="1:48" x14ac:dyDescent="0.25">
      <c r="D98" s="19" t="str">
        <f>+IF($B$3="esp","Otros","Other")</f>
        <v>Other</v>
      </c>
      <c r="F98" s="17">
        <v>-3.3123650600005803</v>
      </c>
      <c r="G98" s="24">
        <v>-8.970445700000198</v>
      </c>
      <c r="H98" s="28">
        <v>0.63074688028037362</v>
      </c>
      <c r="K98" s="30"/>
      <c r="L98" s="17">
        <v>-1.8805826200005031</v>
      </c>
      <c r="M98" s="24">
        <v>-5.5127038700000011</v>
      </c>
      <c r="N98" s="28">
        <v>0.65886384171031076</v>
      </c>
      <c r="O98" s="30"/>
      <c r="P98" s="30"/>
      <c r="T98" s="59"/>
      <c r="U98" s="30"/>
      <c r="V98" s="31"/>
      <c r="W98" s="31"/>
      <c r="X98" s="50"/>
      <c r="AA98" s="30"/>
      <c r="AB98" s="31"/>
      <c r="AC98" s="31"/>
      <c r="AD98" s="50"/>
      <c r="AE98" s="30"/>
      <c r="AF98" s="30"/>
      <c r="AQ98" s="30"/>
      <c r="AU98" s="30"/>
      <c r="AV98" s="30"/>
    </row>
    <row r="99" spans="1:48" ht="15.75" customHeight="1" x14ac:dyDescent="0.3">
      <c r="I99" s="9"/>
      <c r="J99" s="9"/>
      <c r="K99" s="36"/>
      <c r="O99" s="36"/>
      <c r="P99" s="51"/>
      <c r="T99" s="59"/>
      <c r="U99" s="30"/>
      <c r="V99" s="31"/>
      <c r="W99" s="31"/>
      <c r="X99" s="50"/>
      <c r="Y99" s="9"/>
      <c r="Z99" s="9"/>
      <c r="AA99" s="36"/>
      <c r="AB99" s="31"/>
      <c r="AC99" s="31"/>
      <c r="AD99" s="50"/>
      <c r="AE99" s="36"/>
      <c r="AF99" s="51"/>
      <c r="AO99" s="2"/>
      <c r="AP99" s="2"/>
      <c r="AQ99" s="52"/>
      <c r="AU99" s="36"/>
      <c r="AV99" s="51"/>
    </row>
    <row r="100" spans="1:48" ht="15.75" customHeight="1" x14ac:dyDescent="0.3">
      <c r="D100" s="10" t="str">
        <f>+IF($B$3="esp","EBITDA sin indemnizaciones","EBITDA ex severance expenses")</f>
        <v>EBITDA ex severance expenses</v>
      </c>
      <c r="F100" s="11"/>
      <c r="G100" s="11"/>
      <c r="H100" s="11"/>
      <c r="K100" s="31"/>
      <c r="L100" s="11"/>
      <c r="M100" s="11"/>
      <c r="N100" s="11"/>
      <c r="O100" s="31"/>
      <c r="P100" s="50"/>
      <c r="T100" s="48"/>
      <c r="U100" s="30"/>
      <c r="V100" s="31"/>
      <c r="W100" s="31"/>
      <c r="X100" s="50"/>
      <c r="AA100" s="31"/>
      <c r="AB100" s="31"/>
      <c r="AC100" s="31"/>
      <c r="AD100" s="50"/>
      <c r="AE100" s="31"/>
      <c r="AF100" s="50"/>
      <c r="AO100" s="2"/>
      <c r="AP100" s="2"/>
      <c r="AQ100" s="38"/>
      <c r="AU100" s="31"/>
      <c r="AV100" s="50"/>
    </row>
    <row r="101" spans="1:48" ht="15.75" customHeight="1" x14ac:dyDescent="0.3">
      <c r="D101" s="20" t="str">
        <f>+IF($B$3="esp","GRUPO","GROUP")</f>
        <v>GROUP</v>
      </c>
      <c r="E101" s="9"/>
      <c r="F101" s="16">
        <v>49.673788017694257</v>
      </c>
      <c r="G101" s="23">
        <v>17.966641545918876</v>
      </c>
      <c r="H101" s="27">
        <v>1.7647787089612006</v>
      </c>
      <c r="K101" s="31"/>
      <c r="L101" s="16">
        <v>5.8958007944550559</v>
      </c>
      <c r="M101" s="23">
        <v>0.88292938203533566</v>
      </c>
      <c r="N101" s="27">
        <v>5.6775451292197463</v>
      </c>
      <c r="O101" s="31"/>
      <c r="P101" s="50"/>
      <c r="T101" s="30"/>
      <c r="U101" s="30"/>
      <c r="V101" s="30"/>
      <c r="W101" s="30"/>
      <c r="X101" s="30"/>
      <c r="AA101" s="31"/>
      <c r="AB101" s="30"/>
      <c r="AC101" s="30"/>
      <c r="AD101" s="30"/>
      <c r="AE101" s="31"/>
      <c r="AF101" s="50"/>
      <c r="AO101" s="2"/>
      <c r="AP101" s="2"/>
      <c r="AQ101" s="39"/>
      <c r="AU101" s="31"/>
      <c r="AV101" s="50"/>
    </row>
    <row r="102" spans="1:48" ht="15.75" customHeight="1" x14ac:dyDescent="0.3">
      <c r="D102" s="19" t="str">
        <f>+IF($B$3="esp","Educación","Education")</f>
        <v>Education</v>
      </c>
      <c r="F102" s="17">
        <v>38.606366331369124</v>
      </c>
      <c r="G102" s="24">
        <v>15.00584539737293</v>
      </c>
      <c r="H102" s="28">
        <v>1.5727551703370162</v>
      </c>
      <c r="K102" s="31"/>
      <c r="L102" s="17">
        <v>-6.6355070390682371</v>
      </c>
      <c r="M102" s="24">
        <v>-9.5344177713742972</v>
      </c>
      <c r="N102" s="28">
        <v>0.3040469593234752</v>
      </c>
      <c r="O102" s="31"/>
      <c r="P102" s="50"/>
      <c r="T102" s="56"/>
      <c r="U102" s="30"/>
      <c r="V102" s="30"/>
      <c r="W102" s="30"/>
      <c r="X102" s="30"/>
      <c r="AA102" s="31"/>
      <c r="AB102" s="30"/>
      <c r="AC102" s="30"/>
      <c r="AD102" s="30"/>
      <c r="AE102" s="31"/>
      <c r="AF102" s="50"/>
      <c r="AQ102" s="30"/>
      <c r="AU102" s="31"/>
      <c r="AV102" s="50"/>
    </row>
    <row r="103" spans="1:48" ht="15.75" customHeight="1" x14ac:dyDescent="0.3">
      <c r="D103" s="19" t="str">
        <f>+IF($B$3="esp","Media","Media")</f>
        <v>Media</v>
      </c>
      <c r="F103" s="17">
        <v>14.330636046325717</v>
      </c>
      <c r="G103" s="24">
        <v>8.4601676185461461</v>
      </c>
      <c r="H103" s="28">
        <v>0.69389504942082847</v>
      </c>
      <c r="K103" s="31"/>
      <c r="L103" s="17">
        <v>14.362739773523799</v>
      </c>
      <c r="M103" s="24">
        <v>13.219190103409636</v>
      </c>
      <c r="N103" s="28">
        <v>8.6506787569323687E-2</v>
      </c>
      <c r="O103" s="31"/>
      <c r="P103" s="50"/>
      <c r="T103" s="34"/>
      <c r="U103" s="33"/>
      <c r="V103" s="36"/>
      <c r="W103" s="36"/>
      <c r="X103" s="51"/>
      <c r="AA103" s="31"/>
      <c r="AB103" s="36"/>
      <c r="AC103" s="36"/>
      <c r="AD103" s="51"/>
      <c r="AE103" s="31"/>
      <c r="AF103" s="50"/>
      <c r="AO103" s="9"/>
      <c r="AP103" s="9"/>
      <c r="AQ103" s="36"/>
      <c r="AU103" s="31"/>
      <c r="AV103" s="50"/>
    </row>
    <row r="104" spans="1:48" ht="15.75" customHeight="1" x14ac:dyDescent="0.25">
      <c r="A104" s="35"/>
      <c r="D104" s="32" t="s">
        <v>5</v>
      </c>
      <c r="F104" s="17">
        <v>15.380887575794745</v>
      </c>
      <c r="G104" s="24">
        <v>5.1545418504404443</v>
      </c>
      <c r="H104" s="28">
        <v>1.983948529679797</v>
      </c>
      <c r="K104" s="31"/>
      <c r="L104" s="17">
        <v>13.100872413601927</v>
      </c>
      <c r="M104" s="24">
        <v>8.480111072342309</v>
      </c>
      <c r="N104" s="28">
        <v>0.544893964458806</v>
      </c>
      <c r="O104" s="31"/>
      <c r="P104" s="50"/>
      <c r="T104" s="48"/>
      <c r="U104" s="30"/>
      <c r="V104" s="31"/>
      <c r="W104" s="31"/>
      <c r="X104" s="50"/>
      <c r="AA104" s="31"/>
      <c r="AB104" s="31"/>
      <c r="AC104" s="31"/>
      <c r="AD104" s="50"/>
      <c r="AE104" s="31"/>
      <c r="AF104" s="50"/>
      <c r="AQ104" s="31"/>
      <c r="AU104" s="31"/>
      <c r="AV104" s="50"/>
    </row>
    <row r="105" spans="1:48" x14ac:dyDescent="0.25">
      <c r="D105" s="32" t="s">
        <v>6</v>
      </c>
      <c r="F105" s="17">
        <v>-1.9854326429560007</v>
      </c>
      <c r="G105" s="24">
        <v>3.3154421079862959</v>
      </c>
      <c r="H105" s="28" t="s">
        <v>10</v>
      </c>
      <c r="K105" s="30"/>
      <c r="L105" s="17">
        <v>0.54972638034978605</v>
      </c>
      <c r="M105" s="24">
        <v>4.6166970394486189</v>
      </c>
      <c r="N105" s="28">
        <v>-0.88092647716484318</v>
      </c>
      <c r="O105" s="30"/>
      <c r="P105" s="30"/>
      <c r="T105" s="59"/>
      <c r="U105" s="30"/>
      <c r="V105" s="31"/>
      <c r="W105" s="31"/>
      <c r="X105" s="50"/>
      <c r="AA105" s="30"/>
      <c r="AB105" s="31"/>
      <c r="AC105" s="31"/>
      <c r="AD105" s="50"/>
      <c r="AE105" s="30"/>
      <c r="AF105" s="30"/>
      <c r="AQ105" s="31"/>
      <c r="AU105" s="30"/>
      <c r="AV105" s="30"/>
    </row>
    <row r="106" spans="1:48" x14ac:dyDescent="0.25">
      <c r="D106" s="32" t="str">
        <f>+IF($B$3="esp","Otros","Other")</f>
        <v>Other</v>
      </c>
      <c r="F106" s="17">
        <v>0.93518111348697275</v>
      </c>
      <c r="G106" s="24">
        <v>-9.8163398805941604E-3</v>
      </c>
      <c r="H106" s="28" t="s">
        <v>10</v>
      </c>
      <c r="K106" s="30"/>
      <c r="L106" s="17">
        <v>0.71214097957208633</v>
      </c>
      <c r="M106" s="24">
        <v>0.12238199161870877</v>
      </c>
      <c r="N106" s="28">
        <v>4.8190013918944912</v>
      </c>
      <c r="O106" s="30"/>
      <c r="P106" s="30"/>
      <c r="T106" s="59"/>
      <c r="U106" s="30"/>
      <c r="V106" s="31"/>
      <c r="W106" s="31"/>
      <c r="X106" s="50"/>
      <c r="AA106" s="30"/>
      <c r="AB106" s="31"/>
      <c r="AC106" s="31"/>
      <c r="AD106" s="50"/>
      <c r="AE106" s="30"/>
      <c r="AF106" s="30"/>
      <c r="AQ106" s="31"/>
      <c r="AU106" s="30"/>
      <c r="AV106" s="30"/>
    </row>
    <row r="107" spans="1:48" x14ac:dyDescent="0.25">
      <c r="D107" s="19" t="str">
        <f>+IF($B$3="esp","Otros","Other")</f>
        <v>Other</v>
      </c>
      <c r="F107" s="17">
        <v>-3.2632143600005836</v>
      </c>
      <c r="G107" s="24">
        <v>-5.4993714700002005</v>
      </c>
      <c r="H107" s="28">
        <v>0.40662048784995702</v>
      </c>
      <c r="K107" s="30"/>
      <c r="L107" s="17">
        <v>-1.8314319400005068</v>
      </c>
      <c r="M107" s="24">
        <v>-2.8018429500000028</v>
      </c>
      <c r="N107" s="28">
        <v>0.34634739609495069</v>
      </c>
      <c r="O107" s="30"/>
      <c r="P107" s="30"/>
      <c r="T107" s="48"/>
      <c r="U107" s="30"/>
      <c r="V107" s="31"/>
      <c r="W107" s="31"/>
      <c r="X107" s="50"/>
      <c r="AA107" s="30"/>
      <c r="AB107" s="31"/>
      <c r="AC107" s="31"/>
      <c r="AD107" s="50"/>
      <c r="AE107" s="30"/>
      <c r="AF107" s="30"/>
      <c r="AQ107" s="31"/>
      <c r="AU107" s="30"/>
      <c r="AV107" s="30"/>
    </row>
    <row r="108" spans="1:48" x14ac:dyDescent="0.25">
      <c r="K108" s="30"/>
      <c r="O108" s="30"/>
      <c r="P108" s="30"/>
      <c r="T108" s="59"/>
      <c r="U108" s="30"/>
      <c r="V108" s="31"/>
      <c r="W108" s="31"/>
      <c r="X108" s="50"/>
      <c r="AA108" s="30"/>
      <c r="AB108" s="31"/>
      <c r="AC108" s="31"/>
      <c r="AD108" s="50"/>
      <c r="AE108" s="30"/>
      <c r="AF108" s="30"/>
      <c r="AQ108" s="31"/>
      <c r="AU108" s="30"/>
      <c r="AV108" s="30"/>
    </row>
    <row r="109" spans="1:48" x14ac:dyDescent="0.25">
      <c r="K109" s="30"/>
      <c r="O109" s="30"/>
      <c r="P109" s="30"/>
      <c r="T109" s="59"/>
      <c r="U109" s="30"/>
      <c r="V109" s="31"/>
      <c r="W109" s="31"/>
      <c r="X109" s="50"/>
      <c r="AA109" s="30"/>
      <c r="AB109" s="31"/>
      <c r="AC109" s="31"/>
      <c r="AD109" s="50"/>
      <c r="AE109" s="30"/>
      <c r="AF109" s="30"/>
      <c r="AQ109" s="30"/>
      <c r="AU109" s="30"/>
      <c r="AV109" s="30"/>
    </row>
    <row r="110" spans="1:48" ht="15.75" customHeight="1" x14ac:dyDescent="0.25">
      <c r="K110" s="30"/>
      <c r="O110" s="30"/>
      <c r="P110" s="30"/>
      <c r="T110" s="30"/>
      <c r="U110" s="30"/>
      <c r="V110" s="30"/>
      <c r="W110" s="30"/>
      <c r="X110" s="30"/>
      <c r="AA110" s="30"/>
      <c r="AB110" s="30"/>
      <c r="AC110" s="30"/>
      <c r="AD110" s="30"/>
      <c r="AE110" s="30"/>
      <c r="AF110" s="30"/>
      <c r="AQ110" s="30"/>
      <c r="AU110" s="30"/>
      <c r="AV110" s="30"/>
    </row>
    <row r="111" spans="1:48" ht="15.75" customHeight="1" x14ac:dyDescent="0.3">
      <c r="D111" s="60" t="str">
        <f>+IF($B$3="esp","Resultados por Negocio                                                                                                        a tipo de cambio constante","Perfomance by Business on constant currency")</f>
        <v>Perfomance by Business on constant currency</v>
      </c>
      <c r="E111" s="2"/>
      <c r="F111" s="6" t="str">
        <f>+$F$6</f>
        <v>JANUARY - JUNE</v>
      </c>
      <c r="G111" s="6"/>
      <c r="H111" s="6"/>
      <c r="I111" s="2"/>
      <c r="J111" s="2"/>
      <c r="K111" s="52"/>
      <c r="L111" s="62" t="str">
        <f>+$F$6</f>
        <v>JANUARY - JUNE</v>
      </c>
      <c r="M111" s="62"/>
      <c r="N111" s="62"/>
      <c r="O111" s="52"/>
      <c r="P111" s="52"/>
      <c r="T111" s="63"/>
      <c r="U111" s="38"/>
      <c r="V111" s="52"/>
      <c r="W111" s="37"/>
      <c r="X111" s="37"/>
      <c r="Y111" s="2"/>
      <c r="Z111" s="2"/>
      <c r="AA111" s="52"/>
      <c r="AB111" s="52"/>
      <c r="AC111" s="37"/>
      <c r="AD111" s="37"/>
      <c r="AE111" s="52"/>
      <c r="AF111" s="52"/>
      <c r="AO111" s="9"/>
      <c r="AP111" s="9"/>
      <c r="AQ111" s="36"/>
      <c r="AU111" s="52"/>
      <c r="AV111" s="52"/>
    </row>
    <row r="112" spans="1:48" ht="15.75" customHeight="1" x14ac:dyDescent="0.25">
      <c r="D112" s="61"/>
      <c r="E112" s="2"/>
      <c r="F112" s="2"/>
      <c r="G112" s="2"/>
      <c r="H112" s="2"/>
      <c r="I112" s="2"/>
      <c r="J112" s="2"/>
      <c r="K112" s="38"/>
      <c r="L112" s="2"/>
      <c r="M112" s="2"/>
      <c r="N112" s="2"/>
      <c r="O112" s="38"/>
      <c r="P112" s="38"/>
      <c r="T112" s="63"/>
      <c r="U112" s="38"/>
      <c r="V112" s="38"/>
      <c r="W112" s="38"/>
      <c r="X112" s="38"/>
      <c r="Y112" s="2"/>
      <c r="Z112" s="2"/>
      <c r="AA112" s="38"/>
      <c r="AB112" s="38"/>
      <c r="AC112" s="38"/>
      <c r="AD112" s="38"/>
      <c r="AE112" s="38"/>
      <c r="AF112" s="38"/>
      <c r="AQ112" s="31"/>
      <c r="AU112" s="38"/>
      <c r="AV112" s="38"/>
    </row>
    <row r="113" spans="1:48" ht="15.75" customHeight="1" x14ac:dyDescent="0.25">
      <c r="D113" s="4" t="str">
        <f>+IF($B$3="esp","Millones de €","€ Millions")</f>
        <v>€ Millions</v>
      </c>
      <c r="E113" s="2"/>
      <c r="F113" s="8">
        <v>2022</v>
      </c>
      <c r="G113" s="8">
        <v>2021</v>
      </c>
      <c r="H113" s="8" t="str">
        <f>+IF($B$3="esp","Var.","Chg.")</f>
        <v>Chg.</v>
      </c>
      <c r="I113" s="2"/>
      <c r="J113" s="2"/>
      <c r="K113" s="39"/>
      <c r="L113" s="8">
        <v>2022</v>
      </c>
      <c r="M113" s="8">
        <v>2021</v>
      </c>
      <c r="N113" s="8" t="str">
        <f>+IF($B$3="esp","Var.","Chg.")</f>
        <v>Chg.</v>
      </c>
      <c r="O113" s="39"/>
      <c r="P113" s="39"/>
      <c r="T113" s="55"/>
      <c r="U113" s="38"/>
      <c r="V113" s="39"/>
      <c r="W113" s="39"/>
      <c r="X113" s="39"/>
      <c r="Y113" s="2"/>
      <c r="Z113" s="2"/>
      <c r="AA113" s="39"/>
      <c r="AB113" s="39"/>
      <c r="AC113" s="39"/>
      <c r="AD113" s="39"/>
      <c r="AE113" s="39"/>
      <c r="AF113" s="39"/>
      <c r="AQ113" s="31"/>
      <c r="AU113" s="39"/>
      <c r="AV113" s="39"/>
    </row>
    <row r="114" spans="1:48" ht="15.75" customHeight="1" x14ac:dyDescent="0.3">
      <c r="A114" s="35"/>
      <c r="D114" s="10" t="str">
        <f>+IF($B$3="esp","Ingresos de Explotación a tipo constante","Operating Revenues on constant currency")</f>
        <v>Operating Revenues on constant currency</v>
      </c>
      <c r="F114" s="11"/>
      <c r="G114" s="11"/>
      <c r="H114" s="11"/>
      <c r="K114" s="30"/>
      <c r="L114" s="11"/>
      <c r="M114" s="11"/>
      <c r="N114" s="11"/>
      <c r="O114" s="30"/>
      <c r="P114" s="30"/>
      <c r="T114" s="56"/>
      <c r="U114" s="30"/>
      <c r="V114" s="30"/>
      <c r="W114" s="30"/>
      <c r="X114" s="30"/>
      <c r="AA114" s="30"/>
      <c r="AB114" s="30"/>
      <c r="AC114" s="30"/>
      <c r="AD114" s="30"/>
      <c r="AE114" s="30"/>
      <c r="AF114" s="30"/>
      <c r="AQ114" s="31"/>
      <c r="AU114" s="30"/>
      <c r="AV114" s="30"/>
    </row>
    <row r="115" spans="1:48" ht="16.5" x14ac:dyDescent="0.3">
      <c r="D115" s="20" t="str">
        <f>+IF($B$3="esp","GRUPO","GROUP")</f>
        <v>GROUP</v>
      </c>
      <c r="E115" s="9"/>
      <c r="F115" s="16">
        <v>374.75906184920484</v>
      </c>
      <c r="G115" s="23">
        <v>306.214990084058</v>
      </c>
      <c r="H115" s="27">
        <v>0.22384296649334851</v>
      </c>
      <c r="I115" s="9"/>
      <c r="J115" s="9"/>
      <c r="K115" s="36"/>
      <c r="L115" s="16">
        <v>169.01049064510252</v>
      </c>
      <c r="M115" s="23">
        <v>147.69840863559327</v>
      </c>
      <c r="N115" s="27">
        <v>0.14429459468375977</v>
      </c>
      <c r="O115" s="36"/>
      <c r="P115" s="51"/>
      <c r="T115" s="34"/>
      <c r="U115" s="33"/>
      <c r="V115" s="36"/>
      <c r="W115" s="36"/>
      <c r="X115" s="51"/>
      <c r="Y115" s="9"/>
      <c r="Z115" s="9"/>
      <c r="AA115" s="36"/>
      <c r="AB115" s="36"/>
      <c r="AC115" s="36"/>
      <c r="AD115" s="51"/>
      <c r="AE115" s="36"/>
      <c r="AF115" s="51"/>
      <c r="AQ115" s="31"/>
      <c r="AU115" s="36"/>
      <c r="AV115" s="51"/>
    </row>
    <row r="116" spans="1:48" x14ac:dyDescent="0.25">
      <c r="D116" s="19" t="str">
        <f>+IF($B$3="esp","Educación","Education")</f>
        <v>Education</v>
      </c>
      <c r="F116" s="17">
        <v>189.65932991297603</v>
      </c>
      <c r="G116" s="24">
        <v>131.73807410550592</v>
      </c>
      <c r="H116" s="28">
        <v>0.43966982363111179</v>
      </c>
      <c r="K116" s="31"/>
      <c r="L116" s="17">
        <v>66.343767976875696</v>
      </c>
      <c r="M116" s="24">
        <v>49.76480190289135</v>
      </c>
      <c r="N116" s="28">
        <v>0.3331464296057231</v>
      </c>
      <c r="O116" s="31"/>
      <c r="P116" s="50"/>
      <c r="T116" s="48"/>
      <c r="U116" s="30"/>
      <c r="V116" s="31"/>
      <c r="W116" s="31"/>
      <c r="X116" s="50"/>
      <c r="AA116" s="31"/>
      <c r="AB116" s="31"/>
      <c r="AC116" s="31"/>
      <c r="AD116" s="50"/>
      <c r="AE116" s="31"/>
      <c r="AF116" s="50"/>
      <c r="AQ116" s="31"/>
      <c r="AU116" s="31"/>
      <c r="AV116" s="50"/>
    </row>
    <row r="117" spans="1:48" ht="15.75" customHeight="1" x14ac:dyDescent="0.25">
      <c r="D117" s="19" t="str">
        <f>+IF($B$3="esp","Media","Media")</f>
        <v>Media</v>
      </c>
      <c r="F117" s="17">
        <v>185.67246764113992</v>
      </c>
      <c r="G117" s="24">
        <v>175.15462103967022</v>
      </c>
      <c r="H117" s="28">
        <v>6.0048924424823173E-2</v>
      </c>
      <c r="K117" s="31"/>
      <c r="L117" s="17">
        <v>102.91814478809403</v>
      </c>
      <c r="M117" s="24">
        <v>98.159916884460756</v>
      </c>
      <c r="N117" s="28">
        <v>4.8474245442097788E-2</v>
      </c>
      <c r="O117" s="31"/>
      <c r="P117" s="50"/>
      <c r="T117" s="59"/>
      <c r="U117" s="30"/>
      <c r="V117" s="31"/>
      <c r="W117" s="31"/>
      <c r="X117" s="50"/>
      <c r="AA117" s="31"/>
      <c r="AB117" s="31"/>
      <c r="AC117" s="31"/>
      <c r="AD117" s="50"/>
      <c r="AE117" s="31"/>
      <c r="AF117" s="50"/>
      <c r="AQ117" s="30"/>
      <c r="AU117" s="31"/>
      <c r="AV117" s="50"/>
    </row>
    <row r="118" spans="1:48" ht="15.75" customHeight="1" x14ac:dyDescent="0.25">
      <c r="D118" s="32" t="s">
        <v>5</v>
      </c>
      <c r="F118" s="17">
        <v>111.17957370272528</v>
      </c>
      <c r="G118" s="24">
        <v>96.605438902318483</v>
      </c>
      <c r="H118" s="28">
        <v>0.1508624666064948</v>
      </c>
      <c r="K118" s="31"/>
      <c r="L118" s="17">
        <v>62.245946543909483</v>
      </c>
      <c r="M118" s="24">
        <v>55.328367574104291</v>
      </c>
      <c r="N118" s="28">
        <v>0.12502770772226565</v>
      </c>
      <c r="O118" s="31"/>
      <c r="P118" s="50"/>
      <c r="T118" s="59"/>
      <c r="U118" s="30"/>
      <c r="V118" s="31"/>
      <c r="W118" s="31"/>
      <c r="X118" s="50"/>
      <c r="AA118" s="31"/>
      <c r="AB118" s="31"/>
      <c r="AC118" s="31"/>
      <c r="AD118" s="50"/>
      <c r="AE118" s="31"/>
      <c r="AF118" s="50"/>
      <c r="AQ118" s="30"/>
      <c r="AU118" s="31"/>
      <c r="AV118" s="50"/>
    </row>
    <row r="119" spans="1:48" ht="15.75" customHeight="1" x14ac:dyDescent="0.3">
      <c r="D119" s="32" t="s">
        <v>6</v>
      </c>
      <c r="F119" s="17">
        <v>72.175244778934996</v>
      </c>
      <c r="G119" s="24">
        <v>78.578211273103079</v>
      </c>
      <c r="H119" s="28">
        <v>-8.1485266595267822E-2</v>
      </c>
      <c r="K119" s="31"/>
      <c r="L119" s="17">
        <v>37.996517535888721</v>
      </c>
      <c r="M119" s="24">
        <v>42.760549109240387</v>
      </c>
      <c r="N119" s="28">
        <v>-0.11141184275208892</v>
      </c>
      <c r="O119" s="31"/>
      <c r="P119" s="50"/>
      <c r="T119" s="48"/>
      <c r="U119" s="30"/>
      <c r="V119" s="31"/>
      <c r="W119" s="31"/>
      <c r="X119" s="50"/>
      <c r="AA119" s="31"/>
      <c r="AB119" s="31"/>
      <c r="AC119" s="31"/>
      <c r="AD119" s="50"/>
      <c r="AE119" s="31"/>
      <c r="AF119" s="50"/>
      <c r="AO119" s="9"/>
      <c r="AP119" s="9"/>
      <c r="AQ119" s="36"/>
      <c r="AU119" s="31"/>
      <c r="AV119" s="50"/>
    </row>
    <row r="120" spans="1:48" ht="15.75" customHeight="1" x14ac:dyDescent="0.25">
      <c r="D120" s="32" t="str">
        <f>+IF($B$3="esp","Otros","Other")</f>
        <v>Other</v>
      </c>
      <c r="F120" s="17">
        <v>2.3176491594796431</v>
      </c>
      <c r="G120" s="24">
        <v>-2.9029135751343915E-2</v>
      </c>
      <c r="H120" s="28" t="s">
        <v>10</v>
      </c>
      <c r="K120" s="31"/>
      <c r="L120" s="17">
        <v>2.6756807082958218</v>
      </c>
      <c r="M120" s="24">
        <v>7.1000201116078188E-2</v>
      </c>
      <c r="N120" s="28" t="s">
        <v>10</v>
      </c>
      <c r="O120" s="31"/>
      <c r="P120" s="50"/>
      <c r="T120" s="59"/>
      <c r="U120" s="30"/>
      <c r="V120" s="31"/>
      <c r="W120" s="31"/>
      <c r="X120" s="50"/>
      <c r="AA120" s="31"/>
      <c r="AB120" s="31"/>
      <c r="AC120" s="31"/>
      <c r="AD120" s="50"/>
      <c r="AE120" s="31"/>
      <c r="AF120" s="50"/>
      <c r="AQ120" s="31"/>
      <c r="AU120" s="31"/>
      <c r="AV120" s="50"/>
    </row>
    <row r="121" spans="1:48" ht="15.75" customHeight="1" x14ac:dyDescent="0.25">
      <c r="D121" s="19" t="str">
        <f>+IF($B$3="esp","Otros","Other")</f>
        <v>Other</v>
      </c>
      <c r="F121" s="17">
        <v>-0.57273570491111059</v>
      </c>
      <c r="G121" s="24">
        <v>-0.67770506111813233</v>
      </c>
      <c r="H121" s="28">
        <v>0.1548894382370922</v>
      </c>
      <c r="K121" s="30"/>
      <c r="L121" s="17">
        <v>-0.25142211986720042</v>
      </c>
      <c r="M121" s="24">
        <v>-0.22631015175883817</v>
      </c>
      <c r="N121" s="28">
        <v>-0.11096262325484275</v>
      </c>
      <c r="O121" s="30"/>
      <c r="P121" s="30"/>
      <c r="T121" s="59"/>
      <c r="U121" s="30"/>
      <c r="V121" s="31"/>
      <c r="W121" s="31"/>
      <c r="X121" s="50"/>
      <c r="AA121" s="30"/>
      <c r="AB121" s="31"/>
      <c r="AC121" s="31"/>
      <c r="AD121" s="50"/>
      <c r="AE121" s="30"/>
      <c r="AF121" s="30"/>
      <c r="AQ121" s="31"/>
      <c r="AU121" s="30"/>
      <c r="AV121" s="30"/>
    </row>
    <row r="122" spans="1:48" ht="15.75" customHeight="1" x14ac:dyDescent="0.25">
      <c r="A122" s="35"/>
      <c r="K122" s="30"/>
      <c r="O122" s="30"/>
      <c r="P122" s="30"/>
      <c r="T122" s="48"/>
      <c r="U122" s="30"/>
      <c r="V122" s="31"/>
      <c r="W122" s="31"/>
      <c r="X122" s="50"/>
      <c r="AA122" s="30"/>
      <c r="AB122" s="31"/>
      <c r="AC122" s="31"/>
      <c r="AD122" s="50"/>
      <c r="AE122" s="30"/>
      <c r="AF122" s="30"/>
      <c r="AQ122" s="31"/>
      <c r="AU122" s="30"/>
      <c r="AV122" s="30"/>
    </row>
    <row r="123" spans="1:48" ht="16.5" x14ac:dyDescent="0.3">
      <c r="D123" s="10" t="str">
        <f>+IF($B$3="esp","EBITDA a tipo constante","EBITDA on constant currency")</f>
        <v>EBITDA on constant currency</v>
      </c>
      <c r="F123" s="11"/>
      <c r="G123" s="11"/>
      <c r="H123" s="11"/>
      <c r="I123" s="9"/>
      <c r="J123" s="9"/>
      <c r="K123" s="36"/>
      <c r="L123" s="11"/>
      <c r="M123" s="11"/>
      <c r="N123" s="11"/>
      <c r="O123" s="36"/>
      <c r="P123" s="51"/>
      <c r="T123" s="30"/>
      <c r="U123" s="30"/>
      <c r="V123" s="30"/>
      <c r="W123" s="30"/>
      <c r="X123" s="30"/>
      <c r="Y123" s="9"/>
      <c r="Z123" s="9"/>
      <c r="AA123" s="36"/>
      <c r="AB123" s="30"/>
      <c r="AC123" s="30"/>
      <c r="AD123" s="30"/>
      <c r="AE123" s="36"/>
      <c r="AF123" s="51"/>
      <c r="AQ123" s="31"/>
      <c r="AU123" s="36"/>
      <c r="AV123" s="51"/>
    </row>
    <row r="124" spans="1:48" ht="16.5" x14ac:dyDescent="0.3">
      <c r="D124" s="20" t="str">
        <f>+IF($B$3="esp","GRUPO","GROUP")</f>
        <v>GROUP</v>
      </c>
      <c r="E124" s="9"/>
      <c r="F124" s="16">
        <v>45.563693159088388</v>
      </c>
      <c r="G124" s="23">
        <v>2.7262869758044044</v>
      </c>
      <c r="H124" s="27" t="s">
        <v>10</v>
      </c>
      <c r="K124" s="31"/>
      <c r="L124" s="16">
        <v>5.1012526334663875</v>
      </c>
      <c r="M124" s="23">
        <v>-9.5798270990358318</v>
      </c>
      <c r="N124" s="27" t="s">
        <v>10</v>
      </c>
      <c r="O124" s="31"/>
      <c r="P124" s="50"/>
      <c r="T124" s="56"/>
      <c r="U124" s="30"/>
      <c r="V124" s="30"/>
      <c r="W124" s="30"/>
      <c r="X124" s="30"/>
      <c r="AA124" s="31"/>
      <c r="AB124" s="30"/>
      <c r="AC124" s="30"/>
      <c r="AD124" s="30"/>
      <c r="AE124" s="31"/>
      <c r="AF124" s="50"/>
      <c r="AQ124" s="31"/>
      <c r="AU124" s="31"/>
      <c r="AV124" s="50"/>
    </row>
    <row r="125" spans="1:48" ht="15.75" customHeight="1" x14ac:dyDescent="0.3">
      <c r="D125" s="19" t="str">
        <f>+IF($B$3="esp","Educación","Education")</f>
        <v>Education</v>
      </c>
      <c r="F125" s="17">
        <v>37.546775715632613</v>
      </c>
      <c r="G125" s="24">
        <v>12.920538632294845</v>
      </c>
      <c r="H125" s="28">
        <v>1.9059760420347005</v>
      </c>
      <c r="K125" s="31"/>
      <c r="L125" s="17">
        <v>-6.2426099112880209</v>
      </c>
      <c r="M125" s="24">
        <v>-10.318471353568489</v>
      </c>
      <c r="N125" s="28">
        <v>0.39500632434967148</v>
      </c>
      <c r="O125" s="31"/>
      <c r="P125" s="50"/>
      <c r="T125" s="34"/>
      <c r="U125" s="33"/>
      <c r="V125" s="36"/>
      <c r="W125" s="36"/>
      <c r="X125" s="51"/>
      <c r="AA125" s="31"/>
      <c r="AB125" s="36"/>
      <c r="AC125" s="36"/>
      <c r="AD125" s="51"/>
      <c r="AE125" s="31"/>
      <c r="AF125" s="50"/>
      <c r="AQ125" s="30"/>
      <c r="AU125" s="31"/>
      <c r="AV125" s="50"/>
    </row>
    <row r="126" spans="1:48" ht="15.75" customHeight="1" x14ac:dyDescent="0.25">
      <c r="D126" s="19" t="str">
        <f>+IF($B$3="esp","Media","Media")</f>
        <v>Media</v>
      </c>
      <c r="F126" s="17">
        <v>11.329282503456362</v>
      </c>
      <c r="G126" s="24">
        <v>-1.2238059564902413</v>
      </c>
      <c r="H126" s="28" t="s">
        <v>10</v>
      </c>
      <c r="K126" s="31"/>
      <c r="L126" s="17">
        <v>13.224445164754925</v>
      </c>
      <c r="M126" s="24">
        <v>6.251348124532659</v>
      </c>
      <c r="N126" s="28">
        <v>1.1154549228921025</v>
      </c>
      <c r="O126" s="31"/>
      <c r="P126" s="50"/>
      <c r="T126" s="48"/>
      <c r="U126" s="30"/>
      <c r="V126" s="31"/>
      <c r="W126" s="31"/>
      <c r="X126" s="50"/>
      <c r="AA126" s="31"/>
      <c r="AB126" s="31"/>
      <c r="AC126" s="31"/>
      <c r="AD126" s="50"/>
      <c r="AE126" s="31"/>
      <c r="AF126" s="50"/>
      <c r="AQ126" s="30"/>
      <c r="AU126" s="31"/>
      <c r="AV126" s="50"/>
    </row>
    <row r="127" spans="1:48" ht="15.75" customHeight="1" x14ac:dyDescent="0.25">
      <c r="D127" s="32" t="s">
        <v>5</v>
      </c>
      <c r="F127" s="17">
        <v>13.603641928387246</v>
      </c>
      <c r="G127" s="24">
        <v>-1.9177552145363055</v>
      </c>
      <c r="H127" s="28" t="s">
        <v>10</v>
      </c>
      <c r="K127" s="31"/>
      <c r="L127" s="17">
        <v>12.735529884422521</v>
      </c>
      <c r="M127" s="24">
        <v>2.5739971539811677</v>
      </c>
      <c r="N127" s="28">
        <v>3.9477637784970523</v>
      </c>
      <c r="O127" s="31"/>
      <c r="P127" s="50"/>
      <c r="T127" s="59"/>
      <c r="U127" s="30"/>
      <c r="V127" s="31"/>
      <c r="W127" s="31"/>
      <c r="X127" s="50"/>
      <c r="AA127" s="31"/>
      <c r="AB127" s="31"/>
      <c r="AC127" s="31"/>
      <c r="AD127" s="50"/>
      <c r="AE127" s="31"/>
      <c r="AF127" s="50"/>
      <c r="AQ127" s="30"/>
      <c r="AU127" s="31"/>
      <c r="AV127" s="50"/>
    </row>
    <row r="128" spans="1:48" ht="15.75" customHeight="1" x14ac:dyDescent="0.25">
      <c r="D128" s="32" t="s">
        <v>6</v>
      </c>
      <c r="F128" s="17">
        <v>-2.4778967820477802</v>
      </c>
      <c r="G128" s="24">
        <v>0.79160369924204055</v>
      </c>
      <c r="H128" s="28" t="s">
        <v>10</v>
      </c>
      <c r="K128" s="31"/>
      <c r="L128" s="17">
        <v>0.1318127749602529</v>
      </c>
      <c r="M128" s="24">
        <v>3.5717754239539996</v>
      </c>
      <c r="N128" s="28">
        <v>-0.96309600707920917</v>
      </c>
      <c r="O128" s="31"/>
      <c r="P128" s="50"/>
      <c r="T128" s="59"/>
      <c r="U128" s="30"/>
      <c r="V128" s="31"/>
      <c r="W128" s="31"/>
      <c r="X128" s="50"/>
      <c r="AA128" s="31"/>
      <c r="AB128" s="31"/>
      <c r="AC128" s="31"/>
      <c r="AD128" s="50"/>
      <c r="AE128" s="31"/>
      <c r="AF128" s="50"/>
      <c r="AQ128" s="30"/>
      <c r="AU128" s="31"/>
      <c r="AV128" s="50"/>
    </row>
    <row r="129" spans="1:48" ht="15.75" customHeight="1" x14ac:dyDescent="0.25">
      <c r="D129" s="32" t="str">
        <f>+IF($B$3="esp","Otros","Other")</f>
        <v>Other</v>
      </c>
      <c r="F129" s="17">
        <v>0.20353735711689636</v>
      </c>
      <c r="G129" s="24">
        <v>-9.7654441195976327E-2</v>
      </c>
      <c r="H129" s="28" t="s">
        <v>10</v>
      </c>
      <c r="K129" s="30"/>
      <c r="L129" s="17">
        <v>0.35710250537215238</v>
      </c>
      <c r="M129" s="24">
        <v>0.10557554659749147</v>
      </c>
      <c r="N129" s="28">
        <v>2.3824357711697353</v>
      </c>
      <c r="O129" s="30"/>
      <c r="P129" s="30"/>
      <c r="T129" s="48"/>
      <c r="U129" s="30"/>
      <c r="V129" s="31"/>
      <c r="W129" s="31"/>
      <c r="X129" s="50"/>
      <c r="AA129" s="30"/>
      <c r="AB129" s="31"/>
      <c r="AC129" s="31"/>
      <c r="AD129" s="50"/>
      <c r="AE129" s="30"/>
      <c r="AF129" s="30"/>
      <c r="AQ129" s="30"/>
      <c r="AU129" s="30"/>
      <c r="AV129" s="30"/>
    </row>
    <row r="130" spans="1:48" ht="15.75" customHeight="1" x14ac:dyDescent="0.25">
      <c r="A130" s="35"/>
      <c r="D130" s="19" t="str">
        <f>+IF($B$3="esp","Otros","Other")</f>
        <v>Other</v>
      </c>
      <c r="F130" s="17">
        <v>-3.3123650600005874</v>
      </c>
      <c r="G130" s="24">
        <v>-8.970445700000198</v>
      </c>
      <c r="H130" s="28">
        <v>0.63074688028037285</v>
      </c>
      <c r="K130" s="30"/>
      <c r="L130" s="17">
        <v>-1.8805826200005173</v>
      </c>
      <c r="M130" s="24">
        <v>-5.5127038700000011</v>
      </c>
      <c r="N130" s="28">
        <v>0.65886384171030821</v>
      </c>
      <c r="O130" s="30"/>
      <c r="P130" s="30"/>
      <c r="T130" s="59"/>
      <c r="U130" s="30"/>
      <c r="V130" s="31"/>
      <c r="W130" s="31"/>
      <c r="X130" s="50"/>
      <c r="AA130" s="30"/>
      <c r="AB130" s="31"/>
      <c r="AC130" s="31"/>
      <c r="AD130" s="50"/>
      <c r="AE130" s="30"/>
      <c r="AF130" s="30"/>
      <c r="AQ130" s="30"/>
      <c r="AU130" s="30"/>
      <c r="AV130" s="30"/>
    </row>
    <row r="131" spans="1:48" ht="16.5" x14ac:dyDescent="0.3">
      <c r="I131" s="9"/>
      <c r="J131" s="9"/>
      <c r="K131" s="36"/>
      <c r="O131" s="36"/>
      <c r="P131" s="51"/>
      <c r="T131" s="59"/>
      <c r="U131" s="30"/>
      <c r="V131" s="31"/>
      <c r="W131" s="31"/>
      <c r="X131" s="50"/>
      <c r="Y131" s="9"/>
      <c r="Z131" s="9"/>
      <c r="AA131" s="36"/>
      <c r="AB131" s="31"/>
      <c r="AC131" s="31"/>
      <c r="AD131" s="50"/>
      <c r="AE131" s="36"/>
      <c r="AF131" s="51"/>
      <c r="AU131" s="36"/>
      <c r="AV131" s="51"/>
    </row>
    <row r="132" spans="1:48" ht="16.5" x14ac:dyDescent="0.3">
      <c r="D132" s="10" t="str">
        <f>+IF($B$3="esp","EBITDA sin indemnizaciones a tipo constante","EBITDA ex severance expenses on constant currency")</f>
        <v>EBITDA ex severance expenses on constant currency</v>
      </c>
      <c r="F132" s="11"/>
      <c r="G132" s="11"/>
      <c r="H132" s="11"/>
      <c r="K132" s="31"/>
      <c r="L132" s="11"/>
      <c r="M132" s="11"/>
      <c r="N132" s="11"/>
      <c r="O132" s="31"/>
      <c r="P132" s="50"/>
      <c r="T132" s="48"/>
      <c r="U132" s="30"/>
      <c r="V132" s="31"/>
      <c r="W132" s="31"/>
      <c r="X132" s="50"/>
      <c r="AA132" s="31"/>
      <c r="AB132" s="31"/>
      <c r="AC132" s="31"/>
      <c r="AD132" s="50"/>
      <c r="AE132" s="31"/>
      <c r="AF132" s="50"/>
      <c r="AU132" s="31"/>
      <c r="AV132" s="50"/>
    </row>
    <row r="133" spans="1:48" ht="16.5" x14ac:dyDescent="0.3">
      <c r="D133" s="20" t="str">
        <f>+IF($B$3="esp","GRUPO","GROUP")</f>
        <v>GROUP</v>
      </c>
      <c r="E133" s="9"/>
      <c r="F133" s="16">
        <v>50.260132699327713</v>
      </c>
      <c r="G133" s="23">
        <v>17.966641545918876</v>
      </c>
      <c r="H133" s="27">
        <v>1.7974138945708698</v>
      </c>
      <c r="K133" s="31"/>
      <c r="L133" s="16">
        <v>7.3034129200645523</v>
      </c>
      <c r="M133" s="23">
        <v>0.88292938203533566</v>
      </c>
      <c r="N133" s="27">
        <v>7.2717973471770394</v>
      </c>
      <c r="O133" s="31"/>
      <c r="P133" s="50"/>
      <c r="T133" s="30"/>
      <c r="U133" s="30"/>
      <c r="V133" s="30"/>
      <c r="W133" s="30"/>
      <c r="X133" s="30"/>
      <c r="AA133" s="31"/>
      <c r="AB133" s="30"/>
      <c r="AC133" s="30"/>
      <c r="AD133" s="30"/>
      <c r="AE133" s="31"/>
      <c r="AF133" s="50"/>
      <c r="AU133" s="31"/>
      <c r="AV133" s="50"/>
    </row>
    <row r="134" spans="1:48" ht="16.5" x14ac:dyDescent="0.3">
      <c r="D134" s="19" t="str">
        <f>+IF($B$3="esp","Educación","Education")</f>
        <v>Education</v>
      </c>
      <c r="F134" s="17">
        <v>39.26466031180184</v>
      </c>
      <c r="G134" s="24">
        <v>15.00584539737293</v>
      </c>
      <c r="H134" s="28">
        <v>1.6166243401838523</v>
      </c>
      <c r="K134" s="31"/>
      <c r="L134" s="17">
        <v>-5.2248845244530173</v>
      </c>
      <c r="M134" s="24">
        <v>-9.5344177713742972</v>
      </c>
      <c r="N134" s="28">
        <v>0.45199752625273321</v>
      </c>
      <c r="O134" s="31"/>
      <c r="P134" s="50"/>
      <c r="T134" s="56"/>
      <c r="U134" s="30"/>
      <c r="V134" s="30"/>
      <c r="W134" s="30"/>
      <c r="X134" s="30"/>
      <c r="AA134" s="31"/>
      <c r="AB134" s="30"/>
      <c r="AC134" s="30"/>
      <c r="AD134" s="30"/>
      <c r="AE134" s="31"/>
      <c r="AF134" s="50"/>
      <c r="AU134" s="31"/>
      <c r="AV134" s="50"/>
    </row>
    <row r="135" spans="1:48" ht="16.5" x14ac:dyDescent="0.3">
      <c r="D135" s="19" t="str">
        <f>+IF($B$3="esp","Media","Media")</f>
        <v>Media</v>
      </c>
      <c r="F135" s="17">
        <v>14.258686747526454</v>
      </c>
      <c r="G135" s="24">
        <v>8.4601676185461461</v>
      </c>
      <c r="H135" s="28">
        <v>0.68539057267245562</v>
      </c>
      <c r="K135" s="31"/>
      <c r="L135" s="17">
        <v>14.359729384518076</v>
      </c>
      <c r="M135" s="24">
        <v>13.219190103409636</v>
      </c>
      <c r="N135" s="28">
        <v>8.6279058867173714E-2</v>
      </c>
      <c r="O135" s="31"/>
      <c r="P135" s="50"/>
      <c r="T135" s="34"/>
      <c r="U135" s="33"/>
      <c r="V135" s="36"/>
      <c r="W135" s="36"/>
      <c r="X135" s="51"/>
      <c r="AA135" s="31"/>
      <c r="AB135" s="36"/>
      <c r="AC135" s="36"/>
      <c r="AD135" s="51"/>
      <c r="AE135" s="31"/>
      <c r="AF135" s="50"/>
      <c r="AU135" s="31"/>
      <c r="AV135" s="50"/>
    </row>
    <row r="136" spans="1:48" x14ac:dyDescent="0.25">
      <c r="D136" s="32" t="s">
        <v>5</v>
      </c>
      <c r="F136" s="17">
        <v>15.332389997313289</v>
      </c>
      <c r="G136" s="24">
        <v>5.1545418504404443</v>
      </c>
      <c r="H136" s="28">
        <v>1.9745398218084442</v>
      </c>
      <c r="K136" s="31"/>
      <c r="L136" s="17">
        <v>13.110899283597266</v>
      </c>
      <c r="M136" s="24">
        <v>8.480111072342309</v>
      </c>
      <c r="N136" s="28">
        <v>0.54607636288611461</v>
      </c>
      <c r="O136" s="31"/>
      <c r="P136" s="50"/>
      <c r="T136" s="48"/>
      <c r="U136" s="30"/>
      <c r="V136" s="31"/>
      <c r="W136" s="31"/>
      <c r="X136" s="50"/>
      <c r="AA136" s="31"/>
      <c r="AB136" s="31"/>
      <c r="AC136" s="31"/>
      <c r="AD136" s="50"/>
      <c r="AE136" s="31"/>
      <c r="AF136" s="50"/>
      <c r="AU136" s="31"/>
      <c r="AV136" s="50"/>
    </row>
    <row r="137" spans="1:48" x14ac:dyDescent="0.25">
      <c r="D137" s="32" t="s">
        <v>6</v>
      </c>
      <c r="F137" s="17">
        <v>-2.0163505614593769</v>
      </c>
      <c r="G137" s="24">
        <v>3.3154421079862959</v>
      </c>
      <c r="H137" s="28" t="s">
        <v>10</v>
      </c>
      <c r="K137" s="30"/>
      <c r="L137" s="17">
        <v>0.53335779554865637</v>
      </c>
      <c r="M137" s="24">
        <v>4.6166970394486189</v>
      </c>
      <c r="N137" s="28">
        <v>-0.8844719956732624</v>
      </c>
      <c r="O137" s="30"/>
      <c r="P137" s="30"/>
      <c r="T137" s="59"/>
      <c r="U137" s="30"/>
      <c r="V137" s="31"/>
      <c r="W137" s="31"/>
      <c r="X137" s="50"/>
      <c r="AA137" s="30"/>
      <c r="AB137" s="31"/>
      <c r="AC137" s="31"/>
      <c r="AD137" s="50"/>
      <c r="AE137" s="30"/>
      <c r="AF137" s="30"/>
      <c r="AU137" s="30"/>
      <c r="AV137" s="30"/>
    </row>
    <row r="138" spans="1:48" x14ac:dyDescent="0.25">
      <c r="D138" s="32" t="str">
        <f>+IF($B$3="esp","Otros","Other")</f>
        <v>Other</v>
      </c>
      <c r="F138" s="17">
        <v>0.94264731167254201</v>
      </c>
      <c r="G138" s="24">
        <v>-9.8163398805941604E-3</v>
      </c>
      <c r="H138" s="28" t="s">
        <v>10</v>
      </c>
      <c r="K138" s="30"/>
      <c r="L138" s="17">
        <v>0.71547230537215212</v>
      </c>
      <c r="M138" s="24">
        <v>0.12238199161870877</v>
      </c>
      <c r="N138" s="28">
        <v>4.8462221108581511</v>
      </c>
      <c r="O138" s="30"/>
      <c r="P138" s="30"/>
      <c r="T138" s="59"/>
      <c r="U138" s="30"/>
      <c r="V138" s="31"/>
      <c r="W138" s="31"/>
      <c r="X138" s="50"/>
      <c r="AA138" s="30"/>
      <c r="AB138" s="31"/>
      <c r="AC138" s="31"/>
      <c r="AD138" s="50"/>
      <c r="AE138" s="30"/>
      <c r="AF138" s="30"/>
      <c r="AU138" s="30"/>
      <c r="AV138" s="30"/>
    </row>
    <row r="139" spans="1:48" x14ac:dyDescent="0.25">
      <c r="D139" s="19" t="str">
        <f>+IF($B$3="esp","Otros","Other")</f>
        <v>Other</v>
      </c>
      <c r="F139" s="17">
        <v>-3.2632143600005818</v>
      </c>
      <c r="G139" s="24">
        <v>-5.4993714700002005</v>
      </c>
      <c r="H139" s="28">
        <v>0.40662048784995736</v>
      </c>
      <c r="K139" s="30"/>
      <c r="L139" s="17">
        <v>-1.8314319400005055</v>
      </c>
      <c r="M139" s="24">
        <v>-2.8018429500000028</v>
      </c>
      <c r="N139" s="28">
        <v>0.34634739609495113</v>
      </c>
      <c r="O139" s="30"/>
      <c r="P139" s="30"/>
      <c r="T139" s="48"/>
      <c r="U139" s="30"/>
      <c r="V139" s="31"/>
      <c r="W139" s="31"/>
      <c r="X139" s="50"/>
      <c r="AA139" s="30"/>
      <c r="AB139" s="31"/>
      <c r="AC139" s="31"/>
      <c r="AD139" s="50"/>
      <c r="AE139" s="30"/>
      <c r="AF139" s="30"/>
      <c r="AU139" s="30"/>
      <c r="AV139" s="30"/>
    </row>
    <row r="140" spans="1:48" x14ac:dyDescent="0.25">
      <c r="K140" s="30"/>
      <c r="O140" s="30"/>
      <c r="P140" s="30"/>
      <c r="T140" s="59"/>
      <c r="U140" s="30"/>
      <c r="V140" s="31"/>
      <c r="W140" s="31"/>
      <c r="X140" s="50"/>
      <c r="AA140" s="30"/>
      <c r="AB140" s="31"/>
      <c r="AC140" s="31"/>
      <c r="AD140" s="50"/>
      <c r="AE140" s="30"/>
      <c r="AF140" s="30"/>
      <c r="AU140" s="30"/>
      <c r="AV140" s="30"/>
    </row>
    <row r="141" spans="1:48" x14ac:dyDescent="0.25">
      <c r="K141" s="30"/>
      <c r="O141" s="30"/>
      <c r="P141" s="30"/>
      <c r="T141" s="59"/>
      <c r="U141" s="30"/>
      <c r="V141" s="31"/>
      <c r="W141" s="31"/>
      <c r="X141" s="50"/>
      <c r="AA141" s="30"/>
      <c r="AB141" s="31"/>
      <c r="AC141" s="31"/>
      <c r="AD141" s="50"/>
      <c r="AE141" s="30"/>
      <c r="AF141" s="30"/>
      <c r="AU141" s="30"/>
      <c r="AV141" s="30"/>
    </row>
    <row r="142" spans="1:48" x14ac:dyDescent="0.25">
      <c r="K142" s="30"/>
      <c r="O142" s="30"/>
      <c r="P142" s="30"/>
      <c r="T142" s="48"/>
      <c r="U142" s="30"/>
      <c r="V142" s="31"/>
      <c r="W142" s="31"/>
      <c r="X142" s="50"/>
      <c r="AA142" s="30"/>
      <c r="AB142" s="31"/>
      <c r="AC142" s="31"/>
      <c r="AD142" s="50"/>
      <c r="AE142" s="30"/>
      <c r="AF142" s="30"/>
      <c r="AU142" s="30"/>
      <c r="AV142" s="30"/>
    </row>
  </sheetData>
  <mergeCells count="11">
    <mergeCell ref="D79:D80"/>
    <mergeCell ref="T79:T80"/>
    <mergeCell ref="T111:T112"/>
    <mergeCell ref="D111:D112"/>
    <mergeCell ref="L6:N6"/>
    <mergeCell ref="L53:N53"/>
    <mergeCell ref="AB6:AD6"/>
    <mergeCell ref="AB53:AD53"/>
    <mergeCell ref="AR6:AT6"/>
    <mergeCell ref="L79:N79"/>
    <mergeCell ref="L111:N1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 Publish</vt:lpstr>
    </vt:vector>
  </TitlesOfParts>
  <Company>Prisa Corporación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Tobal Favelukes, Matías</dc:creator>
  <cp:lastModifiedBy>Alejandro Juan Chamorro Aparicio</cp:lastModifiedBy>
  <dcterms:created xsi:type="dcterms:W3CDTF">2021-03-22T08:53:48Z</dcterms:created>
  <dcterms:modified xsi:type="dcterms:W3CDTF">2022-07-26T10:42:17Z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