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1565"/>
  </bookViews>
  <sheets>
    <sheet name="To Publish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139" i="1" l="1"/>
  <c r="F139" i="1"/>
  <c r="H139" i="1" s="1"/>
  <c r="D139" i="1"/>
  <c r="H138" i="1"/>
  <c r="G138" i="1"/>
  <c r="F138" i="1"/>
  <c r="D138" i="1"/>
  <c r="G137" i="1"/>
  <c r="F137" i="1"/>
  <c r="H137" i="1" s="1"/>
  <c r="D137" i="1"/>
  <c r="H136" i="1"/>
  <c r="G136" i="1"/>
  <c r="F136" i="1"/>
  <c r="H135" i="1"/>
  <c r="G135" i="1"/>
  <c r="F135" i="1"/>
  <c r="D135" i="1"/>
  <c r="G134" i="1"/>
  <c r="H134" i="1" s="1"/>
  <c r="F134" i="1"/>
  <c r="D134" i="1"/>
  <c r="H133" i="1"/>
  <c r="G133" i="1"/>
  <c r="F133" i="1"/>
  <c r="D133" i="1"/>
  <c r="D132" i="1"/>
  <c r="H130" i="1"/>
  <c r="G130" i="1"/>
  <c r="F130" i="1"/>
  <c r="D130" i="1"/>
  <c r="G129" i="1"/>
  <c r="F129" i="1"/>
  <c r="H129" i="1" s="1"/>
  <c r="D129" i="1"/>
  <c r="H128" i="1"/>
  <c r="G128" i="1"/>
  <c r="F128" i="1"/>
  <c r="D128" i="1"/>
  <c r="G127" i="1"/>
  <c r="F127" i="1"/>
  <c r="H127" i="1" s="1"/>
  <c r="G126" i="1"/>
  <c r="H126" i="1" s="1"/>
  <c r="F126" i="1"/>
  <c r="D126" i="1"/>
  <c r="H125" i="1"/>
  <c r="G125" i="1"/>
  <c r="F125" i="1"/>
  <c r="D125" i="1"/>
  <c r="G124" i="1"/>
  <c r="H124" i="1" s="1"/>
  <c r="F124" i="1"/>
  <c r="D124" i="1"/>
  <c r="D123" i="1"/>
  <c r="G121" i="1"/>
  <c r="F121" i="1"/>
  <c r="H121" i="1" s="1"/>
  <c r="D121" i="1"/>
  <c r="H120" i="1"/>
  <c r="G120" i="1"/>
  <c r="F120" i="1"/>
  <c r="D120" i="1"/>
  <c r="G119" i="1"/>
  <c r="F119" i="1"/>
  <c r="H119" i="1" s="1"/>
  <c r="D119" i="1"/>
  <c r="H118" i="1"/>
  <c r="G118" i="1"/>
  <c r="F118" i="1"/>
  <c r="H117" i="1"/>
  <c r="G117" i="1"/>
  <c r="F117" i="1"/>
  <c r="D117" i="1"/>
  <c r="G116" i="1"/>
  <c r="H116" i="1" s="1"/>
  <c r="F116" i="1"/>
  <c r="D116" i="1"/>
  <c r="H115" i="1"/>
  <c r="G115" i="1"/>
  <c r="F115" i="1"/>
  <c r="D115" i="1"/>
  <c r="D114" i="1"/>
  <c r="H113" i="1"/>
  <c r="D113" i="1"/>
  <c r="F111" i="1"/>
  <c r="D111" i="1"/>
  <c r="G107" i="1"/>
  <c r="H107" i="1" s="1"/>
  <c r="F107" i="1"/>
  <c r="D107" i="1"/>
  <c r="H106" i="1"/>
  <c r="G106" i="1"/>
  <c r="F106" i="1"/>
  <c r="D106" i="1"/>
  <c r="G105" i="1"/>
  <c r="H105" i="1" s="1"/>
  <c r="F105" i="1"/>
  <c r="D105" i="1"/>
  <c r="H104" i="1"/>
  <c r="G104" i="1"/>
  <c r="F104" i="1"/>
  <c r="H103" i="1"/>
  <c r="G103" i="1"/>
  <c r="F103" i="1"/>
  <c r="D103" i="1"/>
  <c r="G102" i="1"/>
  <c r="H102" i="1" s="1"/>
  <c r="F102" i="1"/>
  <c r="D102" i="1"/>
  <c r="H101" i="1"/>
  <c r="G101" i="1"/>
  <c r="F101" i="1"/>
  <c r="D101" i="1"/>
  <c r="D100" i="1"/>
  <c r="H98" i="1"/>
  <c r="G98" i="1"/>
  <c r="F98" i="1"/>
  <c r="D98" i="1"/>
  <c r="G97" i="1"/>
  <c r="H97" i="1" s="1"/>
  <c r="F97" i="1"/>
  <c r="D97" i="1"/>
  <c r="H96" i="1"/>
  <c r="G96" i="1"/>
  <c r="F96" i="1"/>
  <c r="D96" i="1"/>
  <c r="G95" i="1"/>
  <c r="H95" i="1" s="1"/>
  <c r="F95" i="1"/>
  <c r="G94" i="1"/>
  <c r="H94" i="1" s="1"/>
  <c r="F94" i="1"/>
  <c r="D94" i="1"/>
  <c r="H93" i="1"/>
  <c r="G93" i="1"/>
  <c r="F93" i="1"/>
  <c r="D93" i="1"/>
  <c r="G92" i="1"/>
  <c r="H92" i="1" s="1"/>
  <c r="F92" i="1"/>
  <c r="D92" i="1"/>
  <c r="D91" i="1"/>
  <c r="G89" i="1"/>
  <c r="F89" i="1"/>
  <c r="H89" i="1" s="1"/>
  <c r="D89" i="1"/>
  <c r="H88" i="1"/>
  <c r="G88" i="1"/>
  <c r="F88" i="1"/>
  <c r="D88" i="1"/>
  <c r="G87" i="1"/>
  <c r="F87" i="1"/>
  <c r="H87" i="1" s="1"/>
  <c r="D87" i="1"/>
  <c r="H86" i="1"/>
  <c r="G86" i="1"/>
  <c r="F86" i="1"/>
  <c r="H85" i="1"/>
  <c r="G85" i="1"/>
  <c r="F85" i="1"/>
  <c r="D85" i="1"/>
  <c r="G84" i="1"/>
  <c r="H84" i="1" s="1"/>
  <c r="F84" i="1"/>
  <c r="D84" i="1"/>
  <c r="H83" i="1"/>
  <c r="G83" i="1"/>
  <c r="F83" i="1"/>
  <c r="D83" i="1"/>
  <c r="D82" i="1"/>
  <c r="H81" i="1"/>
  <c r="D81" i="1"/>
  <c r="F79" i="1"/>
  <c r="D79" i="1"/>
  <c r="T74" i="1"/>
  <c r="D74" i="1"/>
  <c r="W73" i="1"/>
  <c r="X73" i="1" s="1"/>
  <c r="V73" i="1"/>
  <c r="T73" i="1"/>
  <c r="H73" i="1"/>
  <c r="G73" i="1"/>
  <c r="F73" i="1"/>
  <c r="D73" i="1"/>
  <c r="W72" i="1"/>
  <c r="X72" i="1" s="1"/>
  <c r="V72" i="1"/>
  <c r="T72" i="1"/>
  <c r="H72" i="1"/>
  <c r="G72" i="1"/>
  <c r="F72" i="1"/>
  <c r="D72" i="1"/>
  <c r="W71" i="1"/>
  <c r="X71" i="1" s="1"/>
  <c r="V71" i="1"/>
  <c r="V74" i="1" s="1"/>
  <c r="T71" i="1"/>
  <c r="H71" i="1"/>
  <c r="G71" i="1"/>
  <c r="G74" i="1" s="1"/>
  <c r="H74" i="1" s="1"/>
  <c r="F71" i="1"/>
  <c r="F74" i="1" s="1"/>
  <c r="D71" i="1"/>
  <c r="T70" i="1"/>
  <c r="D70" i="1"/>
  <c r="W69" i="1"/>
  <c r="X69" i="1" s="1"/>
  <c r="V69" i="1"/>
  <c r="T69" i="1"/>
  <c r="H69" i="1"/>
  <c r="G69" i="1"/>
  <c r="F69" i="1"/>
  <c r="D69" i="1"/>
  <c r="W68" i="1"/>
  <c r="X68" i="1" s="1"/>
  <c r="V68" i="1"/>
  <c r="T68" i="1"/>
  <c r="H68" i="1"/>
  <c r="G68" i="1"/>
  <c r="F68" i="1"/>
  <c r="D68" i="1"/>
  <c r="W67" i="1"/>
  <c r="X67" i="1" s="1"/>
  <c r="V67" i="1"/>
  <c r="V70" i="1" s="1"/>
  <c r="T67" i="1"/>
  <c r="H67" i="1"/>
  <c r="G67" i="1"/>
  <c r="G70" i="1" s="1"/>
  <c r="H70" i="1" s="1"/>
  <c r="F67" i="1"/>
  <c r="F70" i="1" s="1"/>
  <c r="D67" i="1"/>
  <c r="T66" i="1"/>
  <c r="D66" i="1"/>
  <c r="W65" i="1"/>
  <c r="X65" i="1" s="1"/>
  <c r="V65" i="1"/>
  <c r="T65" i="1"/>
  <c r="H65" i="1"/>
  <c r="G65" i="1"/>
  <c r="F65" i="1"/>
  <c r="D65" i="1"/>
  <c r="W64" i="1"/>
  <c r="X64" i="1" s="1"/>
  <c r="V64" i="1"/>
  <c r="T64" i="1"/>
  <c r="H64" i="1"/>
  <c r="G64" i="1"/>
  <c r="F64" i="1"/>
  <c r="D64" i="1"/>
  <c r="W63" i="1"/>
  <c r="X63" i="1" s="1"/>
  <c r="V63" i="1"/>
  <c r="V66" i="1" s="1"/>
  <c r="T63" i="1"/>
  <c r="H63" i="1"/>
  <c r="G63" i="1"/>
  <c r="G66" i="1" s="1"/>
  <c r="F63" i="1"/>
  <c r="F66" i="1" s="1"/>
  <c r="D63" i="1"/>
  <c r="W62" i="1"/>
  <c r="X62" i="1" s="1"/>
  <c r="V62" i="1"/>
  <c r="T62" i="1"/>
  <c r="H62" i="1"/>
  <c r="G62" i="1"/>
  <c r="F62" i="1"/>
  <c r="D62" i="1"/>
  <c r="W61" i="1"/>
  <c r="X61" i="1" s="1"/>
  <c r="V61" i="1"/>
  <c r="T61" i="1"/>
  <c r="H61" i="1"/>
  <c r="G61" i="1"/>
  <c r="F61" i="1"/>
  <c r="D61" i="1"/>
  <c r="W60" i="1"/>
  <c r="X60" i="1" s="1"/>
  <c r="V60" i="1"/>
  <c r="T60" i="1"/>
  <c r="H60" i="1"/>
  <c r="G60" i="1"/>
  <c r="F60" i="1"/>
  <c r="D60" i="1"/>
  <c r="W59" i="1"/>
  <c r="X59" i="1" s="1"/>
  <c r="V59" i="1"/>
  <c r="T59" i="1"/>
  <c r="H59" i="1"/>
  <c r="G59" i="1"/>
  <c r="F59" i="1"/>
  <c r="D59" i="1"/>
  <c r="W58" i="1"/>
  <c r="X58" i="1" s="1"/>
  <c r="V58" i="1"/>
  <c r="T58" i="1"/>
  <c r="H58" i="1"/>
  <c r="G58" i="1"/>
  <c r="F58" i="1"/>
  <c r="D58" i="1"/>
  <c r="W57" i="1"/>
  <c r="X57" i="1" s="1"/>
  <c r="V57" i="1"/>
  <c r="T57" i="1"/>
  <c r="H57" i="1"/>
  <c r="G57" i="1"/>
  <c r="F57" i="1"/>
  <c r="D57" i="1"/>
  <c r="T56" i="1"/>
  <c r="D56" i="1"/>
  <c r="X55" i="1"/>
  <c r="T55" i="1"/>
  <c r="H55" i="1"/>
  <c r="D55" i="1"/>
  <c r="V53" i="1"/>
  <c r="F53" i="1"/>
  <c r="W36" i="1"/>
  <c r="X36" i="1" s="1"/>
  <c r="V36" i="1"/>
  <c r="T36" i="1"/>
  <c r="H36" i="1"/>
  <c r="G36" i="1"/>
  <c r="F36" i="1"/>
  <c r="D36" i="1"/>
  <c r="AM35" i="1"/>
  <c r="AN35" i="1" s="1"/>
  <c r="AL35" i="1"/>
  <c r="AJ35" i="1"/>
  <c r="X35" i="1"/>
  <c r="W35" i="1"/>
  <c r="V35" i="1"/>
  <c r="T35" i="1"/>
  <c r="G35" i="1"/>
  <c r="H35" i="1" s="1"/>
  <c r="F35" i="1"/>
  <c r="D35" i="1"/>
  <c r="AN34" i="1"/>
  <c r="AM34" i="1"/>
  <c r="AL34" i="1"/>
  <c r="AJ34" i="1"/>
  <c r="W34" i="1"/>
  <c r="X34" i="1" s="1"/>
  <c r="V34" i="1"/>
  <c r="T34" i="1"/>
  <c r="H34" i="1"/>
  <c r="G34" i="1"/>
  <c r="F34" i="1"/>
  <c r="D34" i="1"/>
  <c r="AM33" i="1"/>
  <c r="AN33" i="1" s="1"/>
  <c r="AL33" i="1"/>
  <c r="AJ33" i="1"/>
  <c r="X33" i="1"/>
  <c r="W33" i="1"/>
  <c r="V33" i="1"/>
  <c r="T33" i="1"/>
  <c r="G33" i="1"/>
  <c r="H33" i="1" s="1"/>
  <c r="F33" i="1"/>
  <c r="D33" i="1"/>
  <c r="AN32" i="1"/>
  <c r="AM32" i="1"/>
  <c r="AL32" i="1"/>
  <c r="AJ32" i="1"/>
  <c r="W32" i="1"/>
  <c r="X32" i="1" s="1"/>
  <c r="V32" i="1"/>
  <c r="T32" i="1"/>
  <c r="H32" i="1"/>
  <c r="G32" i="1"/>
  <c r="F32" i="1"/>
  <c r="D32" i="1"/>
  <c r="AM31" i="1"/>
  <c r="AN31" i="1" s="1"/>
  <c r="AL31" i="1"/>
  <c r="AJ31" i="1"/>
  <c r="X31" i="1"/>
  <c r="W31" i="1"/>
  <c r="V31" i="1"/>
  <c r="T31" i="1"/>
  <c r="G31" i="1"/>
  <c r="H31" i="1" s="1"/>
  <c r="F31" i="1"/>
  <c r="D31" i="1"/>
  <c r="AN30" i="1"/>
  <c r="AM30" i="1"/>
  <c r="AL30" i="1"/>
  <c r="AJ30" i="1"/>
  <c r="W30" i="1"/>
  <c r="X30" i="1" s="1"/>
  <c r="V30" i="1"/>
  <c r="T30" i="1"/>
  <c r="H30" i="1"/>
  <c r="G30" i="1"/>
  <c r="F30" i="1"/>
  <c r="D30" i="1"/>
  <c r="AM29" i="1"/>
  <c r="AN29" i="1" s="1"/>
  <c r="AL29" i="1"/>
  <c r="AJ29" i="1"/>
  <c r="X29" i="1"/>
  <c r="W29" i="1"/>
  <c r="V29" i="1"/>
  <c r="T29" i="1"/>
  <c r="G29" i="1"/>
  <c r="H29" i="1" s="1"/>
  <c r="F29" i="1"/>
  <c r="D29" i="1"/>
  <c r="AN28" i="1"/>
  <c r="AM28" i="1"/>
  <c r="AL28" i="1"/>
  <c r="AJ28" i="1"/>
  <c r="W28" i="1"/>
  <c r="X28" i="1" s="1"/>
  <c r="V28" i="1"/>
  <c r="T28" i="1"/>
  <c r="H28" i="1"/>
  <c r="G28" i="1"/>
  <c r="F28" i="1"/>
  <c r="D28" i="1"/>
  <c r="AM27" i="1"/>
  <c r="AN27" i="1" s="1"/>
  <c r="AL27" i="1"/>
  <c r="AJ27" i="1"/>
  <c r="V27" i="1"/>
  <c r="T27" i="1"/>
  <c r="G27" i="1"/>
  <c r="H27" i="1" s="1"/>
  <c r="F27" i="1"/>
  <c r="D27" i="1"/>
  <c r="AJ26" i="1"/>
  <c r="W26" i="1"/>
  <c r="X26" i="1" s="1"/>
  <c r="V26" i="1"/>
  <c r="T26" i="1"/>
  <c r="H26" i="1"/>
  <c r="G26" i="1"/>
  <c r="F26" i="1"/>
  <c r="D26" i="1"/>
  <c r="AM25" i="1"/>
  <c r="AN25" i="1" s="1"/>
  <c r="AL25" i="1"/>
  <c r="AJ25" i="1"/>
  <c r="X25" i="1"/>
  <c r="W25" i="1"/>
  <c r="V25" i="1"/>
  <c r="T25" i="1"/>
  <c r="G25" i="1"/>
  <c r="H25" i="1" s="1"/>
  <c r="F25" i="1"/>
  <c r="D25" i="1"/>
  <c r="AJ24" i="1"/>
  <c r="W24" i="1"/>
  <c r="X24" i="1" s="1"/>
  <c r="V24" i="1"/>
  <c r="T24" i="1"/>
  <c r="H24" i="1"/>
  <c r="G24" i="1"/>
  <c r="F24" i="1"/>
  <c r="D24" i="1"/>
  <c r="AM23" i="1"/>
  <c r="AN23" i="1" s="1"/>
  <c r="AL23" i="1"/>
  <c r="AJ23" i="1"/>
  <c r="V23" i="1"/>
  <c r="T23" i="1"/>
  <c r="G23" i="1"/>
  <c r="H23" i="1" s="1"/>
  <c r="F23" i="1"/>
  <c r="D23" i="1"/>
  <c r="AJ22" i="1"/>
  <c r="W22" i="1"/>
  <c r="X22" i="1" s="1"/>
  <c r="V22" i="1"/>
  <c r="T22" i="1"/>
  <c r="H22" i="1"/>
  <c r="G22" i="1"/>
  <c r="F22" i="1"/>
  <c r="D22" i="1"/>
  <c r="AM21" i="1"/>
  <c r="AN21" i="1" s="1"/>
  <c r="AL21" i="1"/>
  <c r="AJ21" i="1"/>
  <c r="X21" i="1"/>
  <c r="W21" i="1"/>
  <c r="V21" i="1"/>
  <c r="T21" i="1"/>
  <c r="G21" i="1"/>
  <c r="H21" i="1" s="1"/>
  <c r="F21" i="1"/>
  <c r="D21" i="1"/>
  <c r="X20" i="1"/>
  <c r="W20" i="1"/>
  <c r="V20" i="1"/>
  <c r="T20" i="1"/>
  <c r="G20" i="1"/>
  <c r="H20" i="1" s="1"/>
  <c r="F20" i="1"/>
  <c r="D20" i="1"/>
  <c r="AN19" i="1"/>
  <c r="AM19" i="1"/>
  <c r="AL19" i="1"/>
  <c r="V19" i="1"/>
  <c r="T19" i="1"/>
  <c r="G19" i="1"/>
  <c r="H19" i="1" s="1"/>
  <c r="F19" i="1"/>
  <c r="D19" i="1"/>
  <c r="AJ18" i="1"/>
  <c r="W18" i="1"/>
  <c r="X18" i="1" s="1"/>
  <c r="V18" i="1"/>
  <c r="T18" i="1"/>
  <c r="G18" i="1"/>
  <c r="H18" i="1" s="1"/>
  <c r="F18" i="1"/>
  <c r="D18" i="1"/>
  <c r="AM17" i="1"/>
  <c r="AN17" i="1" s="1"/>
  <c r="AL17" i="1"/>
  <c r="AJ17" i="1"/>
  <c r="W17" i="1"/>
  <c r="X17" i="1" s="1"/>
  <c r="V17" i="1"/>
  <c r="T17" i="1"/>
  <c r="G17" i="1"/>
  <c r="H17" i="1" s="1"/>
  <c r="F17" i="1"/>
  <c r="D17" i="1"/>
  <c r="AM16" i="1"/>
  <c r="AN16" i="1" s="1"/>
  <c r="AL16" i="1"/>
  <c r="AJ16" i="1"/>
  <c r="W16" i="1"/>
  <c r="W19" i="1" s="1"/>
  <c r="X19" i="1" s="1"/>
  <c r="V16" i="1"/>
  <c r="T16" i="1"/>
  <c r="G16" i="1"/>
  <c r="H16" i="1" s="1"/>
  <c r="F16" i="1"/>
  <c r="D16" i="1"/>
  <c r="AM15" i="1"/>
  <c r="AN15" i="1" s="1"/>
  <c r="AL15" i="1"/>
  <c r="AJ15" i="1"/>
  <c r="W15" i="1"/>
  <c r="X15" i="1" s="1"/>
  <c r="V15" i="1"/>
  <c r="T15" i="1"/>
  <c r="G15" i="1"/>
  <c r="H15" i="1" s="1"/>
  <c r="F15" i="1"/>
  <c r="D15" i="1"/>
  <c r="AM14" i="1"/>
  <c r="AN14" i="1" s="1"/>
  <c r="AL14" i="1"/>
  <c r="AJ14" i="1"/>
  <c r="W14" i="1"/>
  <c r="X14" i="1" s="1"/>
  <c r="V14" i="1"/>
  <c r="T14" i="1"/>
  <c r="G14" i="1"/>
  <c r="H14" i="1" s="1"/>
  <c r="F14" i="1"/>
  <c r="D14" i="1"/>
  <c r="AM13" i="1"/>
  <c r="AN13" i="1" s="1"/>
  <c r="AL13" i="1"/>
  <c r="AJ13" i="1"/>
  <c r="W13" i="1"/>
  <c r="X13" i="1" s="1"/>
  <c r="V13" i="1"/>
  <c r="T13" i="1"/>
  <c r="G13" i="1"/>
  <c r="H13" i="1" s="1"/>
  <c r="F13" i="1"/>
  <c r="D13" i="1"/>
  <c r="AM12" i="1"/>
  <c r="AN12" i="1" s="1"/>
  <c r="AL12" i="1"/>
  <c r="AJ12" i="1"/>
  <c r="W12" i="1"/>
  <c r="X12" i="1" s="1"/>
  <c r="V12" i="1"/>
  <c r="T12" i="1"/>
  <c r="G12" i="1"/>
  <c r="H12" i="1" s="1"/>
  <c r="F12" i="1"/>
  <c r="D12" i="1"/>
  <c r="AM11" i="1"/>
  <c r="AN11" i="1" s="1"/>
  <c r="AL11" i="1"/>
  <c r="AJ11" i="1"/>
  <c r="W11" i="1"/>
  <c r="X11" i="1" s="1"/>
  <c r="V11" i="1"/>
  <c r="T11" i="1"/>
  <c r="G11" i="1"/>
  <c r="H11" i="1" s="1"/>
  <c r="F11" i="1"/>
  <c r="D11" i="1"/>
  <c r="AM10" i="1"/>
  <c r="AN10" i="1" s="1"/>
  <c r="AL10" i="1"/>
  <c r="AL18" i="1" s="1"/>
  <c r="AL20" i="1" s="1"/>
  <c r="AJ10" i="1"/>
  <c r="W10" i="1"/>
  <c r="W27" i="1" s="1"/>
  <c r="X27" i="1" s="1"/>
  <c r="V10" i="1"/>
  <c r="T10" i="1"/>
  <c r="G10" i="1"/>
  <c r="H10" i="1" s="1"/>
  <c r="F10" i="1"/>
  <c r="D10" i="1"/>
  <c r="AJ9" i="1"/>
  <c r="T9" i="1"/>
  <c r="D9" i="1"/>
  <c r="AN8" i="1"/>
  <c r="AJ8" i="1"/>
  <c r="X8" i="1"/>
  <c r="T8" i="1"/>
  <c r="H8" i="1"/>
  <c r="D8" i="1"/>
  <c r="AL6" i="1"/>
  <c r="F6" i="1"/>
  <c r="V6" i="1" s="1"/>
  <c r="T3" i="1"/>
  <c r="D3" i="1"/>
  <c r="H66" i="1" l="1"/>
  <c r="X10" i="1"/>
  <c r="X16" i="1"/>
  <c r="AL22" i="1"/>
  <c r="AL24" i="1"/>
  <c r="AL26" i="1"/>
  <c r="AM22" i="1"/>
  <c r="W23" i="1"/>
  <c r="X23" i="1" s="1"/>
  <c r="AM24" i="1"/>
  <c r="AN24" i="1" s="1"/>
  <c r="AM26" i="1"/>
  <c r="W66" i="1"/>
  <c r="X66" i="1" s="1"/>
  <c r="W70" i="1"/>
  <c r="X70" i="1" s="1"/>
  <c r="W74" i="1"/>
  <c r="X74" i="1" s="1"/>
  <c r="AM18" i="1"/>
  <c r="AN22" i="1" l="1"/>
  <c r="AN18" i="1"/>
  <c r="AM20" i="1"/>
  <c r="AN20" i="1" s="1"/>
  <c r="AN26" i="1"/>
</calcChain>
</file>

<file path=xl/sharedStrings.xml><?xml version="1.0" encoding="utf-8"?>
<sst xmlns="http://schemas.openxmlformats.org/spreadsheetml/2006/main" count="15" uniqueCount="9">
  <si>
    <t>Español</t>
  </si>
  <si>
    <t>esp</t>
  </si>
  <si>
    <t>English</t>
  </si>
  <si>
    <t>eng</t>
  </si>
  <si>
    <t>idioma</t>
  </si>
  <si>
    <t>PRISA MEDIA</t>
  </si>
  <si>
    <t>Variable Expenses</t>
  </si>
  <si>
    <t>Fixed Expenses</t>
  </si>
  <si>
    <t>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</si>
</sst>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Montserrat"/>
    </font>
    <font>
      <sz val="11"/>
      <color theme="1"/>
      <name val="Montserrat"/>
    </font>
    <font>
      <sz val="10"/>
      <color theme="1"/>
      <name val="Montserrat"/>
    </font>
    <font>
      <b/>
      <sz val="12"/>
      <color rgb="FF0070C0"/>
      <name val="Montserrat"/>
    </font>
    <font>
      <b/>
      <sz val="10"/>
      <color theme="0"/>
      <name val="Montserrat"/>
    </font>
    <font>
      <b/>
      <sz val="11"/>
      <color rgb="FF03678B"/>
      <name val="Montserrat"/>
    </font>
    <font>
      <b/>
      <sz val="11"/>
      <color theme="1"/>
      <name val="Montserrat"/>
    </font>
    <font>
      <i/>
      <sz val="11"/>
      <color theme="1"/>
      <name val="Montserrat"/>
    </font>
    <font>
      <sz val="11"/>
      <color rgb="FFFF0000"/>
      <name val="Montserrat"/>
    </font>
    <font>
      <sz val="8"/>
      <color rgb="FFFF0000"/>
      <name val="Montserrat"/>
    </font>
    <font>
      <b/>
      <sz val="10"/>
      <color theme="1"/>
      <name val="Montserrat"/>
    </font>
    <font>
      <sz val="9"/>
      <color rgb="FFFF0000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678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0076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rgb="FF03678B"/>
      </bottom>
      <diagonal/>
    </border>
    <border>
      <left style="thin">
        <color rgb="FF03678B"/>
      </left>
      <right style="thin">
        <color rgb="FF03678B"/>
      </right>
      <top style="thin">
        <color rgb="FF03678B"/>
      </top>
      <bottom/>
      <diagonal/>
    </border>
    <border>
      <left style="thin">
        <color rgb="FF03678B"/>
      </left>
      <right style="thin">
        <color rgb="FF03678B"/>
      </right>
      <top/>
      <bottom style="thin">
        <color rgb="FF03678B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5" xfId="0" applyFont="1" applyFill="1" applyBorder="1"/>
    <xf numFmtId="0" fontId="4" fillId="2" borderId="5" xfId="0" applyFont="1" applyFill="1" applyBorder="1"/>
    <xf numFmtId="164" fontId="4" fillId="2" borderId="5" xfId="1" applyNumberFormat="1" applyFont="1" applyFill="1" applyBorder="1"/>
    <xf numFmtId="0" fontId="4" fillId="2" borderId="0" xfId="0" applyFont="1" applyFill="1"/>
    <xf numFmtId="0" fontId="6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6" fillId="2" borderId="0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Border="1"/>
    <xf numFmtId="0" fontId="2" fillId="2" borderId="0" xfId="0" applyFont="1" applyFill="1"/>
    <xf numFmtId="0" fontId="6" fillId="3" borderId="0" xfId="0" applyFont="1" applyFill="1" applyAlignment="1">
      <alignment horizontal="right" vertical="center" indent="1"/>
    </xf>
    <xf numFmtId="0" fontId="6" fillId="2" borderId="0" xfId="0" applyFont="1" applyFill="1" applyBorder="1" applyAlignment="1">
      <alignment horizontal="right" vertical="center" indent="1"/>
    </xf>
    <xf numFmtId="0" fontId="7" fillId="2" borderId="6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165" fontId="8" fillId="4" borderId="0" xfId="0" applyNumberFormat="1" applyFont="1" applyFill="1" applyAlignment="1">
      <alignment horizontal="right" vertical="center" indent="1"/>
    </xf>
    <xf numFmtId="165" fontId="8" fillId="2" borderId="0" xfId="0" applyNumberFormat="1" applyFont="1" applyFill="1" applyAlignment="1">
      <alignment horizontal="right" vertical="center" indent="1"/>
    </xf>
    <xf numFmtId="164" fontId="8" fillId="5" borderId="0" xfId="1" applyNumberFormat="1" applyFont="1" applyFill="1" applyAlignment="1">
      <alignment horizontal="right" vertical="center" indent="1"/>
    </xf>
    <xf numFmtId="165" fontId="8" fillId="2" borderId="0" xfId="0" applyNumberFormat="1" applyFont="1" applyFill="1" applyBorder="1" applyAlignment="1">
      <alignment horizontal="right" vertical="center" indent="1"/>
    </xf>
    <xf numFmtId="164" fontId="8" fillId="2" borderId="0" xfId="1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left" vertical="center" indent="1"/>
    </xf>
    <xf numFmtId="165" fontId="3" fillId="4" borderId="0" xfId="0" applyNumberFormat="1" applyFont="1" applyFill="1" applyAlignment="1">
      <alignment horizontal="right" vertical="center" indent="1"/>
    </xf>
    <xf numFmtId="165" fontId="3" fillId="2" borderId="0" xfId="0" applyNumberFormat="1" applyFont="1" applyFill="1" applyAlignment="1">
      <alignment horizontal="right" vertical="center" indent="1"/>
    </xf>
    <xf numFmtId="164" fontId="3" fillId="5" borderId="0" xfId="1" applyNumberFormat="1" applyFont="1" applyFill="1" applyAlignment="1">
      <alignment horizontal="right" vertical="center" indent="1"/>
    </xf>
    <xf numFmtId="165" fontId="3" fillId="2" borderId="0" xfId="0" applyNumberFormat="1" applyFont="1" applyFill="1" applyBorder="1" applyAlignment="1">
      <alignment horizontal="right" vertical="center" indent="1"/>
    </xf>
    <xf numFmtId="164" fontId="3" fillId="2" borderId="0" xfId="1" applyNumberFormat="1" applyFont="1" applyFill="1" applyBorder="1" applyAlignment="1">
      <alignment horizontal="right" vertical="center" indent="1"/>
    </xf>
    <xf numFmtId="0" fontId="4" fillId="2" borderId="0" xfId="0" applyFont="1" applyFill="1" applyAlignment="1">
      <alignment horizontal="left" vertical="center" indent="3"/>
    </xf>
    <xf numFmtId="165" fontId="4" fillId="2" borderId="0" xfId="0" applyNumberFormat="1" applyFont="1" applyFill="1" applyBorder="1" applyAlignment="1">
      <alignment horizontal="right" vertical="center" indent="1"/>
    </xf>
    <xf numFmtId="164" fontId="4" fillId="2" borderId="0" xfId="1" applyNumberFormat="1" applyFont="1" applyFill="1" applyBorder="1" applyAlignment="1">
      <alignment horizontal="right" vertical="center" indent="1"/>
    </xf>
    <xf numFmtId="0" fontId="9" fillId="2" borderId="0" xfId="0" applyFont="1" applyFill="1" applyAlignment="1">
      <alignment horizontal="left" vertical="center" indent="1"/>
    </xf>
    <xf numFmtId="0" fontId="9" fillId="2" borderId="0" xfId="0" applyFont="1" applyFill="1"/>
    <xf numFmtId="164" fontId="9" fillId="4" borderId="0" xfId="1" applyNumberFormat="1" applyFont="1" applyFill="1" applyAlignment="1">
      <alignment vertical="center"/>
    </xf>
    <xf numFmtId="164" fontId="9" fillId="2" borderId="0" xfId="1" applyNumberFormat="1" applyFont="1" applyFill="1" applyAlignment="1">
      <alignment vertical="center"/>
    </xf>
    <xf numFmtId="164" fontId="9" fillId="5" borderId="0" xfId="1" applyNumberFormat="1" applyFont="1" applyFill="1" applyAlignment="1">
      <alignment horizontal="right" vertical="center" indent="1"/>
    </xf>
    <xf numFmtId="164" fontId="9" fillId="2" borderId="0" xfId="1" applyNumberFormat="1" applyFont="1" applyFill="1" applyBorder="1" applyAlignment="1">
      <alignment vertical="center"/>
    </xf>
    <xf numFmtId="164" fontId="9" fillId="2" borderId="0" xfId="1" applyNumberFormat="1" applyFont="1" applyFill="1" applyBorder="1" applyAlignment="1">
      <alignment horizontal="right" vertical="center" indent="1"/>
    </xf>
    <xf numFmtId="165" fontId="4" fillId="2" borderId="0" xfId="0" applyNumberFormat="1" applyFont="1" applyFill="1" applyAlignment="1">
      <alignment horizontal="right" vertical="center" indent="1"/>
    </xf>
    <xf numFmtId="164" fontId="4" fillId="2" borderId="0" xfId="1" applyNumberFormat="1" applyFont="1" applyFill="1" applyAlignment="1">
      <alignment horizontal="right" vertical="center" indent="1"/>
    </xf>
    <xf numFmtId="0" fontId="3" fillId="6" borderId="0" xfId="0" applyFont="1" applyFill="1"/>
    <xf numFmtId="0" fontId="10" fillId="2" borderId="0" xfId="0" applyFont="1" applyFill="1" applyBorder="1"/>
    <xf numFmtId="4" fontId="1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7" fillId="2" borderId="0" xfId="0" applyFon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/>
    <xf numFmtId="0" fontId="3" fillId="2" borderId="0" xfId="0" applyFont="1" applyFill="1" applyBorder="1" applyAlignment="1">
      <alignment horizontal="left" vertical="center" indent="1"/>
    </xf>
    <xf numFmtId="0" fontId="9" fillId="2" borderId="0" xfId="0" applyFont="1" applyFill="1" applyBorder="1" applyAlignment="1">
      <alignment horizontal="left" vertical="center" indent="1"/>
    </xf>
    <xf numFmtId="0" fontId="9" fillId="2" borderId="0" xfId="0" applyFont="1" applyFill="1" applyBorder="1"/>
    <xf numFmtId="0" fontId="12" fillId="2" borderId="7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indent="3"/>
    </xf>
    <xf numFmtId="0" fontId="3" fillId="2" borderId="0" xfId="0" applyFont="1" applyFill="1" applyAlignment="1">
      <alignment horizontal="left" vertical="center" indent="3"/>
    </xf>
    <xf numFmtId="0" fontId="13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GRUPO%20PRISA\CUADRO%20DE%20MANDO\Ejercicio%202023\3.%20Marzo\Informes\Comit&#233;%20ejecutivo\Tablas%20NOTA%20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Cuadros presentación"/>
      <sheetName val="GRUPO"/>
      <sheetName val="EDUCACIÓN"/>
      <sheetName val="MEDIA"/>
      <sheetName val="To Publish"/>
      <sheetName val="GRUPO (2)"/>
      <sheetName val="EDUCACIÓN (2)"/>
      <sheetName val="MEDIA (2)"/>
    </sheetNames>
    <sheetDataSet>
      <sheetData sheetId="0"/>
      <sheetData sheetId="1"/>
      <sheetData sheetId="2">
        <row r="10">
          <cell r="F10">
            <v>266.91094532520265</v>
          </cell>
          <cell r="G10">
            <v>210.58735834039521</v>
          </cell>
        </row>
        <row r="11">
          <cell r="F11">
            <v>83.339913759999973</v>
          </cell>
          <cell r="G11">
            <v>67.329898539999931</v>
          </cell>
        </row>
        <row r="12">
          <cell r="F12">
            <v>183.57103156520267</v>
          </cell>
          <cell r="G12">
            <v>143.25745980039528</v>
          </cell>
        </row>
        <row r="13">
          <cell r="F13">
            <v>199.69034379864749</v>
          </cell>
          <cell r="G13">
            <v>169.29717417319864</v>
          </cell>
        </row>
        <row r="14">
          <cell r="F14">
            <v>84.906794140000002</v>
          </cell>
          <cell r="G14">
            <v>76.383327979999962</v>
          </cell>
        </row>
        <row r="15">
          <cell r="F15">
            <v>114.78354965864749</v>
          </cell>
          <cell r="G15">
            <v>92.91384619319868</v>
          </cell>
        </row>
        <row r="16">
          <cell r="F16">
            <v>67.220601526555157</v>
          </cell>
          <cell r="G16">
            <v>41.290184167196557</v>
          </cell>
        </row>
        <row r="17">
          <cell r="F17">
            <v>-1.566880380000029</v>
          </cell>
          <cell r="G17">
            <v>-9.0534294400000377</v>
          </cell>
        </row>
        <row r="18">
          <cell r="F18">
            <v>68.787481906555186</v>
          </cell>
          <cell r="G18">
            <v>50.343613607196595</v>
          </cell>
        </row>
        <row r="19">
          <cell r="F19">
            <v>0.25184655295665748</v>
          </cell>
          <cell r="G19">
            <v>0.19607152344090262</v>
          </cell>
        </row>
        <row r="20">
          <cell r="F20">
            <v>69.145528571341544</v>
          </cell>
          <cell r="G20">
            <v>43.777987223239201</v>
          </cell>
        </row>
        <row r="21">
          <cell r="F21">
            <v>-0.63073628000005044</v>
          </cell>
          <cell r="G21">
            <v>-7.1762125900000413</v>
          </cell>
        </row>
        <row r="22">
          <cell r="F22">
            <v>69.776264851341594</v>
          </cell>
          <cell r="G22">
            <v>50.954199813239242</v>
          </cell>
        </row>
        <row r="23">
          <cell r="F23">
            <v>0.25905842297735321</v>
          </cell>
          <cell r="G23">
            <v>0.20788516256743239</v>
          </cell>
        </row>
        <row r="24">
          <cell r="F24">
            <v>51.350516886386679</v>
          </cell>
          <cell r="G24">
            <v>23.802381323951387</v>
          </cell>
        </row>
        <row r="25">
          <cell r="F25">
            <v>-7.2685806099999795</v>
          </cell>
          <cell r="G25">
            <v>-15.574103380000089</v>
          </cell>
        </row>
        <row r="26">
          <cell r="F26">
            <v>58.619097496386658</v>
          </cell>
          <cell r="G26">
            <v>39.376484703951476</v>
          </cell>
        </row>
        <row r="27">
          <cell r="F27">
            <v>0.19238820207924229</v>
          </cell>
          <cell r="G27">
            <v>0.11302853842478527</v>
          </cell>
        </row>
        <row r="28">
          <cell r="F28">
            <v>-32.234764181737418</v>
          </cell>
          <cell r="G28">
            <v>-15.479934221941901</v>
          </cell>
        </row>
        <row r="29">
          <cell r="F29">
            <v>-22.128875099327473</v>
          </cell>
          <cell r="G29">
            <v>-16.241058375938071</v>
          </cell>
        </row>
        <row r="30">
          <cell r="F30">
            <v>-10.105889082409945</v>
          </cell>
          <cell r="G30">
            <v>0.76112415399616928</v>
          </cell>
        </row>
        <row r="31">
          <cell r="F31">
            <v>6.9271366288625701E-3</v>
          </cell>
          <cell r="G31">
            <v>-7.7331496663443716E-2</v>
          </cell>
        </row>
        <row r="32">
          <cell r="F32">
            <v>19.122679841278124</v>
          </cell>
          <cell r="G32">
            <v>8.2451156053460419</v>
          </cell>
        </row>
        <row r="33">
          <cell r="F33">
            <v>14.127486538321982</v>
          </cell>
          <cell r="G33">
            <v>8.980550427854908</v>
          </cell>
        </row>
        <row r="34">
          <cell r="F34">
            <v>-2.0999999999999995E-4</v>
          </cell>
          <cell r="G34">
            <v>0</v>
          </cell>
        </row>
        <row r="35">
          <cell r="F35">
            <v>-0.23470146201729719</v>
          </cell>
          <cell r="G35">
            <v>-0.83921191567970155</v>
          </cell>
        </row>
        <row r="36">
          <cell r="F36">
            <v>5.2296847649734612</v>
          </cell>
          <cell r="G36">
            <v>0.10377709317091091</v>
          </cell>
        </row>
        <row r="58">
          <cell r="F58">
            <v>257.78005822967594</v>
          </cell>
          <cell r="G58">
            <v>210.58735834039521</v>
          </cell>
        </row>
        <row r="59">
          <cell r="F59">
            <v>83.33991376000003</v>
          </cell>
          <cell r="G59">
            <v>67.329898539999931</v>
          </cell>
        </row>
        <row r="60">
          <cell r="F60">
            <v>174.44014446967591</v>
          </cell>
          <cell r="G60">
            <v>143.25745980039528</v>
          </cell>
        </row>
        <row r="61">
          <cell r="F61">
            <v>193.95268546494344</v>
          </cell>
          <cell r="G61">
            <v>169.29717417319864</v>
          </cell>
        </row>
        <row r="62">
          <cell r="F62">
            <v>84.906794140000059</v>
          </cell>
          <cell r="G62">
            <v>76.383327979999962</v>
          </cell>
        </row>
        <row r="63">
          <cell r="F63">
            <v>109.04589132494338</v>
          </cell>
          <cell r="G63">
            <v>92.91384619319868</v>
          </cell>
        </row>
        <row r="64">
          <cell r="F64">
            <v>63.827372764732502</v>
          </cell>
          <cell r="G64">
            <v>41.290184167196557</v>
          </cell>
        </row>
        <row r="65">
          <cell r="F65">
            <v>-1.566880380000029</v>
          </cell>
          <cell r="G65">
            <v>-9.0534294400000377</v>
          </cell>
        </row>
        <row r="66">
          <cell r="F66">
            <v>65.394253144732531</v>
          </cell>
          <cell r="G66">
            <v>50.343613607196595</v>
          </cell>
        </row>
        <row r="68">
          <cell r="F68">
            <v>65.741828812859026</v>
          </cell>
          <cell r="G68">
            <v>43.777987223239201</v>
          </cell>
        </row>
        <row r="69">
          <cell r="F69">
            <v>-0.63073628000003623</v>
          </cell>
          <cell r="G69">
            <v>-7.1762125900000413</v>
          </cell>
        </row>
        <row r="70">
          <cell r="F70">
            <v>66.372565092859062</v>
          </cell>
          <cell r="G70">
            <v>50.954199813239242</v>
          </cell>
        </row>
        <row r="72">
          <cell r="F72">
            <v>48.696071676767303</v>
          </cell>
          <cell r="G72">
            <v>23.802381323951387</v>
          </cell>
        </row>
        <row r="73">
          <cell r="F73">
            <v>-7.2685806099999795</v>
          </cell>
          <cell r="G73">
            <v>-15.574103380000089</v>
          </cell>
        </row>
        <row r="74">
          <cell r="F74">
            <v>55.964652286767283</v>
          </cell>
          <cell r="G74">
            <v>39.376484703951476</v>
          </cell>
        </row>
        <row r="177">
          <cell r="F177">
            <v>266.91094532520265</v>
          </cell>
          <cell r="G177">
            <v>210.58735834039521</v>
          </cell>
        </row>
        <row r="178">
          <cell r="F178">
            <v>169.64488761089245</v>
          </cell>
          <cell r="G178">
            <v>128.36706190343418</v>
          </cell>
        </row>
        <row r="179">
          <cell r="F179">
            <v>97.591869506270172</v>
          </cell>
          <cell r="G179">
            <v>82.54161002200496</v>
          </cell>
        </row>
        <row r="180">
          <cell r="F180">
            <v>51.937910270807286</v>
          </cell>
          <cell r="G180">
            <v>48.402886103268443</v>
          </cell>
        </row>
        <row r="181">
          <cell r="F181">
            <v>34.602975258715865</v>
          </cell>
          <cell r="G181">
            <v>34.186822312497917</v>
          </cell>
        </row>
        <row r="182">
          <cell r="F182">
            <v>11.05098397674702</v>
          </cell>
          <cell r="G182">
            <v>-4.8098393761399905E-2</v>
          </cell>
        </row>
        <row r="183">
          <cell r="F183">
            <v>-0.32581179195997834</v>
          </cell>
          <cell r="G183">
            <v>-0.32131358504392438</v>
          </cell>
        </row>
        <row r="186">
          <cell r="F186">
            <v>67.220601526555157</v>
          </cell>
          <cell r="G186">
            <v>41.290184167196557</v>
          </cell>
        </row>
        <row r="187">
          <cell r="F187">
            <v>66.868087465405267</v>
          </cell>
          <cell r="G187">
            <v>44.548233707253821</v>
          </cell>
        </row>
        <row r="188">
          <cell r="F188">
            <v>1.9113239711500078</v>
          </cell>
          <cell r="G188">
            <v>-1.8262671000571873</v>
          </cell>
        </row>
        <row r="189">
          <cell r="F189">
            <v>3.9896397274076629</v>
          </cell>
          <cell r="G189">
            <v>1.0471937943741101</v>
          </cell>
        </row>
        <row r="190">
          <cell r="F190">
            <v>-3.1492923053441864</v>
          </cell>
          <cell r="G190">
            <v>-2.5951602233057871</v>
          </cell>
        </row>
        <row r="191">
          <cell r="F191">
            <v>1.0709765490865313</v>
          </cell>
          <cell r="G191">
            <v>-0.27830067112551049</v>
          </cell>
        </row>
        <row r="192">
          <cell r="F192">
            <v>-1.558809910000118</v>
          </cell>
          <cell r="G192">
            <v>-1.4317824400000772</v>
          </cell>
        </row>
        <row r="195">
          <cell r="F195">
            <v>69.145528571341544</v>
          </cell>
          <cell r="G195">
            <v>43.777987223239201</v>
          </cell>
        </row>
        <row r="196">
          <cell r="F196">
            <v>67.817338116295062</v>
          </cell>
          <cell r="G196">
            <v>45.241873370437361</v>
          </cell>
        </row>
        <row r="197">
          <cell r="F197">
            <v>2.8611391850466044</v>
          </cell>
          <cell r="G197">
            <v>-3.2103727198083104E-2</v>
          </cell>
        </row>
        <row r="198">
          <cell r="F198">
            <v>4.1766251466086439</v>
          </cell>
          <cell r="G198">
            <v>2.3996419021928501</v>
          </cell>
        </row>
        <row r="199">
          <cell r="F199">
            <v>-2.7699291806485711</v>
          </cell>
          <cell r="G199">
            <v>-2.5351590233057868</v>
          </cell>
        </row>
        <row r="200">
          <cell r="F200">
            <v>1.4544432190865315</v>
          </cell>
          <cell r="G200">
            <v>0.10341339391485338</v>
          </cell>
        </row>
        <row r="201">
          <cell r="F201">
            <v>-1.5329487300001228</v>
          </cell>
          <cell r="G201">
            <v>-1.4317824200000768</v>
          </cell>
        </row>
        <row r="208">
          <cell r="F208">
            <v>257.78005822967594</v>
          </cell>
          <cell r="G208">
            <v>210.58735834039521</v>
          </cell>
        </row>
        <row r="209">
          <cell r="F209">
            <v>159.48446164088642</v>
          </cell>
          <cell r="G209">
            <v>128.36706190343418</v>
          </cell>
        </row>
        <row r="210">
          <cell r="F210">
            <v>98.621408380749472</v>
          </cell>
          <cell r="G210">
            <v>82.54161002200496</v>
          </cell>
        </row>
        <row r="211">
          <cell r="F211">
            <v>53.078440908210013</v>
          </cell>
          <cell r="G211">
            <v>48.402886103268443</v>
          </cell>
        </row>
        <row r="212">
          <cell r="F212">
            <v>34.585789882314188</v>
          </cell>
          <cell r="G212">
            <v>34.186822312497917</v>
          </cell>
        </row>
        <row r="213">
          <cell r="F213">
            <v>10.957177590225271</v>
          </cell>
          <cell r="G213">
            <v>-4.8098393761399905E-2</v>
          </cell>
        </row>
        <row r="214">
          <cell r="F214">
            <v>-0.32581179195994991</v>
          </cell>
          <cell r="G214">
            <v>-0.32131358504392438</v>
          </cell>
        </row>
        <row r="217">
          <cell r="F217">
            <v>63.827372764732502</v>
          </cell>
          <cell r="G217">
            <v>41.290184167196557</v>
          </cell>
        </row>
        <row r="218">
          <cell r="F218">
            <v>63.812647293377815</v>
          </cell>
          <cell r="G218">
            <v>44.548233707253821</v>
          </cell>
        </row>
        <row r="219">
          <cell r="F219">
            <v>1.573535381354795</v>
          </cell>
          <cell r="G219">
            <v>-1.8262671000571873</v>
          </cell>
        </row>
        <row r="220">
          <cell r="F220">
            <v>3.6467049882674583</v>
          </cell>
          <cell r="G220">
            <v>1.0471937943741101</v>
          </cell>
        </row>
        <row r="221">
          <cell r="F221">
            <v>-3.1614298693112994</v>
          </cell>
          <cell r="G221">
            <v>-2.5951602233057871</v>
          </cell>
        </row>
        <row r="222">
          <cell r="F222">
            <v>1.0882602623986362</v>
          </cell>
          <cell r="G222">
            <v>-0.27830067112551049</v>
          </cell>
        </row>
        <row r="223">
          <cell r="F223">
            <v>-1.5588099100001078</v>
          </cell>
          <cell r="G223">
            <v>-1.4317824400000772</v>
          </cell>
        </row>
        <row r="226">
          <cell r="F226">
            <v>65.741828812859026</v>
          </cell>
          <cell r="G226">
            <v>43.777987223239201</v>
          </cell>
        </row>
        <row r="227">
          <cell r="F227">
            <v>64.748065451442912</v>
          </cell>
          <cell r="G227">
            <v>45.241873370437361</v>
          </cell>
        </row>
        <row r="228">
          <cell r="F228">
            <v>2.5267120914162158</v>
          </cell>
          <cell r="G228">
            <v>-3.2103727198083104E-2</v>
          </cell>
        </row>
        <row r="229">
          <cell r="F229">
            <v>3.8369937815156563</v>
          </cell>
          <cell r="G229">
            <v>2.3996419021928501</v>
          </cell>
        </row>
        <row r="230">
          <cell r="F230">
            <v>-2.7820086224980773</v>
          </cell>
          <cell r="G230">
            <v>-2.5351590233057868</v>
          </cell>
        </row>
        <row r="231">
          <cell r="F231">
            <v>1.4717269323986368</v>
          </cell>
          <cell r="G231">
            <v>0.10341339391485338</v>
          </cell>
        </row>
        <row r="232">
          <cell r="F232">
            <v>-1.5329487300001015</v>
          </cell>
          <cell r="G232">
            <v>-1.4317824200000768</v>
          </cell>
        </row>
      </sheetData>
      <sheetData sheetId="3">
        <row r="10">
          <cell r="F10">
            <v>169.64608689435903</v>
          </cell>
          <cell r="G10">
            <v>128.36696816368553</v>
          </cell>
        </row>
        <row r="11">
          <cell r="F11">
            <v>141.57816825870947</v>
          </cell>
          <cell r="G11">
            <v>113.03773319406532</v>
          </cell>
        </row>
        <row r="12">
          <cell r="F12">
            <v>28.067918635649573</v>
          </cell>
          <cell r="G12">
            <v>15.329234969620195</v>
          </cell>
        </row>
        <row r="13">
          <cell r="F13">
            <v>102.77838548977253</v>
          </cell>
          <cell r="G13">
            <v>83.824763144078787</v>
          </cell>
        </row>
        <row r="14">
          <cell r="F14">
            <v>83.212816742370478</v>
          </cell>
          <cell r="G14">
            <v>69.427968015010237</v>
          </cell>
        </row>
        <row r="15">
          <cell r="F15">
            <v>19.565568747402075</v>
          </cell>
          <cell r="G15">
            <v>14.396795129068547</v>
          </cell>
        </row>
        <row r="16">
          <cell r="F16">
            <v>66.867701404586498</v>
          </cell>
          <cell r="G16">
            <v>44.54220501960674</v>
          </cell>
        </row>
        <row r="17">
          <cell r="F17">
            <v>58.365351516338997</v>
          </cell>
          <cell r="G17">
            <v>43.609765179055096</v>
          </cell>
        </row>
        <row r="18">
          <cell r="F18">
            <v>8.5023498882474957</v>
          </cell>
          <cell r="G18">
            <v>0.9324398405516483</v>
          </cell>
        </row>
        <row r="20">
          <cell r="F20">
            <v>67.816958783739167</v>
          </cell>
          <cell r="G20">
            <v>45.235841776012464</v>
          </cell>
        </row>
        <row r="21">
          <cell r="F21">
            <v>58.936311596741355</v>
          </cell>
          <cell r="G21">
            <v>44.098457863343747</v>
          </cell>
        </row>
        <row r="22">
          <cell r="F22">
            <v>8.8806471869978179</v>
          </cell>
          <cell r="G22">
            <v>1.1373839126687153</v>
          </cell>
        </row>
        <row r="24">
          <cell r="F24">
            <v>57.25388666557587</v>
          </cell>
          <cell r="G24">
            <v>34.336371548468485</v>
          </cell>
        </row>
        <row r="25">
          <cell r="F25">
            <v>51.008547060686276</v>
          </cell>
          <cell r="G25">
            <v>34.675273813353236</v>
          </cell>
        </row>
        <row r="26">
          <cell r="F26">
            <v>6.2453396048895957</v>
          </cell>
          <cell r="G26">
            <v>-0.3389022648847469</v>
          </cell>
        </row>
        <row r="28">
          <cell r="F28">
            <v>-5.7821603470256218</v>
          </cell>
          <cell r="G28">
            <v>-0.84504423219943758</v>
          </cell>
        </row>
        <row r="29">
          <cell r="F29">
            <v>-3.7192951148469455</v>
          </cell>
          <cell r="G29">
            <v>-2.4498901386224041</v>
          </cell>
        </row>
        <row r="30">
          <cell r="F30">
            <v>-2.0628652321786762</v>
          </cell>
          <cell r="G30">
            <v>1.6048459064229665</v>
          </cell>
        </row>
        <row r="31">
          <cell r="F31">
            <v>0</v>
          </cell>
          <cell r="G31">
            <v>0</v>
          </cell>
        </row>
        <row r="32">
          <cell r="F32">
            <v>51.471726318550246</v>
          </cell>
          <cell r="G32">
            <v>33.49132731626905</v>
          </cell>
        </row>
        <row r="33">
          <cell r="F33">
            <v>14.59480182460103</v>
          </cell>
          <cell r="G33">
            <v>9.3645697068536773</v>
          </cell>
        </row>
        <row r="34">
          <cell r="F34">
            <v>0</v>
          </cell>
          <cell r="G34">
            <v>0</v>
          </cell>
        </row>
        <row r="35">
          <cell r="F35">
            <v>0.23779350264551963</v>
          </cell>
          <cell r="G35">
            <v>0.19918074160079374</v>
          </cell>
        </row>
        <row r="36">
          <cell r="F36">
            <v>36.639130991303702</v>
          </cell>
          <cell r="G36">
            <v>23.927576867814583</v>
          </cell>
        </row>
        <row r="45">
          <cell r="F45">
            <v>159.485660924353</v>
          </cell>
          <cell r="G45">
            <v>128.36696816368553</v>
          </cell>
        </row>
        <row r="46">
          <cell r="F46">
            <v>131.92805321844111</v>
          </cell>
          <cell r="G46">
            <v>113.03773319406532</v>
          </cell>
        </row>
        <row r="47">
          <cell r="F47">
            <v>27.557607705911892</v>
          </cell>
          <cell r="G47">
            <v>15.329234969620195</v>
          </cell>
        </row>
        <row r="48">
          <cell r="F48">
            <v>95.673399691793961</v>
          </cell>
          <cell r="G48">
            <v>83.824763144078787</v>
          </cell>
        </row>
        <row r="49">
          <cell r="F49">
            <v>76.824999339296113</v>
          </cell>
          <cell r="G49">
            <v>69.427968015010237</v>
          </cell>
        </row>
        <row r="50">
          <cell r="F50">
            <v>18.848400352497848</v>
          </cell>
          <cell r="G50">
            <v>14.396795129068547</v>
          </cell>
        </row>
        <row r="51">
          <cell r="F51">
            <v>63.812261232559038</v>
          </cell>
          <cell r="G51">
            <v>44.54220501960674</v>
          </cell>
        </row>
        <row r="52">
          <cell r="F52">
            <v>55.103053879144994</v>
          </cell>
          <cell r="G52">
            <v>43.609765179055096</v>
          </cell>
        </row>
        <row r="53">
          <cell r="F53">
            <v>8.7092073534140457</v>
          </cell>
          <cell r="G53">
            <v>0.9324398405516483</v>
          </cell>
        </row>
        <row r="55">
          <cell r="F55">
            <v>64.747686118887017</v>
          </cell>
          <cell r="G55">
            <v>45.235841776012464</v>
          </cell>
        </row>
        <row r="56">
          <cell r="F56">
            <v>55.675987445940429</v>
          </cell>
          <cell r="G56">
            <v>44.098457863343747</v>
          </cell>
        </row>
        <row r="57">
          <cell r="F57">
            <v>9.0716986729465852</v>
          </cell>
          <cell r="G57">
            <v>1.1373839126687153</v>
          </cell>
        </row>
        <row r="59">
          <cell r="F59">
            <v>55.052107954019384</v>
          </cell>
          <cell r="G59">
            <v>34.336371548468485</v>
          </cell>
        </row>
        <row r="60">
          <cell r="F60">
            <v>48.526523539686892</v>
          </cell>
          <cell r="G60">
            <v>34.675273813353236</v>
          </cell>
        </row>
        <row r="61">
          <cell r="F61">
            <v>6.5255844143324957</v>
          </cell>
          <cell r="G61">
            <v>-0.3389022648847469</v>
          </cell>
        </row>
      </sheetData>
      <sheetData sheetId="4">
        <row r="10">
          <cell r="F10">
            <v>97.591869506270172</v>
          </cell>
          <cell r="G10">
            <v>82.54161002200496</v>
          </cell>
        </row>
        <row r="11">
          <cell r="F11">
            <v>66.759548642921516</v>
          </cell>
          <cell r="G11">
            <v>62.222445486234172</v>
          </cell>
        </row>
        <row r="12">
          <cell r="F12">
            <v>51.010626520823045</v>
          </cell>
          <cell r="G12">
            <v>47.505483401989054</v>
          </cell>
        </row>
        <row r="13">
          <cell r="F13">
            <v>15.748922122098469</v>
          </cell>
          <cell r="G13">
            <v>14.716962084245122</v>
          </cell>
        </row>
        <row r="14">
          <cell r="F14">
            <v>13.422816320000003</v>
          </cell>
          <cell r="G14">
            <v>13.238739540000003</v>
          </cell>
        </row>
        <row r="15">
          <cell r="F15">
            <v>9.1761266000000035</v>
          </cell>
          <cell r="G15">
            <v>10.113391984231482</v>
          </cell>
        </row>
        <row r="16">
          <cell r="F16">
            <v>4.24668972</v>
          </cell>
          <cell r="G16">
            <v>3.1253475557685202</v>
          </cell>
        </row>
        <row r="17">
          <cell r="F17">
            <v>17.409504543348653</v>
          </cell>
          <cell r="G17">
            <v>7.0804249957707857</v>
          </cell>
        </row>
        <row r="25">
          <cell r="F25">
            <v>23.874856631492133</v>
          </cell>
          <cell r="G25">
            <v>13.256711402007706</v>
          </cell>
        </row>
        <row r="33">
          <cell r="F33">
            <v>1.9113239711500078</v>
          </cell>
          <cell r="G33">
            <v>-1.8262671000571873</v>
          </cell>
        </row>
        <row r="40">
          <cell r="F40">
            <v>2.8611391850466044</v>
          </cell>
          <cell r="G40">
            <v>-3.2103727198083104E-2</v>
          </cell>
        </row>
        <row r="47">
          <cell r="F47">
            <v>-4.2190013722569342</v>
          </cell>
          <cell r="G47">
            <v>-8.9260365151562748</v>
          </cell>
        </row>
        <row r="54">
          <cell r="F54">
            <v>-2.4226376947118156</v>
          </cell>
          <cell r="G54">
            <v>-0.43858385974244835</v>
          </cell>
        </row>
        <row r="55">
          <cell r="F55">
            <v>-2.3256794144805322</v>
          </cell>
          <cell r="G55">
            <v>-1.1281023973156619</v>
          </cell>
        </row>
        <row r="56">
          <cell r="F56">
            <v>-9.6958280231283389E-2</v>
          </cell>
          <cell r="G56">
            <v>0.68951853757321357</v>
          </cell>
        </row>
        <row r="57">
          <cell r="F57">
            <v>5.6464220332225782E-3</v>
          </cell>
          <cell r="G57">
            <v>2.7873235080556242E-2</v>
          </cell>
        </row>
        <row r="58">
          <cell r="F58">
            <v>-6.635992644935528</v>
          </cell>
          <cell r="G58">
            <v>-9.3367471398181685</v>
          </cell>
        </row>
        <row r="59">
          <cell r="F59">
            <v>-6.6636936279045725E-2</v>
          </cell>
          <cell r="G59">
            <v>-9.9034748998767325E-2</v>
          </cell>
        </row>
        <row r="60">
          <cell r="F60">
            <v>0</v>
          </cell>
          <cell r="G60">
            <v>0</v>
          </cell>
        </row>
        <row r="61">
          <cell r="F61">
            <v>-0.47213679970448574</v>
          </cell>
          <cell r="G61">
            <v>-0.92980373681131667</v>
          </cell>
        </row>
        <row r="62">
          <cell r="F62">
            <v>-6.0972189089518887</v>
          </cell>
          <cell r="G62">
            <v>-8.3079086540080915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Y142"/>
  <sheetViews>
    <sheetView tabSelected="1" zoomScale="60" zoomScaleNormal="60" workbookViewId="0">
      <selection activeCell="Q35" sqref="Q35"/>
    </sheetView>
  </sheetViews>
  <sheetFormatPr baseColWidth="10" defaultColWidth="11.42578125" defaultRowHeight="18" x14ac:dyDescent="0.35"/>
  <cols>
    <col min="1" max="1" width="7.5703125" style="3" customWidth="1"/>
    <col min="2" max="2" width="8" style="3" customWidth="1"/>
    <col min="3" max="3" width="11.42578125" style="3"/>
    <col min="4" max="4" width="47.42578125" style="3" customWidth="1"/>
    <col min="5" max="5" width="1" style="3" customWidth="1"/>
    <col min="6" max="7" width="11.42578125" style="3"/>
    <col min="8" max="8" width="11.28515625" style="3" customWidth="1"/>
    <col min="9" max="10" width="1" style="3" customWidth="1"/>
    <col min="11" max="13" width="11.42578125" style="3"/>
    <col min="14" max="14" width="11.28515625" style="3" customWidth="1"/>
    <col min="15" max="15" width="11.42578125" style="3"/>
    <col min="16" max="16" width="11.28515625" style="3" customWidth="1"/>
    <col min="17" max="18" width="11.42578125" style="3"/>
    <col min="19" max="19" width="2" style="3" customWidth="1"/>
    <col min="20" max="20" width="47.140625" style="3" customWidth="1"/>
    <col min="21" max="21" width="1" style="3" customWidth="1"/>
    <col min="22" max="24" width="11.42578125" style="3"/>
    <col min="25" max="26" width="1" style="3" customWidth="1"/>
    <col min="27" max="34" width="11.42578125" style="3"/>
    <col min="35" max="35" width="2" style="3" customWidth="1"/>
    <col min="36" max="36" width="47.140625" style="3" customWidth="1"/>
    <col min="37" max="37" width="0.7109375" style="3" customWidth="1"/>
    <col min="38" max="40" width="11.42578125" style="3"/>
    <col min="41" max="42" width="1" style="3" customWidth="1"/>
    <col min="43" max="50" width="11.42578125" style="3"/>
    <col min="51" max="51" width="2" style="3" customWidth="1"/>
    <col min="52" max="16384" width="11.42578125" style="3"/>
  </cols>
  <sheetData>
    <row r="1" spans="1:48" x14ac:dyDescent="0.35">
      <c r="A1" s="1" t="s">
        <v>0</v>
      </c>
      <c r="B1" s="2" t="s">
        <v>1</v>
      </c>
      <c r="D1" s="1"/>
    </row>
    <row r="2" spans="1:48" ht="18.75" thickBot="1" x14ac:dyDescent="0.4">
      <c r="A2" s="1" t="s">
        <v>2</v>
      </c>
      <c r="B2" s="4" t="s">
        <v>3</v>
      </c>
      <c r="D2" s="1"/>
    </row>
    <row r="3" spans="1:48" ht="19.5" thickBot="1" x14ac:dyDescent="0.4">
      <c r="A3" s="5" t="s">
        <v>4</v>
      </c>
      <c r="B3" s="6" t="s">
        <v>3</v>
      </c>
      <c r="D3" s="7" t="str">
        <f>+IF($B$3="esp","GRUPO","GROUP")</f>
        <v>GROUP</v>
      </c>
      <c r="E3" s="8"/>
      <c r="F3" s="8"/>
      <c r="G3" s="9"/>
      <c r="H3" s="8"/>
      <c r="I3" s="8"/>
      <c r="J3" s="8"/>
      <c r="K3" s="8"/>
      <c r="L3" s="8"/>
      <c r="M3" s="9"/>
      <c r="N3" s="8"/>
      <c r="T3" s="7" t="str">
        <f>+IF($B$3="esp","EDUCACIÓN","EDUCATION")</f>
        <v>EDUCATION</v>
      </c>
      <c r="U3" s="8"/>
      <c r="V3" s="8"/>
      <c r="W3" s="9"/>
      <c r="X3" s="8"/>
      <c r="Y3" s="8"/>
      <c r="Z3" s="8"/>
      <c r="AA3" s="8"/>
      <c r="AB3" s="8"/>
      <c r="AC3" s="8"/>
      <c r="AD3" s="8"/>
      <c r="AJ3" s="7" t="s">
        <v>5</v>
      </c>
      <c r="AK3" s="8"/>
      <c r="AL3" s="8"/>
      <c r="AM3" s="9"/>
      <c r="AN3" s="8"/>
      <c r="AO3" s="8"/>
      <c r="AP3" s="8"/>
      <c r="AQ3" s="8"/>
      <c r="AR3" s="8"/>
      <c r="AS3" s="8"/>
      <c r="AT3" s="8"/>
    </row>
    <row r="6" spans="1:48" ht="15" customHeight="1" x14ac:dyDescent="0.35">
      <c r="D6" s="10"/>
      <c r="E6" s="10"/>
      <c r="F6" s="11" t="str">
        <f>+IF($B$3="esp","ENERO - MARZO","JANUARY - MARCH")</f>
        <v>JANUARY - MARCH</v>
      </c>
      <c r="G6" s="12"/>
      <c r="H6" s="12"/>
      <c r="I6" s="10"/>
      <c r="J6" s="10"/>
      <c r="K6" s="13"/>
      <c r="L6" s="13"/>
      <c r="M6" s="13"/>
      <c r="N6" s="13"/>
      <c r="O6" s="14"/>
      <c r="P6" s="14"/>
      <c r="T6" s="10"/>
      <c r="U6" s="10"/>
      <c r="V6" s="11" t="str">
        <f>+$F$6</f>
        <v>JANUARY - MARCH</v>
      </c>
      <c r="W6" s="12"/>
      <c r="X6" s="12"/>
      <c r="Y6" s="10"/>
      <c r="Z6" s="10"/>
      <c r="AA6" s="13"/>
      <c r="AB6" s="13"/>
      <c r="AC6" s="13"/>
      <c r="AD6" s="13"/>
      <c r="AE6" s="14"/>
      <c r="AF6" s="14"/>
      <c r="AJ6" s="10"/>
      <c r="AK6" s="10"/>
      <c r="AL6" s="11" t="str">
        <f>+$F$6</f>
        <v>JANUARY - MARCH</v>
      </c>
      <c r="AM6" s="12"/>
      <c r="AN6" s="12"/>
      <c r="AO6" s="10"/>
      <c r="AP6" s="10"/>
      <c r="AQ6" s="13"/>
      <c r="AR6" s="13"/>
      <c r="AS6" s="13"/>
      <c r="AT6" s="13"/>
      <c r="AU6" s="14"/>
      <c r="AV6" s="14"/>
    </row>
    <row r="7" spans="1:48" x14ac:dyDescent="0.35">
      <c r="D7" s="10"/>
      <c r="E7" s="10"/>
      <c r="F7" s="10"/>
      <c r="G7" s="10"/>
      <c r="H7" s="10"/>
      <c r="I7" s="10"/>
      <c r="J7" s="10"/>
      <c r="K7" s="15"/>
      <c r="L7" s="15"/>
      <c r="M7" s="15"/>
      <c r="N7" s="15"/>
      <c r="O7" s="15"/>
      <c r="P7" s="15"/>
      <c r="T7" s="10"/>
      <c r="U7" s="10"/>
      <c r="V7" s="10"/>
      <c r="W7" s="10"/>
      <c r="X7" s="10"/>
      <c r="Y7" s="10"/>
      <c r="Z7" s="10"/>
      <c r="AA7" s="15"/>
      <c r="AB7" s="15"/>
      <c r="AC7" s="15"/>
      <c r="AD7" s="15"/>
      <c r="AE7" s="15"/>
      <c r="AF7" s="15"/>
      <c r="AJ7" s="10"/>
      <c r="AK7" s="10"/>
      <c r="AL7" s="10"/>
      <c r="AM7" s="10"/>
      <c r="AN7" s="10"/>
      <c r="AO7" s="10"/>
      <c r="AP7" s="10"/>
      <c r="AQ7" s="15"/>
      <c r="AR7" s="15"/>
      <c r="AS7" s="15"/>
      <c r="AT7" s="15"/>
      <c r="AU7" s="15"/>
      <c r="AV7" s="15"/>
    </row>
    <row r="8" spans="1:48" x14ac:dyDescent="0.35">
      <c r="D8" s="16" t="str">
        <f>+IF($B$3="esp","Millones de €","€ Millions")</f>
        <v>€ Millions</v>
      </c>
      <c r="E8" s="10"/>
      <c r="F8" s="17">
        <v>2023</v>
      </c>
      <c r="G8" s="17">
        <v>2022</v>
      </c>
      <c r="H8" s="17" t="str">
        <f>+IF($B$3="esp","Var.","Chg.")</f>
        <v>Chg.</v>
      </c>
      <c r="I8" s="10"/>
      <c r="J8" s="10"/>
      <c r="K8" s="18"/>
      <c r="L8" s="18"/>
      <c r="M8" s="18"/>
      <c r="N8" s="18"/>
      <c r="O8" s="18"/>
      <c r="P8" s="18"/>
      <c r="T8" s="16" t="str">
        <f>+IF($B$3="esp","Millones de €","€ Millions")</f>
        <v>€ Millions</v>
      </c>
      <c r="U8" s="10"/>
      <c r="V8" s="17">
        <v>2023</v>
      </c>
      <c r="W8" s="17">
        <v>2022</v>
      </c>
      <c r="X8" s="17" t="str">
        <f>+IF($B$3="esp","Var.","Chg.")</f>
        <v>Chg.</v>
      </c>
      <c r="Y8" s="10"/>
      <c r="Z8" s="10"/>
      <c r="AA8" s="18"/>
      <c r="AB8" s="18"/>
      <c r="AC8" s="18"/>
      <c r="AD8" s="18"/>
      <c r="AE8" s="18"/>
      <c r="AF8" s="18"/>
      <c r="AJ8" s="16" t="str">
        <f>+IF($B$3="esp","Millones de €","€ Millions")</f>
        <v>€ Millions</v>
      </c>
      <c r="AK8" s="10"/>
      <c r="AL8" s="17">
        <v>2023</v>
      </c>
      <c r="AM8" s="17">
        <v>2022</v>
      </c>
      <c r="AN8" s="17" t="str">
        <f>+IF($B$3="esp","Var.","Chg.")</f>
        <v>Chg.</v>
      </c>
      <c r="AO8" s="10"/>
      <c r="AP8" s="10"/>
      <c r="AQ8" s="18"/>
      <c r="AR8" s="18"/>
      <c r="AS8" s="18"/>
      <c r="AT8" s="18"/>
      <c r="AU8" s="18"/>
      <c r="AV8" s="18"/>
    </row>
    <row r="9" spans="1:48" x14ac:dyDescent="0.35">
      <c r="D9" s="19" t="str">
        <f>+IF($B$3="esp","Resultados Reportados","Reported Results")</f>
        <v>Reported Results</v>
      </c>
      <c r="F9" s="20"/>
      <c r="G9" s="20"/>
      <c r="H9" s="20"/>
      <c r="K9" s="21"/>
      <c r="L9" s="21"/>
      <c r="M9" s="21"/>
      <c r="N9" s="21"/>
      <c r="O9" s="21"/>
      <c r="P9" s="21"/>
      <c r="T9" s="19" t="str">
        <f>+IF($B$3="esp","Resultados Reportados","Reported Results")</f>
        <v>Reported Results</v>
      </c>
      <c r="V9" s="20"/>
      <c r="W9" s="20"/>
      <c r="X9" s="20"/>
      <c r="AA9" s="21"/>
      <c r="AB9" s="21"/>
      <c r="AC9" s="21"/>
      <c r="AD9" s="21"/>
      <c r="AE9" s="21"/>
      <c r="AF9" s="21"/>
      <c r="AJ9" s="19" t="str">
        <f>+IF($B$3="esp","Resultados Reportados","Reported Results")</f>
        <v>Reported Results</v>
      </c>
      <c r="AL9" s="20"/>
      <c r="AM9" s="20"/>
      <c r="AN9" s="20"/>
      <c r="AQ9" s="21"/>
      <c r="AR9" s="21"/>
      <c r="AS9" s="21"/>
      <c r="AT9" s="21"/>
      <c r="AU9" s="21"/>
      <c r="AV9" s="21"/>
    </row>
    <row r="10" spans="1:48" s="22" customFormat="1" ht="17.25" customHeight="1" x14ac:dyDescent="0.35">
      <c r="D10" s="23" t="str">
        <f>+IF($B$3="esp","Ingresos de Explotación","Operating Revenues")</f>
        <v>Operating Revenues</v>
      </c>
      <c r="F10" s="24">
        <f>+[1]GRUPO!F10</f>
        <v>266.91094532520265</v>
      </c>
      <c r="G10" s="25">
        <f>+[1]GRUPO!G10</f>
        <v>210.58735834039521</v>
      </c>
      <c r="H10" s="26">
        <f>IF(G10=0,"---",IF(OR(ABS((F10-G10)/ABS(G10))&gt;9,(F10*G10)&lt;0),"---",IF(G10="0","---",((F10-G10)/ABS(G10)))))</f>
        <v>0.26745948773318817</v>
      </c>
      <c r="K10" s="27"/>
      <c r="L10" s="27"/>
      <c r="M10" s="27"/>
      <c r="N10" s="27"/>
      <c r="O10" s="27"/>
      <c r="P10" s="28"/>
      <c r="T10" s="23" t="str">
        <f>+IF($B$3="esp","Ingresos de Explotación","Operating Revenues")</f>
        <v>Operating Revenues</v>
      </c>
      <c r="V10" s="24">
        <f>+[1]EDUCACIÓN!F10</f>
        <v>169.64608689435903</v>
      </c>
      <c r="W10" s="25">
        <f>+[1]EDUCACIÓN!G10</f>
        <v>128.36696816368553</v>
      </c>
      <c r="X10" s="26">
        <f>IF(W10=0,"---",IF(OR(ABS((V10-W10)/ABS(W10))&gt;9,(V10*W10)&lt;0),"---",IF(W10="0","---",((V10-W10)/ABS(W10)))))</f>
        <v>0.321571190168151</v>
      </c>
      <c r="AA10" s="27"/>
      <c r="AB10" s="27"/>
      <c r="AC10" s="27"/>
      <c r="AD10" s="27"/>
      <c r="AE10" s="27"/>
      <c r="AF10" s="28"/>
      <c r="AJ10" s="23" t="str">
        <f>+IF($B$3="esp","Ingresos de Explotación","Operating Revenues")</f>
        <v>Operating Revenues</v>
      </c>
      <c r="AL10" s="24">
        <f>+[1]MEDIA!F10</f>
        <v>97.591869506270172</v>
      </c>
      <c r="AM10" s="25">
        <f>+[1]MEDIA!G10</f>
        <v>82.54161002200496</v>
      </c>
      <c r="AN10" s="26">
        <f>IF(AM10=0,"---",IF(OR(ABS((AL10-AM10)/ABS(AM10))&gt;9,(AL10*AM10)&lt;0),"---",IF(AM10="0","---",((AL10-AM10)/ABS(AM10)))))</f>
        <v>0.18233542428180075</v>
      </c>
      <c r="AQ10" s="27"/>
      <c r="AR10" s="27"/>
      <c r="AS10" s="27"/>
      <c r="AT10" s="27"/>
      <c r="AU10" s="27"/>
      <c r="AV10" s="28"/>
    </row>
    <row r="11" spans="1:48" ht="17.25" customHeight="1" x14ac:dyDescent="0.35">
      <c r="D11" s="29" t="str">
        <f>+IF($B$3="esp","España","Spain")</f>
        <v>Spain</v>
      </c>
      <c r="F11" s="30">
        <f>+[1]GRUPO!F11</f>
        <v>83.339913759999973</v>
      </c>
      <c r="G11" s="31">
        <f>+[1]GRUPO!G11</f>
        <v>67.329898539999931</v>
      </c>
      <c r="H11" s="32">
        <f t="shared" ref="H11:H36" si="0">IF(G11=0,"---",IF(OR(ABS((F11-G11)/ABS(G11))&gt;9,(F11*G11)&lt;0),"---",IF(G11="0","---",((F11-G11)/ABS(G11)))))</f>
        <v>0.23778463308523587</v>
      </c>
      <c r="K11" s="33"/>
      <c r="L11" s="33"/>
      <c r="M11" s="33"/>
      <c r="N11" s="33"/>
      <c r="O11" s="33"/>
      <c r="P11" s="34"/>
      <c r="T11" s="29" t="str">
        <f>+IF($B$3="esp","Privado","Private")</f>
        <v>Private</v>
      </c>
      <c r="V11" s="30">
        <f>+[1]EDUCACIÓN!F11</f>
        <v>141.57816825870947</v>
      </c>
      <c r="W11" s="31">
        <f>+[1]EDUCACIÓN!G11</f>
        <v>113.03773319406532</v>
      </c>
      <c r="X11" s="32">
        <f t="shared" ref="X11:X36" si="1">IF(W11=0,"---",IF(OR(ABS((V11-W11)/ABS(W11))&gt;9,(V11*W11)&lt;0),"---",IF(W11="0","---",((V11-W11)/ABS(W11)))))</f>
        <v>0.25248591119255182</v>
      </c>
      <c r="AA11" s="33"/>
      <c r="AB11" s="33"/>
      <c r="AC11" s="33"/>
      <c r="AD11" s="33"/>
      <c r="AE11" s="33"/>
      <c r="AF11" s="34"/>
      <c r="AJ11" s="29" t="str">
        <f>+IF($B$3="esp","Publicidad Neta","Net Advertising")</f>
        <v>Net Advertising</v>
      </c>
      <c r="AL11" s="30">
        <f>+[1]MEDIA!F11</f>
        <v>66.759548642921516</v>
      </c>
      <c r="AM11" s="31">
        <f>+[1]MEDIA!G11</f>
        <v>62.222445486234172</v>
      </c>
      <c r="AN11" s="32">
        <f t="shared" ref="AN11:AN35" si="2">IF(AM11=0,"---",IF(OR(ABS((AL11-AM11)/ABS(AM11))&gt;9,(AL11*AM11)&lt;0),"---",IF(AM11="0","---",((AL11-AM11)/ABS(AM11)))))</f>
        <v>7.2917467663515631E-2</v>
      </c>
      <c r="AQ11" s="33"/>
      <c r="AR11" s="33"/>
      <c r="AS11" s="33"/>
      <c r="AT11" s="33"/>
      <c r="AU11" s="33"/>
      <c r="AV11" s="34"/>
    </row>
    <row r="12" spans="1:48" ht="17.25" customHeight="1" x14ac:dyDescent="0.35">
      <c r="D12" s="29" t="str">
        <f>+IF($B$3="esp","Internacional","International")</f>
        <v>International</v>
      </c>
      <c r="F12" s="30">
        <f>+[1]GRUPO!F12</f>
        <v>183.57103156520267</v>
      </c>
      <c r="G12" s="31">
        <f>+[1]GRUPO!G12</f>
        <v>143.25745980039528</v>
      </c>
      <c r="H12" s="32">
        <f t="shared" si="0"/>
        <v>0.28140643999256615</v>
      </c>
      <c r="K12" s="33"/>
      <c r="L12" s="33"/>
      <c r="M12" s="33"/>
      <c r="N12" s="33"/>
      <c r="O12" s="33"/>
      <c r="P12" s="34"/>
      <c r="T12" s="29" t="str">
        <f>+IF($B$3="esp","Público","Public")</f>
        <v>Public</v>
      </c>
      <c r="U12" s="10"/>
      <c r="V12" s="30">
        <f>+[1]EDUCACIÓN!F12</f>
        <v>28.067918635649573</v>
      </c>
      <c r="W12" s="31">
        <f>+[1]EDUCACIÓN!G12</f>
        <v>15.329234969620195</v>
      </c>
      <c r="X12" s="32">
        <f t="shared" si="1"/>
        <v>0.8310058324029328</v>
      </c>
      <c r="AA12" s="33"/>
      <c r="AB12" s="33"/>
      <c r="AC12" s="33"/>
      <c r="AD12" s="33"/>
      <c r="AE12" s="33"/>
      <c r="AF12" s="34"/>
      <c r="AJ12" s="35" t="str">
        <f>+IF($B$3="esp","Papel","Offline")</f>
        <v>Offline</v>
      </c>
      <c r="AK12" s="22"/>
      <c r="AL12" s="30">
        <f>+[1]MEDIA!F12</f>
        <v>51.010626520823045</v>
      </c>
      <c r="AM12" s="31">
        <f>+[1]MEDIA!G12</f>
        <v>47.505483401989054</v>
      </c>
      <c r="AN12" s="32">
        <f t="shared" si="2"/>
        <v>7.3783969087813372E-2</v>
      </c>
      <c r="AR12" s="33"/>
      <c r="AS12" s="33"/>
      <c r="AT12" s="33"/>
      <c r="AU12" s="33"/>
      <c r="AV12" s="34"/>
    </row>
    <row r="13" spans="1:48" s="10" customFormat="1" ht="17.25" customHeight="1" x14ac:dyDescent="0.35">
      <c r="D13" s="23" t="str">
        <f>+IF($B$3="esp","Gastos de Explotación Contables","Reported Expenses")</f>
        <v>Reported Expenses</v>
      </c>
      <c r="E13" s="22"/>
      <c r="F13" s="24">
        <f>+[1]GRUPO!F13</f>
        <v>199.69034379864749</v>
      </c>
      <c r="G13" s="25">
        <f>+[1]GRUPO!G13</f>
        <v>169.29717417319864</v>
      </c>
      <c r="H13" s="26">
        <f t="shared" si="0"/>
        <v>0.17952555778843224</v>
      </c>
      <c r="I13" s="22"/>
      <c r="J13" s="22"/>
      <c r="K13" s="27"/>
      <c r="L13" s="27"/>
      <c r="M13" s="27"/>
      <c r="N13" s="27"/>
      <c r="O13" s="27"/>
      <c r="P13" s="28"/>
      <c r="T13" s="23" t="str">
        <f>+IF($B$3="esp","Gastos de Explotación Contables","Reported Expenses")</f>
        <v>Reported Expenses</v>
      </c>
      <c r="U13" s="22"/>
      <c r="V13" s="24">
        <f>+[1]EDUCACIÓN!F13</f>
        <v>102.77838548977253</v>
      </c>
      <c r="W13" s="25">
        <f>+[1]EDUCACIÓN!G13</f>
        <v>83.824763144078787</v>
      </c>
      <c r="X13" s="26">
        <f t="shared" si="1"/>
        <v>0.22611006145184187</v>
      </c>
      <c r="AA13" s="27"/>
      <c r="AB13" s="27"/>
      <c r="AC13" s="27"/>
      <c r="AD13" s="27"/>
      <c r="AE13" s="27"/>
      <c r="AF13" s="28"/>
      <c r="AJ13" s="35" t="str">
        <f>+IF($B$3="esp","Digital","Online")</f>
        <v>Online</v>
      </c>
      <c r="AK13" s="3"/>
      <c r="AL13" s="30">
        <f>+[1]MEDIA!F13</f>
        <v>15.748922122098469</v>
      </c>
      <c r="AM13" s="31">
        <f>+[1]MEDIA!G13</f>
        <v>14.716962084245122</v>
      </c>
      <c r="AN13" s="32">
        <f t="shared" si="2"/>
        <v>7.0120452301639491E-2</v>
      </c>
      <c r="AR13" s="27"/>
      <c r="AS13" s="27"/>
      <c r="AT13" s="27"/>
      <c r="AU13" s="27"/>
      <c r="AV13" s="28"/>
    </row>
    <row r="14" spans="1:48" s="10" customFormat="1" ht="17.25" customHeight="1" x14ac:dyDescent="0.35">
      <c r="D14" s="29" t="str">
        <f>+IF($B$3="esp","España","Spain")</f>
        <v>Spain</v>
      </c>
      <c r="E14" s="3"/>
      <c r="F14" s="30">
        <f>+[1]GRUPO!F14</f>
        <v>84.906794140000002</v>
      </c>
      <c r="G14" s="31">
        <f>+[1]GRUPO!G14</f>
        <v>76.383327979999962</v>
      </c>
      <c r="H14" s="32">
        <f t="shared" si="0"/>
        <v>0.11158804395419647</v>
      </c>
      <c r="I14" s="3"/>
      <c r="J14" s="3"/>
      <c r="K14" s="33"/>
      <c r="L14" s="33"/>
      <c r="M14" s="33"/>
      <c r="N14" s="33"/>
      <c r="O14" s="33"/>
      <c r="P14" s="34"/>
      <c r="T14" s="29" t="str">
        <f>+IF($B$3="esp","Privado","Private")</f>
        <v>Private</v>
      </c>
      <c r="U14" s="3"/>
      <c r="V14" s="30">
        <f>+[1]EDUCACIÓN!F14</f>
        <v>83.212816742370478</v>
      </c>
      <c r="W14" s="31">
        <f>+[1]EDUCACIÓN!G14</f>
        <v>69.427968015010237</v>
      </c>
      <c r="X14" s="32">
        <f t="shared" si="1"/>
        <v>0.19854892950892608</v>
      </c>
      <c r="AA14" s="33"/>
      <c r="AB14" s="33"/>
      <c r="AC14" s="33"/>
      <c r="AD14" s="33"/>
      <c r="AE14" s="33"/>
      <c r="AF14" s="34"/>
      <c r="AJ14" s="29" t="str">
        <f>+IF($B$3="esp","Circulación","Circulation")</f>
        <v>Circulation</v>
      </c>
      <c r="AL14" s="30">
        <f>+[1]MEDIA!F14</f>
        <v>13.422816320000003</v>
      </c>
      <c r="AM14" s="31">
        <f>+[1]MEDIA!G14</f>
        <v>13.238739540000003</v>
      </c>
      <c r="AN14" s="32">
        <f t="shared" si="2"/>
        <v>1.3904403772264243E-2</v>
      </c>
      <c r="AO14" s="3"/>
      <c r="AP14" s="3"/>
      <c r="AQ14" s="33"/>
      <c r="AR14" s="33"/>
      <c r="AS14" s="33"/>
      <c r="AT14" s="33"/>
      <c r="AU14" s="33"/>
      <c r="AV14" s="34"/>
    </row>
    <row r="15" spans="1:48" s="22" customFormat="1" ht="17.25" customHeight="1" x14ac:dyDescent="0.35">
      <c r="D15" s="29" t="str">
        <f>+IF($B$3="esp","Internacional","International")</f>
        <v>International</v>
      </c>
      <c r="E15" s="3"/>
      <c r="F15" s="30">
        <f>+[1]GRUPO!F15</f>
        <v>114.78354965864749</v>
      </c>
      <c r="G15" s="31">
        <f>+[1]GRUPO!G15</f>
        <v>92.91384619319868</v>
      </c>
      <c r="H15" s="32">
        <f t="shared" si="0"/>
        <v>0.23537615071896223</v>
      </c>
      <c r="I15" s="3"/>
      <c r="J15" s="3"/>
      <c r="K15" s="33"/>
      <c r="L15" s="33"/>
      <c r="M15" s="33"/>
      <c r="N15" s="33"/>
      <c r="O15" s="33"/>
      <c r="P15" s="34"/>
      <c r="T15" s="29" t="str">
        <f>+IF($B$3="esp","Público","Public")</f>
        <v>Public</v>
      </c>
      <c r="U15" s="3"/>
      <c r="V15" s="30">
        <f>+[1]EDUCACIÓN!F15</f>
        <v>19.565568747402075</v>
      </c>
      <c r="W15" s="31">
        <f>+[1]EDUCACIÓN!G15</f>
        <v>14.396795129068547</v>
      </c>
      <c r="X15" s="32">
        <f t="shared" si="1"/>
        <v>0.35902251660838497</v>
      </c>
      <c r="AA15" s="33"/>
      <c r="AB15" s="33"/>
      <c r="AC15" s="33"/>
      <c r="AD15" s="33"/>
      <c r="AE15" s="33"/>
      <c r="AF15" s="34"/>
      <c r="AJ15" s="35" t="str">
        <f>+IF($B$3="esp","Papel","Offline")</f>
        <v>Offline</v>
      </c>
      <c r="AL15" s="30">
        <f>+[1]MEDIA!F15</f>
        <v>9.1761266000000035</v>
      </c>
      <c r="AM15" s="31">
        <f>+[1]MEDIA!G15</f>
        <v>10.113391984231482</v>
      </c>
      <c r="AN15" s="32">
        <f t="shared" si="2"/>
        <v>-9.2675670605157662E-2</v>
      </c>
      <c r="AO15" s="3"/>
      <c r="AP15" s="3"/>
      <c r="AQ15" s="27"/>
      <c r="AR15" s="33"/>
      <c r="AS15" s="33"/>
      <c r="AT15" s="33"/>
      <c r="AU15" s="33"/>
      <c r="AV15" s="34"/>
    </row>
    <row r="16" spans="1:48" ht="17.25" customHeight="1" x14ac:dyDescent="0.35">
      <c r="D16" s="23" t="str">
        <f>+IF($B$3="esp","EBITDA Contable","Reported EBITDA")</f>
        <v>Reported EBITDA</v>
      </c>
      <c r="E16" s="22"/>
      <c r="F16" s="24">
        <f>+[1]GRUPO!F16</f>
        <v>67.220601526555157</v>
      </c>
      <c r="G16" s="25">
        <f>+[1]GRUPO!G16</f>
        <v>41.290184167196557</v>
      </c>
      <c r="H16" s="26">
        <f t="shared" si="0"/>
        <v>0.62800440061876273</v>
      </c>
      <c r="K16" s="21"/>
      <c r="L16" s="21"/>
      <c r="M16" s="21"/>
      <c r="N16" s="21"/>
      <c r="O16" s="21"/>
      <c r="P16" s="21"/>
      <c r="T16" s="23" t="str">
        <f>+IF($B$3="esp","EBITDA Contable","Reported EBITDA")</f>
        <v>Reported EBITDA</v>
      </c>
      <c r="U16" s="22"/>
      <c r="V16" s="24">
        <f>+[1]EDUCACIÓN!F16</f>
        <v>66.867701404586498</v>
      </c>
      <c r="W16" s="25">
        <f>+[1]EDUCACIÓN!G16</f>
        <v>44.54220501960674</v>
      </c>
      <c r="X16" s="26">
        <f t="shared" si="1"/>
        <v>0.50122117607676686</v>
      </c>
      <c r="AA16" s="21"/>
      <c r="AB16" s="21"/>
      <c r="AC16" s="21"/>
      <c r="AD16" s="21"/>
      <c r="AE16" s="21"/>
      <c r="AF16" s="21"/>
      <c r="AJ16" s="35" t="str">
        <f>+IF($B$3="esp","Digital","Online")</f>
        <v>Online</v>
      </c>
      <c r="AL16" s="30">
        <f>+[1]MEDIA!F16</f>
        <v>4.24668972</v>
      </c>
      <c r="AM16" s="31">
        <f>+[1]MEDIA!G16</f>
        <v>3.1253475557685202</v>
      </c>
      <c r="AN16" s="32">
        <f t="shared" si="2"/>
        <v>0.35878958874887207</v>
      </c>
      <c r="AQ16" s="33"/>
      <c r="AR16" s="21"/>
      <c r="AS16" s="21"/>
      <c r="AT16" s="21"/>
      <c r="AU16" s="21"/>
      <c r="AV16" s="21"/>
    </row>
    <row r="17" spans="4:48" ht="17.25" customHeight="1" x14ac:dyDescent="0.35">
      <c r="D17" s="29" t="str">
        <f>+IF($B$3="esp","España","Spain")</f>
        <v>Spain</v>
      </c>
      <c r="F17" s="30">
        <f>+[1]GRUPO!F17</f>
        <v>-1.566880380000029</v>
      </c>
      <c r="G17" s="31">
        <f>+[1]GRUPO!G17</f>
        <v>-9.0534294400000377</v>
      </c>
      <c r="H17" s="32">
        <f t="shared" si="0"/>
        <v>0.82692963032580691</v>
      </c>
      <c r="K17" s="21"/>
      <c r="L17" s="21"/>
      <c r="M17" s="21"/>
      <c r="N17" s="21"/>
      <c r="O17" s="21"/>
      <c r="P17" s="21"/>
      <c r="T17" s="29" t="str">
        <f>+IF($B$3="esp","Privado","Private")</f>
        <v>Private</v>
      </c>
      <c r="V17" s="30">
        <f>+[1]EDUCACIÓN!F17</f>
        <v>58.365351516338997</v>
      </c>
      <c r="W17" s="31">
        <f>+[1]EDUCACIÓN!G17</f>
        <v>43.609765179055096</v>
      </c>
      <c r="X17" s="32">
        <f t="shared" si="1"/>
        <v>0.33835509722879031</v>
      </c>
      <c r="AA17" s="21"/>
      <c r="AB17" s="21"/>
      <c r="AC17" s="21"/>
      <c r="AD17" s="21"/>
      <c r="AE17" s="21"/>
      <c r="AF17" s="21"/>
      <c r="AJ17" s="29" t="str">
        <f>+IF($B$3="esp","Otros","Others")</f>
        <v>Others</v>
      </c>
      <c r="AL17" s="30">
        <f>+[1]MEDIA!F17</f>
        <v>17.409504543348653</v>
      </c>
      <c r="AM17" s="31">
        <f>+[1]MEDIA!G17</f>
        <v>7.0804249957707857</v>
      </c>
      <c r="AN17" s="32">
        <f t="shared" si="2"/>
        <v>1.4588219709618475</v>
      </c>
      <c r="AQ17" s="33"/>
      <c r="AR17" s="21"/>
      <c r="AS17" s="21"/>
      <c r="AT17" s="21"/>
      <c r="AU17" s="21"/>
      <c r="AV17" s="21"/>
    </row>
    <row r="18" spans="4:48" ht="17.25" customHeight="1" x14ac:dyDescent="0.35">
      <c r="D18" s="29" t="str">
        <f>+IF($B$3="esp","Internacional","International")</f>
        <v>International</v>
      </c>
      <c r="F18" s="30">
        <f>+[1]GRUPO!F18</f>
        <v>68.787481906555186</v>
      </c>
      <c r="G18" s="31">
        <f>+[1]GRUPO!G18</f>
        <v>50.343613607196595</v>
      </c>
      <c r="H18" s="32">
        <f t="shared" si="0"/>
        <v>0.36635964281916483</v>
      </c>
      <c r="K18" s="36"/>
      <c r="L18" s="36"/>
      <c r="M18" s="36"/>
      <c r="N18" s="36"/>
      <c r="O18" s="36"/>
      <c r="P18" s="37"/>
      <c r="T18" s="29" t="str">
        <f>+IF($B$3="esp","Público","Public")</f>
        <v>Public</v>
      </c>
      <c r="V18" s="30">
        <f>+[1]EDUCACIÓN!F18</f>
        <v>8.5023498882474957</v>
      </c>
      <c r="W18" s="31">
        <f>+[1]EDUCACIÓN!G18</f>
        <v>0.9324398405516483</v>
      </c>
      <c r="X18" s="32">
        <f t="shared" si="1"/>
        <v>8.1183897539356007</v>
      </c>
      <c r="AA18" s="36"/>
      <c r="AB18" s="36"/>
      <c r="AC18" s="36"/>
      <c r="AD18" s="36"/>
      <c r="AE18" s="36"/>
      <c r="AF18" s="37"/>
      <c r="AJ18" s="23" t="str">
        <f>+IF($B$3="esp","Gastos de Explotación Contables","Reported Expenses")</f>
        <v>Reported Expenses</v>
      </c>
      <c r="AL18" s="24">
        <f>+AL10-AL21</f>
        <v>95.68054553512016</v>
      </c>
      <c r="AM18" s="25">
        <f>+AM10-AM21</f>
        <v>84.367877122062154</v>
      </c>
      <c r="AN18" s="26">
        <f t="shared" si="2"/>
        <v>0.13408738964346598</v>
      </c>
      <c r="AO18" s="10"/>
      <c r="AP18" s="10"/>
      <c r="AQ18" s="21"/>
      <c r="AR18" s="36"/>
      <c r="AS18" s="36"/>
      <c r="AT18" s="36"/>
      <c r="AU18" s="36"/>
      <c r="AV18" s="37"/>
    </row>
    <row r="19" spans="4:48" ht="17.25" customHeight="1" x14ac:dyDescent="0.35">
      <c r="D19" s="38" t="str">
        <f>+IF($B$3="esp","Margen EBITDA ","EBITDA Margin")</f>
        <v>EBITDA Margin</v>
      </c>
      <c r="E19" s="39"/>
      <c r="F19" s="40">
        <f>+[1]GRUPO!F19</f>
        <v>0.25184655295665748</v>
      </c>
      <c r="G19" s="41">
        <f>+[1]GRUPO!G19</f>
        <v>0.19607152344090262</v>
      </c>
      <c r="H19" s="42">
        <f t="shared" si="0"/>
        <v>0.28446267227869965</v>
      </c>
      <c r="K19" s="36"/>
      <c r="L19" s="36"/>
      <c r="M19" s="36"/>
      <c r="N19" s="36"/>
      <c r="O19" s="36"/>
      <c r="P19" s="37"/>
      <c r="T19" s="38" t="str">
        <f>+IF($B$3="esp","Margen EBITDA ","EBITDA Margin")</f>
        <v>EBITDA Margin</v>
      </c>
      <c r="U19" s="39"/>
      <c r="V19" s="40">
        <f>+V16/V10</f>
        <v>0.39415999878751073</v>
      </c>
      <c r="W19" s="41">
        <f>+W16/W10</f>
        <v>0.34699117426228615</v>
      </c>
      <c r="X19" s="42">
        <f t="shared" si="1"/>
        <v>0.13593666935623636</v>
      </c>
      <c r="AA19" s="36"/>
      <c r="AB19" s="36"/>
      <c r="AC19" s="36"/>
      <c r="AD19" s="36"/>
      <c r="AE19" s="36"/>
      <c r="AF19" s="37"/>
      <c r="AJ19" s="29" t="s">
        <v>6</v>
      </c>
      <c r="AL19" s="30">
        <f>+[1]MEDIA!F25</f>
        <v>23.874856631492133</v>
      </c>
      <c r="AM19" s="31">
        <f>+[1]MEDIA!G25</f>
        <v>13.256711402007706</v>
      </c>
      <c r="AN19" s="32">
        <f t="shared" si="2"/>
        <v>0.80096374639915047</v>
      </c>
      <c r="AO19" s="10"/>
      <c r="AP19" s="10"/>
      <c r="AQ19" s="21"/>
      <c r="AR19" s="36"/>
      <c r="AS19" s="36"/>
      <c r="AT19" s="36"/>
      <c r="AU19" s="36"/>
      <c r="AV19" s="37"/>
    </row>
    <row r="20" spans="4:48" s="22" customFormat="1" ht="17.25" customHeight="1" x14ac:dyDescent="0.35">
      <c r="D20" s="23" t="str">
        <f>+IF($B$3="esp","EBITDA sin indemnizaciones","EBITDA ex severance expenses")</f>
        <v>EBITDA ex severance expenses</v>
      </c>
      <c r="F20" s="24">
        <f>+[1]GRUPO!F20</f>
        <v>69.145528571341544</v>
      </c>
      <c r="G20" s="25">
        <f>+[1]GRUPO!G20</f>
        <v>43.777987223239201</v>
      </c>
      <c r="H20" s="26">
        <f t="shared" si="0"/>
        <v>0.5794588321008094</v>
      </c>
      <c r="K20" s="27"/>
      <c r="L20" s="27"/>
      <c r="M20" s="27"/>
      <c r="N20" s="27"/>
      <c r="O20" s="27"/>
      <c r="P20" s="28"/>
      <c r="T20" s="23" t="str">
        <f>+IF($B$3="esp","EBITDA sin indemnizaciones","EBITDA ex severance expenses")</f>
        <v>EBITDA ex severance expenses</v>
      </c>
      <c r="V20" s="24">
        <f>+[1]EDUCACIÓN!F20</f>
        <v>67.816958783739167</v>
      </c>
      <c r="W20" s="25">
        <f>+[1]EDUCACIÓN!G20</f>
        <v>45.235841776012464</v>
      </c>
      <c r="X20" s="26">
        <f t="shared" si="1"/>
        <v>0.49918640001303027</v>
      </c>
      <c r="AA20" s="27"/>
      <c r="AB20" s="27"/>
      <c r="AC20" s="27"/>
      <c r="AD20" s="27"/>
      <c r="AE20" s="27"/>
      <c r="AF20" s="28"/>
      <c r="AJ20" s="29" t="s">
        <v>7</v>
      </c>
      <c r="AK20" s="3"/>
      <c r="AL20" s="30">
        <f>+AL18-AL19</f>
        <v>71.805688903628024</v>
      </c>
      <c r="AM20" s="31">
        <f>+AM18-AM19</f>
        <v>71.111165720054444</v>
      </c>
      <c r="AN20" s="32">
        <f t="shared" si="2"/>
        <v>9.7667247687617843E-3</v>
      </c>
      <c r="AQ20" s="36"/>
      <c r="AR20" s="27"/>
      <c r="AS20" s="27"/>
      <c r="AT20" s="27"/>
      <c r="AU20" s="27"/>
      <c r="AV20" s="28"/>
    </row>
    <row r="21" spans="4:48" ht="17.25" customHeight="1" x14ac:dyDescent="0.35">
      <c r="D21" s="29" t="str">
        <f>+IF($B$3="esp","España","Spain")</f>
        <v>Spain</v>
      </c>
      <c r="F21" s="30">
        <f>+[1]GRUPO!F21</f>
        <v>-0.63073628000005044</v>
      </c>
      <c r="G21" s="31">
        <f>+[1]GRUPO!G21</f>
        <v>-7.1762125900000413</v>
      </c>
      <c r="H21" s="32">
        <f t="shared" si="0"/>
        <v>0.91210735856975955</v>
      </c>
      <c r="K21" s="33"/>
      <c r="L21" s="33"/>
      <c r="M21" s="33"/>
      <c r="N21" s="33"/>
      <c r="O21" s="33"/>
      <c r="P21" s="34"/>
      <c r="T21" s="29" t="str">
        <f>+IF($B$3="esp","Privado","Private")</f>
        <v>Private</v>
      </c>
      <c r="V21" s="30">
        <f>+[1]EDUCACIÓN!F21</f>
        <v>58.936311596741355</v>
      </c>
      <c r="W21" s="31">
        <f>+[1]EDUCACIÓN!G21</f>
        <v>44.098457863343747</v>
      </c>
      <c r="X21" s="32">
        <f t="shared" si="1"/>
        <v>0.33647103441527321</v>
      </c>
      <c r="AA21" s="33"/>
      <c r="AB21" s="33"/>
      <c r="AC21" s="33"/>
      <c r="AD21" s="33"/>
      <c r="AE21" s="33"/>
      <c r="AF21" s="34"/>
      <c r="AJ21" s="23" t="str">
        <f>+IF($B$3="esp","EBITDA Contable","Reported EBITDA")</f>
        <v>Reported EBITDA</v>
      </c>
      <c r="AL21" s="24">
        <f>+[1]MEDIA!F33</f>
        <v>1.9113239711500078</v>
      </c>
      <c r="AM21" s="25">
        <f>+[1]MEDIA!G33</f>
        <v>-1.8262671000571873</v>
      </c>
      <c r="AN21" s="26" t="str">
        <f t="shared" si="2"/>
        <v>---</v>
      </c>
      <c r="AQ21" s="36"/>
      <c r="AR21" s="33"/>
      <c r="AS21" s="33"/>
      <c r="AT21" s="33"/>
      <c r="AU21" s="33"/>
      <c r="AV21" s="34"/>
    </row>
    <row r="22" spans="4:48" ht="17.25" customHeight="1" x14ac:dyDescent="0.35">
      <c r="D22" s="29" t="str">
        <f>+IF($B$3="esp","Internacional","International")</f>
        <v>International</v>
      </c>
      <c r="F22" s="30">
        <f>+[1]GRUPO!F22</f>
        <v>69.776264851341594</v>
      </c>
      <c r="G22" s="31">
        <f>+[1]GRUPO!G22</f>
        <v>50.954199813239242</v>
      </c>
      <c r="H22" s="32">
        <f t="shared" si="0"/>
        <v>0.36939182848695984</v>
      </c>
      <c r="K22" s="33"/>
      <c r="L22" s="33"/>
      <c r="M22" s="33"/>
      <c r="N22" s="33"/>
      <c r="O22" s="33"/>
      <c r="P22" s="34"/>
      <c r="T22" s="29" t="str">
        <f>+IF($B$3="esp","Público","Public")</f>
        <v>Public</v>
      </c>
      <c r="V22" s="30">
        <f>+[1]EDUCACIÓN!F22</f>
        <v>8.8806471869978179</v>
      </c>
      <c r="W22" s="31">
        <f>+[1]EDUCACIÓN!G22</f>
        <v>1.1373839126687153</v>
      </c>
      <c r="X22" s="32">
        <f t="shared" si="1"/>
        <v>6.8079592018851383</v>
      </c>
      <c r="AA22" s="33"/>
      <c r="AB22" s="33"/>
      <c r="AC22" s="33"/>
      <c r="AD22" s="33"/>
      <c r="AE22" s="33"/>
      <c r="AF22" s="34"/>
      <c r="AJ22" s="38" t="str">
        <f>+IF($B$3="esp","Margen EBITDA ","EBITDA Margin")</f>
        <v>EBITDA Margin</v>
      </c>
      <c r="AK22" s="39"/>
      <c r="AL22" s="40">
        <f>+AL21/AL10</f>
        <v>1.9584868911925162E-2</v>
      </c>
      <c r="AM22" s="41">
        <f>+AM21/AM10</f>
        <v>-2.2125411650806406E-2</v>
      </c>
      <c r="AN22" s="42" t="str">
        <f t="shared" si="2"/>
        <v>---</v>
      </c>
      <c r="AQ22" s="27"/>
      <c r="AR22" s="33"/>
      <c r="AS22" s="33"/>
      <c r="AT22" s="33"/>
      <c r="AU22" s="33"/>
      <c r="AV22" s="34"/>
    </row>
    <row r="23" spans="4:48" ht="17.25" customHeight="1" x14ac:dyDescent="0.35">
      <c r="D23" s="38" t="str">
        <f>+IF($B$3="esp","Margen EBITDA sin indemnizaciones ","EBITDA ex severance expenses Margin")</f>
        <v>EBITDA ex severance expenses Margin</v>
      </c>
      <c r="E23" s="39"/>
      <c r="F23" s="40">
        <f>+[1]GRUPO!F23</f>
        <v>0.25905842297735321</v>
      </c>
      <c r="G23" s="41">
        <f>+[1]GRUPO!G23</f>
        <v>0.20788516256743239</v>
      </c>
      <c r="H23" s="42">
        <f t="shared" si="0"/>
        <v>0.24616119677767564</v>
      </c>
      <c r="K23" s="36"/>
      <c r="L23" s="36"/>
      <c r="M23" s="36"/>
      <c r="N23" s="36"/>
      <c r="O23" s="36"/>
      <c r="P23" s="37"/>
      <c r="T23" s="38" t="str">
        <f>+IF($B$3="esp","Margen EBITDA sin indemnizaciones ","EBITDA ex severance expenses Margin")</f>
        <v>EBITDA ex severance expenses Margin</v>
      </c>
      <c r="U23" s="39"/>
      <c r="V23" s="40">
        <f>+V20/V10</f>
        <v>0.39975551470261572</v>
      </c>
      <c r="W23" s="41">
        <f>+W20/W10</f>
        <v>0.35239471978749665</v>
      </c>
      <c r="X23" s="42">
        <f t="shared" si="1"/>
        <v>0.13439700499394228</v>
      </c>
      <c r="AA23" s="36"/>
      <c r="AB23" s="36"/>
      <c r="AC23" s="36"/>
      <c r="AD23" s="36"/>
      <c r="AE23" s="36"/>
      <c r="AF23" s="37"/>
      <c r="AJ23" s="23" t="str">
        <f>+IF($B$3="esp","EBITDA sin indemnizaciones","EBITDA ex severance expenses")</f>
        <v>EBITDA ex severance expenses</v>
      </c>
      <c r="AK23" s="22"/>
      <c r="AL23" s="24">
        <f>+[1]MEDIA!F40</f>
        <v>2.8611391850466044</v>
      </c>
      <c r="AM23" s="25">
        <f>+[1]MEDIA!G40</f>
        <v>-3.2103727198083104E-2</v>
      </c>
      <c r="AN23" s="26" t="str">
        <f t="shared" si="2"/>
        <v>---</v>
      </c>
      <c r="AQ23" s="33"/>
      <c r="AR23" s="36"/>
      <c r="AS23" s="36"/>
      <c r="AT23" s="36"/>
      <c r="AU23" s="36"/>
      <c r="AV23" s="37"/>
    </row>
    <row r="24" spans="4:48" ht="17.25" customHeight="1" x14ac:dyDescent="0.35">
      <c r="D24" s="23" t="str">
        <f>+IF($B$3="esp","Resultado de explotación contable (EBIT)","Reported Operating Result (EBIT)")</f>
        <v>Reported Operating Result (EBIT)</v>
      </c>
      <c r="E24" s="22"/>
      <c r="F24" s="24">
        <f>+[1]GRUPO!F24</f>
        <v>51.350516886386679</v>
      </c>
      <c r="G24" s="25">
        <f>+[1]GRUPO!G24</f>
        <v>23.802381323951387</v>
      </c>
      <c r="H24" s="26">
        <f t="shared" si="0"/>
        <v>1.1573688862262996</v>
      </c>
      <c r="K24" s="36"/>
      <c r="L24" s="36"/>
      <c r="M24" s="36"/>
      <c r="N24" s="36"/>
      <c r="O24" s="36"/>
      <c r="P24" s="37"/>
      <c r="T24" s="23" t="str">
        <f>+IF($B$3="esp","Resultado de explotación contable (EBIT)","Reported Operating Result (EBIT)")</f>
        <v>Reported Operating Result (EBIT)</v>
      </c>
      <c r="U24" s="22"/>
      <c r="V24" s="24">
        <f>+[1]EDUCACIÓN!F24</f>
        <v>57.25388666557587</v>
      </c>
      <c r="W24" s="25">
        <f>+[1]EDUCACIÓN!G24</f>
        <v>34.336371548468485</v>
      </c>
      <c r="X24" s="26">
        <f t="shared" si="1"/>
        <v>0.66744137727999342</v>
      </c>
      <c r="AA24" s="36"/>
      <c r="AB24" s="36"/>
      <c r="AC24" s="36"/>
      <c r="AD24" s="36"/>
      <c r="AE24" s="36"/>
      <c r="AF24" s="37"/>
      <c r="AJ24" s="38" t="str">
        <f>+IF($B$3="esp","Margen EBITDA sin indemnizaciones ","EBITDA ex severance expenses Margin")</f>
        <v>EBITDA ex severance expenses Margin</v>
      </c>
      <c r="AL24" s="40">
        <f>+AL23/AL10</f>
        <v>2.9317392929569603E-2</v>
      </c>
      <c r="AM24" s="41">
        <f>+AM23/AM10</f>
        <v>-3.8893991999337666E-4</v>
      </c>
      <c r="AN24" s="42" t="str">
        <f t="shared" si="2"/>
        <v>---</v>
      </c>
      <c r="AO24" s="22"/>
      <c r="AP24" s="22"/>
      <c r="AQ24" s="33"/>
      <c r="AR24" s="36"/>
      <c r="AS24" s="36"/>
      <c r="AT24" s="36"/>
      <c r="AU24" s="36"/>
      <c r="AV24" s="37"/>
    </row>
    <row r="25" spans="4:48" s="39" customFormat="1" ht="17.25" customHeight="1" x14ac:dyDescent="0.35">
      <c r="D25" s="29" t="str">
        <f>+IF($B$3="esp","España","Spain")</f>
        <v>Spain</v>
      </c>
      <c r="E25" s="3"/>
      <c r="F25" s="30">
        <f>+[1]GRUPO!F25</f>
        <v>-7.2685806099999795</v>
      </c>
      <c r="G25" s="31">
        <f>+[1]GRUPO!G25</f>
        <v>-15.574103380000089</v>
      </c>
      <c r="H25" s="32">
        <f t="shared" si="0"/>
        <v>0.53329058934242557</v>
      </c>
      <c r="K25" s="43"/>
      <c r="L25" s="43"/>
      <c r="M25" s="43"/>
      <c r="N25" s="43"/>
      <c r="O25" s="43"/>
      <c r="P25" s="44"/>
      <c r="T25" s="29" t="str">
        <f>+IF($B$3="esp","Privado","Private")</f>
        <v>Private</v>
      </c>
      <c r="U25" s="3"/>
      <c r="V25" s="30">
        <f>+[1]EDUCACIÓN!F25</f>
        <v>51.008547060686276</v>
      </c>
      <c r="W25" s="31">
        <f>+[1]EDUCACIÓN!G25</f>
        <v>34.675273813353236</v>
      </c>
      <c r="X25" s="32">
        <f t="shared" si="1"/>
        <v>0.47103516284399738</v>
      </c>
      <c r="AA25" s="43"/>
      <c r="AB25" s="43"/>
      <c r="AC25" s="43"/>
      <c r="AD25" s="43"/>
      <c r="AE25" s="43"/>
      <c r="AF25" s="44"/>
      <c r="AJ25" s="23" t="str">
        <f>+IF($B$3="esp","Resultado de explotación contable (EBIT)","Reported Operating Result (EBIT)")</f>
        <v>Reported Operating Result (EBIT)</v>
      </c>
      <c r="AK25" s="3"/>
      <c r="AL25" s="24">
        <f>+[1]MEDIA!F47</f>
        <v>-4.2190013722569342</v>
      </c>
      <c r="AM25" s="25">
        <f>+[1]MEDIA!G47</f>
        <v>-8.9260365151562748</v>
      </c>
      <c r="AN25" s="26">
        <f t="shared" si="2"/>
        <v>0.52733765259719323</v>
      </c>
      <c r="AO25" s="3"/>
      <c r="AP25" s="3"/>
      <c r="AQ25" s="36"/>
      <c r="AR25" s="43"/>
      <c r="AS25" s="43"/>
      <c r="AT25" s="43"/>
      <c r="AU25" s="43"/>
      <c r="AV25" s="44"/>
    </row>
    <row r="26" spans="4:48" s="22" customFormat="1" ht="17.25" customHeight="1" x14ac:dyDescent="0.35">
      <c r="D26" s="29" t="str">
        <f>+IF($B$3="esp","Internacional","International")</f>
        <v>International</v>
      </c>
      <c r="E26" s="3"/>
      <c r="F26" s="30">
        <f>+[1]GRUPO!F26</f>
        <v>58.619097496386658</v>
      </c>
      <c r="G26" s="31">
        <f>+[1]GRUPO!G26</f>
        <v>39.376484703951476</v>
      </c>
      <c r="H26" s="32">
        <f t="shared" si="0"/>
        <v>0.48868285061779937</v>
      </c>
      <c r="K26" s="27"/>
      <c r="L26" s="27"/>
      <c r="M26" s="27"/>
      <c r="N26" s="27"/>
      <c r="O26" s="27"/>
      <c r="P26" s="28"/>
      <c r="T26" s="29" t="str">
        <f>+IF($B$3="esp","Público","Public")</f>
        <v>Public</v>
      </c>
      <c r="U26" s="3"/>
      <c r="V26" s="30">
        <f>+[1]EDUCACIÓN!F26</f>
        <v>6.2453396048895957</v>
      </c>
      <c r="W26" s="31">
        <f>+[1]EDUCACIÓN!G26</f>
        <v>-0.3389022648847469</v>
      </c>
      <c r="X26" s="32" t="str">
        <f t="shared" si="1"/>
        <v>---</v>
      </c>
      <c r="AA26" s="27"/>
      <c r="AB26" s="27"/>
      <c r="AC26" s="27"/>
      <c r="AD26" s="27"/>
      <c r="AE26" s="27"/>
      <c r="AF26" s="28"/>
      <c r="AJ26" s="38" t="str">
        <f>+IF($B$3="esp","Margen EBIT ","EBIT Margin")</f>
        <v>EBIT Margin</v>
      </c>
      <c r="AK26" s="3"/>
      <c r="AL26" s="40">
        <f>+AL25/AL10</f>
        <v>-4.3231074408159258E-2</v>
      </c>
      <c r="AM26" s="41">
        <f>+AM25/AM10</f>
        <v>-0.10813984017002651</v>
      </c>
      <c r="AN26" s="42">
        <f t="shared" si="2"/>
        <v>0.60022990287217226</v>
      </c>
      <c r="AO26" s="39"/>
      <c r="AP26" s="39"/>
      <c r="AQ26" s="36"/>
      <c r="AR26" s="27"/>
      <c r="AS26" s="27"/>
      <c r="AT26" s="27"/>
      <c r="AU26" s="27"/>
      <c r="AV26" s="28"/>
    </row>
    <row r="27" spans="4:48" ht="17.25" customHeight="1" x14ac:dyDescent="0.35">
      <c r="D27" s="38" t="str">
        <f>+IF($B$3="esp","Margen EBIT ","EBIT Margin")</f>
        <v>EBIT Margin</v>
      </c>
      <c r="E27" s="39"/>
      <c r="F27" s="40">
        <f>+[1]GRUPO!F27</f>
        <v>0.19238820207924229</v>
      </c>
      <c r="G27" s="41">
        <f>+[1]GRUPO!G27</f>
        <v>0.11302853842478527</v>
      </c>
      <c r="H27" s="42">
        <f t="shared" si="0"/>
        <v>0.70212058618511486</v>
      </c>
      <c r="K27" s="33"/>
      <c r="L27" s="33"/>
      <c r="M27" s="33"/>
      <c r="N27" s="33"/>
      <c r="O27" s="33"/>
      <c r="P27" s="34"/>
      <c r="T27" s="38" t="str">
        <f>+IF($B$3="esp","Margen EBIT ","EBIT Margin")</f>
        <v>EBIT Margin</v>
      </c>
      <c r="U27" s="39"/>
      <c r="V27" s="40">
        <f>+V24/V10</f>
        <v>0.33749016976282309</v>
      </c>
      <c r="W27" s="41">
        <f>+W24/W10</f>
        <v>0.26748603663120635</v>
      </c>
      <c r="X27" s="42">
        <f t="shared" si="1"/>
        <v>0.26171135515434113</v>
      </c>
      <c r="AA27" s="33"/>
      <c r="AB27" s="33"/>
      <c r="AC27" s="33"/>
      <c r="AD27" s="33"/>
      <c r="AE27" s="33"/>
      <c r="AF27" s="34"/>
      <c r="AJ27" s="23" t="str">
        <f>+IF($B$3="esp","Resultado Financiero","Financial Result")</f>
        <v>Financial Result</v>
      </c>
      <c r="AL27" s="24">
        <f>+[1]MEDIA!F54</f>
        <v>-2.4226376947118156</v>
      </c>
      <c r="AM27" s="25">
        <f>+[1]MEDIA!G54</f>
        <v>-0.43858385974244835</v>
      </c>
      <c r="AN27" s="26">
        <f t="shared" si="2"/>
        <v>-4.523773027430769</v>
      </c>
      <c r="AO27" s="22"/>
      <c r="AP27" s="22"/>
      <c r="AQ27" s="43"/>
      <c r="AR27" s="33"/>
      <c r="AS27" s="33"/>
      <c r="AT27" s="33"/>
      <c r="AU27" s="33"/>
      <c r="AV27" s="34"/>
    </row>
    <row r="28" spans="4:48" ht="17.25" customHeight="1" x14ac:dyDescent="0.35">
      <c r="D28" s="23" t="str">
        <f>+IF($B$3="esp","Resultado Financiero","Financial Result")</f>
        <v>Financial Result</v>
      </c>
      <c r="E28" s="22"/>
      <c r="F28" s="24">
        <f>+[1]GRUPO!F28</f>
        <v>-32.234764181737418</v>
      </c>
      <c r="G28" s="25">
        <f>+[1]GRUPO!G28</f>
        <v>-15.479934221941901</v>
      </c>
      <c r="H28" s="26">
        <f t="shared" si="0"/>
        <v>-1.0823579557622747</v>
      </c>
      <c r="K28" s="33"/>
      <c r="L28" s="33"/>
      <c r="M28" s="33"/>
      <c r="N28" s="33"/>
      <c r="O28" s="33"/>
      <c r="P28" s="34"/>
      <c r="T28" s="23" t="str">
        <f>+IF($B$3="esp","Resultado Financiero","Financial Result")</f>
        <v>Financial Result</v>
      </c>
      <c r="U28" s="22"/>
      <c r="V28" s="24">
        <f>+[1]EDUCACIÓN!F28</f>
        <v>-5.7821603470256218</v>
      </c>
      <c r="W28" s="25">
        <f>+[1]EDUCACIÓN!G28</f>
        <v>-0.84504423219943758</v>
      </c>
      <c r="X28" s="26">
        <f t="shared" si="1"/>
        <v>-5.8424351373609316</v>
      </c>
      <c r="AA28" s="33"/>
      <c r="AB28" s="33"/>
      <c r="AC28" s="33"/>
      <c r="AD28" s="33"/>
      <c r="AE28" s="33"/>
      <c r="AF28" s="34"/>
      <c r="AJ28" s="29" t="str">
        <f>+IF($B$3="esp","Gastos por intereses de financiación","Interests on debt")</f>
        <v>Interests on debt</v>
      </c>
      <c r="AL28" s="30">
        <f>+[1]MEDIA!F55</f>
        <v>-2.3256794144805322</v>
      </c>
      <c r="AM28" s="31">
        <f>+[1]MEDIA!G55</f>
        <v>-1.1281023973156619</v>
      </c>
      <c r="AN28" s="32">
        <f t="shared" si="2"/>
        <v>-1.0615853844602445</v>
      </c>
      <c r="AQ28" s="27"/>
      <c r="AR28" s="33"/>
      <c r="AS28" s="33"/>
      <c r="AT28" s="33"/>
      <c r="AU28" s="33"/>
      <c r="AV28" s="34"/>
    </row>
    <row r="29" spans="4:48" ht="17.25" customHeight="1" x14ac:dyDescent="0.35">
      <c r="D29" s="29" t="str">
        <f>+IF($B$3="esp","Gastos por intereses de financiación","Interests on debt")</f>
        <v>Interests on debt</v>
      </c>
      <c r="F29" s="30">
        <f>+[1]GRUPO!F29</f>
        <v>-22.128875099327473</v>
      </c>
      <c r="G29" s="31">
        <f>+[1]GRUPO!G29</f>
        <v>-16.241058375938071</v>
      </c>
      <c r="H29" s="32">
        <f t="shared" si="0"/>
        <v>-0.3625266646484378</v>
      </c>
      <c r="K29" s="36"/>
      <c r="L29" s="36"/>
      <c r="M29" s="36"/>
      <c r="N29" s="36"/>
      <c r="O29" s="36"/>
      <c r="P29" s="37"/>
      <c r="T29" s="29" t="str">
        <f>+IF($B$3="esp","Gastos por intereses de financiación","Interests on debt")</f>
        <v>Interests on debt</v>
      </c>
      <c r="V29" s="30">
        <f>+[1]EDUCACIÓN!F29</f>
        <v>-3.7192951148469455</v>
      </c>
      <c r="W29" s="31">
        <f>+[1]EDUCACIÓN!G29</f>
        <v>-2.4498901386224041</v>
      </c>
      <c r="X29" s="32">
        <f t="shared" si="1"/>
        <v>-0.51814771454949382</v>
      </c>
      <c r="AA29" s="36"/>
      <c r="AB29" s="36"/>
      <c r="AC29" s="36"/>
      <c r="AD29" s="36"/>
      <c r="AE29" s="36"/>
      <c r="AF29" s="37"/>
      <c r="AJ29" s="29" t="str">
        <f>+IF($B$3="esp","Otros resultados financieros","Other financial results")</f>
        <v>Other financial results</v>
      </c>
      <c r="AL29" s="30">
        <f>+[1]MEDIA!F56</f>
        <v>-9.6958280231283389E-2</v>
      </c>
      <c r="AM29" s="31">
        <f>+[1]MEDIA!G56</f>
        <v>0.68951853757321357</v>
      </c>
      <c r="AN29" s="32" t="str">
        <f t="shared" si="2"/>
        <v>---</v>
      </c>
      <c r="AQ29" s="33"/>
      <c r="AR29" s="36"/>
      <c r="AS29" s="36"/>
      <c r="AT29" s="36"/>
      <c r="AU29" s="36"/>
      <c r="AV29" s="37"/>
    </row>
    <row r="30" spans="4:48" ht="17.25" customHeight="1" x14ac:dyDescent="0.35">
      <c r="D30" s="29" t="str">
        <f>+IF($B$3="esp","Otros resultados financieros","Other financial results")</f>
        <v>Other financial results</v>
      </c>
      <c r="F30" s="30">
        <f>+[1]GRUPO!F30</f>
        <v>-10.105889082409945</v>
      </c>
      <c r="G30" s="31">
        <f>+[1]GRUPO!G30</f>
        <v>0.76112415399616928</v>
      </c>
      <c r="H30" s="32" t="str">
        <f t="shared" si="0"/>
        <v>---</v>
      </c>
      <c r="K30" s="36"/>
      <c r="L30" s="36"/>
      <c r="M30" s="36"/>
      <c r="N30" s="36"/>
      <c r="O30" s="36"/>
      <c r="P30" s="37"/>
      <c r="T30" s="29" t="str">
        <f>+IF($B$3="esp","Otros resultados financieros","Other financial results")</f>
        <v>Other financial results</v>
      </c>
      <c r="V30" s="30">
        <f>+[1]EDUCACIÓN!F30</f>
        <v>-2.0628652321786762</v>
      </c>
      <c r="W30" s="31">
        <f>+[1]EDUCACIÓN!G30</f>
        <v>1.6048459064229665</v>
      </c>
      <c r="X30" s="32" t="str">
        <f t="shared" si="1"/>
        <v>---</v>
      </c>
      <c r="AA30" s="36"/>
      <c r="AB30" s="36"/>
      <c r="AC30" s="36"/>
      <c r="AD30" s="36"/>
      <c r="AE30" s="36"/>
      <c r="AF30" s="37"/>
      <c r="AJ30" s="23" t="str">
        <f>+IF($B$3="esp","Resultado puesta en equivalencia","Result from associates")</f>
        <v>Result from associates</v>
      </c>
      <c r="AL30" s="24">
        <f>+[1]MEDIA!F57</f>
        <v>5.6464220332225782E-3</v>
      </c>
      <c r="AM30" s="25">
        <f>+[1]MEDIA!G57</f>
        <v>2.7873235080556242E-2</v>
      </c>
      <c r="AN30" s="26">
        <f t="shared" si="2"/>
        <v>-0.79742494845309864</v>
      </c>
      <c r="AQ30" s="33"/>
      <c r="AR30" s="36"/>
      <c r="AS30" s="36"/>
      <c r="AT30" s="36"/>
      <c r="AU30" s="36"/>
      <c r="AV30" s="37"/>
    </row>
    <row r="31" spans="4:48" s="39" customFormat="1" ht="17.25" customHeight="1" x14ac:dyDescent="0.35">
      <c r="D31" s="23" t="str">
        <f>+IF($B$3="esp","Resultado puesta en equivalencia","Result from associates")</f>
        <v>Result from associates</v>
      </c>
      <c r="E31" s="22"/>
      <c r="F31" s="24">
        <f>+[1]GRUPO!F31</f>
        <v>6.9271366288625701E-3</v>
      </c>
      <c r="G31" s="25">
        <f>+[1]GRUPO!G31</f>
        <v>-7.7331496663443716E-2</v>
      </c>
      <c r="H31" s="26" t="str">
        <f t="shared" si="0"/>
        <v>---</v>
      </c>
      <c r="K31" s="43"/>
      <c r="L31" s="43"/>
      <c r="M31" s="43"/>
      <c r="N31" s="43"/>
      <c r="O31" s="43"/>
      <c r="P31" s="44"/>
      <c r="T31" s="23" t="str">
        <f>+IF($B$3="esp","Resultado puesta en equivalencia","Result from associates")</f>
        <v>Result from associates</v>
      </c>
      <c r="U31" s="22"/>
      <c r="V31" s="24">
        <f>+[1]EDUCACIÓN!F31</f>
        <v>0</v>
      </c>
      <c r="W31" s="25">
        <f>+[1]EDUCACIÓN!G31</f>
        <v>0</v>
      </c>
      <c r="X31" s="26" t="str">
        <f t="shared" si="1"/>
        <v>---</v>
      </c>
      <c r="AA31" s="43"/>
      <c r="AB31" s="43"/>
      <c r="AC31" s="43"/>
      <c r="AD31" s="43"/>
      <c r="AE31" s="43"/>
      <c r="AF31" s="44"/>
      <c r="AJ31" s="23" t="str">
        <f>+IF($B$3="esp","Resultado antes de impuestos","Profit before tax")</f>
        <v>Profit before tax</v>
      </c>
      <c r="AK31" s="3"/>
      <c r="AL31" s="24">
        <f>+[1]MEDIA!F58</f>
        <v>-6.635992644935528</v>
      </c>
      <c r="AM31" s="25">
        <f>+[1]MEDIA!G58</f>
        <v>-9.3367471398181685</v>
      </c>
      <c r="AN31" s="26">
        <f t="shared" si="2"/>
        <v>0.28926075156997744</v>
      </c>
      <c r="AO31" s="3"/>
      <c r="AP31" s="3"/>
      <c r="AQ31" s="36"/>
      <c r="AR31" s="43"/>
      <c r="AS31" s="43"/>
      <c r="AT31" s="43"/>
      <c r="AU31" s="43"/>
      <c r="AV31" s="44"/>
    </row>
    <row r="32" spans="4:48" s="22" customFormat="1" ht="17.25" customHeight="1" x14ac:dyDescent="0.35">
      <c r="D32" s="23" t="str">
        <f>+IF($B$3="esp","Resultado antes de impuestos","Profit before tax")</f>
        <v>Profit before tax</v>
      </c>
      <c r="F32" s="24">
        <f>+[1]GRUPO!F32</f>
        <v>19.122679841278124</v>
      </c>
      <c r="G32" s="25">
        <f>+[1]GRUPO!G32</f>
        <v>8.2451156053460419</v>
      </c>
      <c r="H32" s="26">
        <f t="shared" si="0"/>
        <v>1.3192737078033436</v>
      </c>
      <c r="K32" s="27"/>
      <c r="L32" s="27"/>
      <c r="M32" s="27"/>
      <c r="N32" s="27"/>
      <c r="O32" s="27"/>
      <c r="P32" s="28"/>
      <c r="T32" s="23" t="str">
        <f>+IF($B$3="esp","Resultado antes de impuestos","Profit before tax")</f>
        <v>Profit before tax</v>
      </c>
      <c r="V32" s="24">
        <f>+[1]EDUCACIÓN!F32</f>
        <v>51.471726318550246</v>
      </c>
      <c r="W32" s="25">
        <f>+[1]EDUCACIÓN!G32</f>
        <v>33.49132731626905</v>
      </c>
      <c r="X32" s="26">
        <f t="shared" si="1"/>
        <v>0.53686731590201486</v>
      </c>
      <c r="AA32" s="27"/>
      <c r="AB32" s="27"/>
      <c r="AC32" s="27"/>
      <c r="AD32" s="27"/>
      <c r="AE32" s="27"/>
      <c r="AF32" s="28"/>
      <c r="AJ32" s="29" t="str">
        <f>+IF($B$3="esp","Impuesto sobre sociedades","Income tax expense")</f>
        <v>Income tax expense</v>
      </c>
      <c r="AL32" s="30">
        <f>+[1]MEDIA!F59</f>
        <v>-6.6636936279045725E-2</v>
      </c>
      <c r="AM32" s="31">
        <f>+[1]MEDIA!G59</f>
        <v>-9.9034748998767325E-2</v>
      </c>
      <c r="AN32" s="32">
        <f t="shared" si="2"/>
        <v>0.3271358088677021</v>
      </c>
      <c r="AQ32" s="36"/>
      <c r="AR32" s="27"/>
      <c r="AS32" s="27"/>
      <c r="AT32" s="27"/>
      <c r="AU32" s="27"/>
      <c r="AV32" s="28"/>
    </row>
    <row r="33" spans="4:48" ht="17.25" customHeight="1" x14ac:dyDescent="0.35">
      <c r="D33" s="29" t="str">
        <f>+IF($B$3="esp","Impuesto sobre sociedades","Income tax expense")</f>
        <v>Income tax expense</v>
      </c>
      <c r="F33" s="30">
        <f>+[1]GRUPO!F33</f>
        <v>14.127486538321982</v>
      </c>
      <c r="G33" s="31">
        <f>+[1]GRUPO!G33</f>
        <v>8.980550427854908</v>
      </c>
      <c r="H33" s="32">
        <f t="shared" si="0"/>
        <v>0.57312033953986374</v>
      </c>
      <c r="K33" s="33"/>
      <c r="L33" s="33"/>
      <c r="M33" s="33"/>
      <c r="N33" s="33"/>
      <c r="O33" s="33"/>
      <c r="P33" s="34"/>
      <c r="T33" s="29" t="str">
        <f>+IF($B$3="esp","Impuesto sobre sociedades","Income tax expense")</f>
        <v>Income tax expense</v>
      </c>
      <c r="V33" s="30">
        <f>+[1]EDUCACIÓN!F33</f>
        <v>14.59480182460103</v>
      </c>
      <c r="W33" s="31">
        <f>+[1]EDUCACIÓN!G33</f>
        <v>9.3645697068536773</v>
      </c>
      <c r="X33" s="32">
        <f t="shared" si="1"/>
        <v>0.55851280747256182</v>
      </c>
      <c r="AA33" s="33"/>
      <c r="AB33" s="33"/>
      <c r="AC33" s="33"/>
      <c r="AD33" s="33"/>
      <c r="AE33" s="33"/>
      <c r="AF33" s="34"/>
      <c r="AJ33" s="23" t="str">
        <f>+IF($B$3="esp","Resultado operaciones en discontinuación","Results from discontinued activities")</f>
        <v>Results from discontinued activities</v>
      </c>
      <c r="AL33" s="24">
        <f>+[1]MEDIA!F60</f>
        <v>0</v>
      </c>
      <c r="AM33" s="25">
        <f>+[1]MEDIA!G60</f>
        <v>0</v>
      </c>
      <c r="AN33" s="26" t="str">
        <f t="shared" si="2"/>
        <v>---</v>
      </c>
      <c r="AQ33" s="43"/>
      <c r="AR33" s="33"/>
      <c r="AS33" s="33"/>
      <c r="AT33" s="33"/>
      <c r="AU33" s="33"/>
      <c r="AV33" s="34"/>
    </row>
    <row r="34" spans="4:48" ht="17.25" customHeight="1" x14ac:dyDescent="0.35">
      <c r="D34" s="23" t="str">
        <f>+IF($B$3="esp","Resultado operaciones en discontinuación","Results from discontinued activities")</f>
        <v>Results from discontinued activities</v>
      </c>
      <c r="E34" s="22"/>
      <c r="F34" s="24">
        <f>+[1]GRUPO!F34</f>
        <v>-2.0999999999999995E-4</v>
      </c>
      <c r="G34" s="25">
        <f>+[1]GRUPO!G34</f>
        <v>0</v>
      </c>
      <c r="H34" s="26" t="str">
        <f t="shared" si="0"/>
        <v>---</v>
      </c>
      <c r="K34" s="33"/>
      <c r="L34" s="33"/>
      <c r="M34" s="33"/>
      <c r="N34" s="33"/>
      <c r="O34" s="33"/>
      <c r="P34" s="34"/>
      <c r="T34" s="23" t="str">
        <f>+IF($B$3="esp","Resultado operaciones en discontinuación","Results from discontinued activities")</f>
        <v>Results from discontinued activities</v>
      </c>
      <c r="U34" s="22"/>
      <c r="V34" s="24">
        <f>+[1]EDUCACIÓN!F34</f>
        <v>0</v>
      </c>
      <c r="W34" s="25">
        <f>+[1]EDUCACIÓN!G34</f>
        <v>0</v>
      </c>
      <c r="X34" s="26" t="str">
        <f t="shared" si="1"/>
        <v>---</v>
      </c>
      <c r="AA34" s="33"/>
      <c r="AB34" s="33"/>
      <c r="AC34" s="33"/>
      <c r="AD34" s="33"/>
      <c r="AE34" s="33"/>
      <c r="AF34" s="34"/>
      <c r="AJ34" s="23" t="str">
        <f>+IF($B$3="esp","Resultado atribuido a socios externos","Minority interest")</f>
        <v>Minority interest</v>
      </c>
      <c r="AL34" s="24">
        <f>+[1]MEDIA!F61</f>
        <v>-0.47213679970448574</v>
      </c>
      <c r="AM34" s="25">
        <f>+[1]MEDIA!G61</f>
        <v>-0.92980373681131667</v>
      </c>
      <c r="AN34" s="26">
        <f t="shared" si="2"/>
        <v>0.49221886188192898</v>
      </c>
      <c r="AO34" s="22"/>
      <c r="AP34" s="22"/>
      <c r="AQ34" s="27"/>
      <c r="AR34" s="33"/>
      <c r="AS34" s="33"/>
      <c r="AT34" s="33"/>
      <c r="AU34" s="33"/>
      <c r="AV34" s="34"/>
    </row>
    <row r="35" spans="4:48" ht="17.25" customHeight="1" x14ac:dyDescent="0.35">
      <c r="D35" s="23" t="str">
        <f>+IF($B$3="esp","Resultado atribuido a socios externos","Minority interest")</f>
        <v>Minority interest</v>
      </c>
      <c r="E35" s="22"/>
      <c r="F35" s="24">
        <f>+[1]GRUPO!F35</f>
        <v>-0.23470146201729719</v>
      </c>
      <c r="G35" s="25">
        <f>+[1]GRUPO!G35</f>
        <v>-0.83921191567970155</v>
      </c>
      <c r="H35" s="26">
        <f t="shared" si="0"/>
        <v>0.72033111347423406</v>
      </c>
      <c r="K35" s="36"/>
      <c r="L35" s="36"/>
      <c r="M35" s="36"/>
      <c r="N35" s="36"/>
      <c r="O35" s="36"/>
      <c r="P35" s="37"/>
      <c r="T35" s="23" t="str">
        <f>+IF($B$3="esp","Resultado atribuido a socios externos","Minority interest")</f>
        <v>Minority interest</v>
      </c>
      <c r="U35" s="22"/>
      <c r="V35" s="24">
        <f>+[1]EDUCACIÓN!F35</f>
        <v>0.23779350264551963</v>
      </c>
      <c r="W35" s="25">
        <f>+[1]EDUCACIÓN!G35</f>
        <v>0.19918074160079374</v>
      </c>
      <c r="X35" s="26">
        <f t="shared" si="1"/>
        <v>0.19385790380334647</v>
      </c>
      <c r="AA35" s="36"/>
      <c r="AB35" s="36"/>
      <c r="AC35" s="36"/>
      <c r="AD35" s="36"/>
      <c r="AE35" s="36"/>
      <c r="AF35" s="37"/>
      <c r="AJ35" s="23" t="str">
        <f>+IF($B$3="esp","Resultado Neto","Net Profit")</f>
        <v>Net Profit</v>
      </c>
      <c r="AL35" s="24">
        <f>+[1]MEDIA!F62</f>
        <v>-6.0972189089518887</v>
      </c>
      <c r="AM35" s="25">
        <f>+[1]MEDIA!G62</f>
        <v>-8.3079086540080915</v>
      </c>
      <c r="AN35" s="26">
        <f t="shared" si="2"/>
        <v>0.2660946138339727</v>
      </c>
      <c r="AO35" s="22"/>
      <c r="AP35" s="22"/>
      <c r="AQ35" s="33"/>
      <c r="AR35" s="36"/>
      <c r="AS35" s="36"/>
      <c r="AT35" s="36"/>
      <c r="AU35" s="36"/>
      <c r="AV35" s="37"/>
    </row>
    <row r="36" spans="4:48" ht="17.25" customHeight="1" x14ac:dyDescent="0.35">
      <c r="D36" s="23" t="str">
        <f>+IF($B$3="esp","Resultado Neto","Net Profit")</f>
        <v>Net Profit</v>
      </c>
      <c r="E36" s="22"/>
      <c r="F36" s="24">
        <f>+[1]GRUPO!F36</f>
        <v>5.2296847649734612</v>
      </c>
      <c r="G36" s="25">
        <f>+[1]GRUPO!G36</f>
        <v>0.10377709317091091</v>
      </c>
      <c r="H36" s="26" t="str">
        <f t="shared" si="0"/>
        <v>---</v>
      </c>
      <c r="K36" s="36"/>
      <c r="L36" s="36"/>
      <c r="M36" s="36"/>
      <c r="N36" s="36"/>
      <c r="O36" s="36"/>
      <c r="P36" s="37"/>
      <c r="T36" s="23" t="str">
        <f>+IF($B$3="esp","Resultado Neto","Net Profit")</f>
        <v>Net Profit</v>
      </c>
      <c r="U36" s="22"/>
      <c r="V36" s="24">
        <f>+[1]EDUCACIÓN!F36</f>
        <v>36.639130991303702</v>
      </c>
      <c r="W36" s="25">
        <f>+[1]EDUCACIÓN!G36</f>
        <v>23.927576867814583</v>
      </c>
      <c r="X36" s="26">
        <f t="shared" si="1"/>
        <v>0.53125120833224282</v>
      </c>
      <c r="AA36" s="36"/>
      <c r="AB36" s="36"/>
      <c r="AC36" s="36"/>
      <c r="AD36" s="36"/>
      <c r="AE36" s="36"/>
      <c r="AF36" s="37"/>
      <c r="AQ36" s="36"/>
      <c r="AR36" s="36"/>
      <c r="AS36" s="36"/>
      <c r="AT36" s="36"/>
      <c r="AU36" s="36"/>
      <c r="AV36" s="37"/>
    </row>
    <row r="37" spans="4:48" s="39" customFormat="1" ht="17.25" customHeight="1" x14ac:dyDescent="0.35">
      <c r="K37" s="43"/>
      <c r="L37" s="43"/>
      <c r="M37" s="43"/>
      <c r="N37" s="43"/>
      <c r="O37" s="43"/>
      <c r="P37" s="44"/>
      <c r="AA37" s="43"/>
      <c r="AB37" s="43"/>
      <c r="AC37" s="43"/>
      <c r="AD37" s="43"/>
      <c r="AE37" s="43"/>
      <c r="AF37" s="44"/>
      <c r="AQ37" s="43"/>
      <c r="AR37" s="43"/>
      <c r="AS37" s="43"/>
      <c r="AT37" s="43"/>
      <c r="AU37" s="43"/>
      <c r="AV37" s="44"/>
    </row>
    <row r="38" spans="4:48" s="22" customFormat="1" ht="17.25" customHeight="1" x14ac:dyDescent="0.35">
      <c r="K38" s="27"/>
      <c r="O38" s="27"/>
      <c r="P38" s="28"/>
      <c r="AA38" s="27"/>
      <c r="AE38" s="27"/>
      <c r="AF38" s="28"/>
      <c r="AU38" s="27"/>
      <c r="AV38" s="28"/>
    </row>
    <row r="39" spans="4:48" ht="17.25" customHeight="1" x14ac:dyDescent="0.35">
      <c r="K39" s="33"/>
      <c r="O39" s="33"/>
      <c r="P39" s="34"/>
      <c r="AA39" s="33"/>
      <c r="AE39" s="33"/>
      <c r="AF39" s="34"/>
      <c r="AU39" s="33"/>
      <c r="AV39" s="34"/>
    </row>
    <row r="40" spans="4:48" ht="17.25" customHeight="1" x14ac:dyDescent="0.35">
      <c r="K40" s="33"/>
      <c r="O40" s="33"/>
      <c r="P40" s="34"/>
      <c r="AA40" s="33"/>
      <c r="AE40" s="33"/>
      <c r="AF40" s="34"/>
      <c r="AU40" s="33"/>
      <c r="AV40" s="34"/>
    </row>
    <row r="41" spans="4:48" s="22" customFormat="1" ht="17.25" customHeight="1" x14ac:dyDescent="0.35">
      <c r="K41" s="27"/>
      <c r="O41" s="27"/>
      <c r="P41" s="28"/>
      <c r="AA41" s="27"/>
      <c r="AE41" s="27"/>
      <c r="AF41" s="28"/>
      <c r="AU41" s="27"/>
      <c r="AV41" s="28"/>
    </row>
    <row r="42" spans="4:48" s="22" customFormat="1" ht="17.25" customHeight="1" x14ac:dyDescent="0.35">
      <c r="K42" s="27"/>
      <c r="O42" s="27"/>
      <c r="P42" s="28"/>
      <c r="AA42" s="27"/>
      <c r="AE42" s="27"/>
      <c r="AF42" s="28"/>
      <c r="AU42" s="27"/>
      <c r="AV42" s="28"/>
    </row>
    <row r="43" spans="4:48" ht="17.25" customHeight="1" x14ac:dyDescent="0.35">
      <c r="K43" s="33"/>
      <c r="O43" s="33"/>
      <c r="P43" s="34"/>
      <c r="AA43" s="33"/>
      <c r="AE43" s="33"/>
      <c r="AF43" s="34"/>
      <c r="AU43" s="33"/>
      <c r="AV43" s="34"/>
    </row>
    <row r="44" spans="4:48" s="22" customFormat="1" ht="17.25" customHeight="1" x14ac:dyDescent="0.35">
      <c r="K44" s="27"/>
      <c r="O44" s="27"/>
      <c r="P44" s="28"/>
      <c r="AA44" s="27"/>
      <c r="AE44" s="27"/>
      <c r="AF44" s="28"/>
      <c r="AU44" s="27"/>
      <c r="AV44" s="28"/>
    </row>
    <row r="45" spans="4:48" s="22" customFormat="1" ht="17.25" customHeight="1" x14ac:dyDescent="0.35">
      <c r="K45" s="27"/>
      <c r="O45" s="27"/>
      <c r="P45" s="28"/>
      <c r="AA45" s="27"/>
      <c r="AE45" s="27"/>
      <c r="AF45" s="28"/>
      <c r="AU45" s="27"/>
      <c r="AV45" s="28"/>
    </row>
    <row r="46" spans="4:48" s="22" customFormat="1" ht="17.25" customHeight="1" x14ac:dyDescent="0.35">
      <c r="K46" s="27"/>
      <c r="O46" s="27"/>
      <c r="P46" s="28"/>
      <c r="AA46" s="27"/>
      <c r="AE46" s="27"/>
      <c r="AF46" s="28"/>
      <c r="AJ46" s="35"/>
      <c r="AL46" s="45"/>
      <c r="AM46" s="45"/>
      <c r="AN46" s="46"/>
      <c r="AQ46" s="27"/>
      <c r="AR46" s="45"/>
      <c r="AS46" s="45"/>
      <c r="AT46" s="46"/>
      <c r="AU46" s="27"/>
      <c r="AV46" s="28"/>
    </row>
    <row r="47" spans="4:48" ht="17.25" customHeight="1" x14ac:dyDescent="0.35"/>
    <row r="49" spans="4:51" x14ac:dyDescent="0.35"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</row>
    <row r="50" spans="4:51" s="48" customFormat="1" x14ac:dyDescent="0.35">
      <c r="F50" s="49"/>
      <c r="G50" s="49"/>
      <c r="K50" s="49"/>
      <c r="L50" s="49"/>
      <c r="M50" s="49"/>
      <c r="O50" s="49"/>
    </row>
    <row r="53" spans="4:51" x14ac:dyDescent="0.35">
      <c r="D53" s="10"/>
      <c r="E53" s="10"/>
      <c r="F53" s="11" t="str">
        <f>+$F$6</f>
        <v>JANUARY - MARCH</v>
      </c>
      <c r="G53" s="12"/>
      <c r="H53" s="12"/>
      <c r="I53" s="10"/>
      <c r="J53" s="10"/>
      <c r="K53" s="13"/>
      <c r="L53" s="13"/>
      <c r="M53" s="13"/>
      <c r="N53" s="13"/>
      <c r="O53" s="14"/>
      <c r="P53" s="14"/>
      <c r="T53" s="10"/>
      <c r="U53" s="10"/>
      <c r="V53" s="11" t="str">
        <f>+$F$6</f>
        <v>JANUARY - MARCH</v>
      </c>
      <c r="W53" s="12"/>
      <c r="X53" s="12"/>
      <c r="Y53" s="10"/>
      <c r="Z53" s="10"/>
      <c r="AA53" s="13"/>
      <c r="AB53" s="13"/>
      <c r="AC53" s="13"/>
      <c r="AD53" s="13"/>
      <c r="AE53" s="14"/>
      <c r="AF53" s="14"/>
      <c r="AJ53" s="15"/>
      <c r="AK53" s="15"/>
      <c r="AL53" s="13"/>
      <c r="AM53" s="14"/>
      <c r="AN53" s="14"/>
      <c r="AO53" s="10"/>
      <c r="AP53" s="10"/>
      <c r="AQ53" s="13"/>
      <c r="AR53" s="13"/>
      <c r="AS53" s="14"/>
      <c r="AT53" s="14"/>
      <c r="AU53" s="14"/>
      <c r="AV53" s="14"/>
    </row>
    <row r="54" spans="4:51" x14ac:dyDescent="0.35">
      <c r="D54" s="10"/>
      <c r="E54" s="10"/>
      <c r="F54" s="10"/>
      <c r="G54" s="10"/>
      <c r="H54" s="10"/>
      <c r="I54" s="10"/>
      <c r="J54" s="10"/>
      <c r="K54" s="15"/>
      <c r="L54" s="15"/>
      <c r="M54" s="15"/>
      <c r="N54" s="15"/>
      <c r="O54" s="15"/>
      <c r="P54" s="15"/>
      <c r="T54" s="10"/>
      <c r="U54" s="10"/>
      <c r="V54" s="10"/>
      <c r="W54" s="10"/>
      <c r="X54" s="10"/>
      <c r="Y54" s="10"/>
      <c r="Z54" s="10"/>
      <c r="AA54" s="15"/>
      <c r="AB54" s="15"/>
      <c r="AC54" s="15"/>
      <c r="AD54" s="15"/>
      <c r="AE54" s="15"/>
      <c r="AF54" s="15"/>
      <c r="AJ54" s="15"/>
      <c r="AK54" s="15"/>
      <c r="AL54" s="15"/>
      <c r="AM54" s="15"/>
      <c r="AN54" s="15"/>
      <c r="AO54" s="10"/>
      <c r="AP54" s="10"/>
      <c r="AQ54" s="15"/>
      <c r="AR54" s="15"/>
      <c r="AS54" s="15"/>
      <c r="AT54" s="15"/>
      <c r="AU54" s="15"/>
      <c r="AV54" s="15"/>
    </row>
    <row r="55" spans="4:51" x14ac:dyDescent="0.35">
      <c r="D55" s="16" t="str">
        <f>+IF($B$3="esp","Millones de €","€ Millions")</f>
        <v>€ Millions</v>
      </c>
      <c r="E55" s="10"/>
      <c r="F55" s="17">
        <v>2023</v>
      </c>
      <c r="G55" s="17">
        <v>2022</v>
      </c>
      <c r="H55" s="17" t="str">
        <f>+IF($B$3="esp","Var.","Chg.")</f>
        <v>Chg.</v>
      </c>
      <c r="I55" s="10"/>
      <c r="J55" s="10"/>
      <c r="K55" s="18"/>
      <c r="L55" s="18"/>
      <c r="M55" s="18"/>
      <c r="N55" s="18"/>
      <c r="O55" s="18"/>
      <c r="P55" s="18"/>
      <c r="T55" s="16" t="str">
        <f>+IF($B$3="esp","Millones de €","€ Millions")</f>
        <v>€ Millions</v>
      </c>
      <c r="U55" s="10"/>
      <c r="V55" s="17">
        <v>2023</v>
      </c>
      <c r="W55" s="17">
        <v>2022</v>
      </c>
      <c r="X55" s="17" t="str">
        <f>+IF($B$3="esp","Var.","Chg.")</f>
        <v>Chg.</v>
      </c>
      <c r="Y55" s="10"/>
      <c r="Z55" s="10"/>
      <c r="AA55" s="18"/>
      <c r="AB55" s="18"/>
      <c r="AC55" s="18"/>
      <c r="AD55" s="18"/>
      <c r="AE55" s="18"/>
      <c r="AF55" s="18"/>
      <c r="AJ55" s="50"/>
      <c r="AK55" s="15"/>
      <c r="AL55" s="18"/>
      <c r="AM55" s="18"/>
      <c r="AN55" s="18"/>
      <c r="AO55" s="10"/>
      <c r="AP55" s="10"/>
      <c r="AQ55" s="18"/>
      <c r="AR55" s="18"/>
      <c r="AS55" s="18"/>
      <c r="AT55" s="18"/>
      <c r="AU55" s="18"/>
      <c r="AV55" s="18"/>
    </row>
    <row r="56" spans="4:51" x14ac:dyDescent="0.35">
      <c r="D56" s="19" t="str">
        <f>+IF($B$3="esp","Resultados a tipo de cambio constante","Results at constant currency")</f>
        <v>Results at constant currency</v>
      </c>
      <c r="F56" s="20"/>
      <c r="G56" s="20"/>
      <c r="H56" s="20"/>
      <c r="K56" s="21"/>
      <c r="L56" s="21"/>
      <c r="M56" s="21"/>
      <c r="N56" s="21"/>
      <c r="O56" s="21"/>
      <c r="P56" s="21"/>
      <c r="T56" s="19" t="str">
        <f>+IF($B$3="esp","Resultados a tipo de cambio constante","Results at constant currency")</f>
        <v>Results at constant currency</v>
      </c>
      <c r="V56" s="20"/>
      <c r="W56" s="20"/>
      <c r="X56" s="20"/>
      <c r="AA56" s="21"/>
      <c r="AB56" s="21"/>
      <c r="AC56" s="21"/>
      <c r="AD56" s="21"/>
      <c r="AE56" s="21"/>
      <c r="AF56" s="21"/>
      <c r="AJ56" s="51"/>
      <c r="AK56" s="21"/>
      <c r="AL56" s="21"/>
      <c r="AM56" s="21"/>
      <c r="AN56" s="21"/>
      <c r="AQ56" s="21"/>
      <c r="AR56" s="21"/>
      <c r="AS56" s="21"/>
      <c r="AT56" s="21"/>
      <c r="AU56" s="21"/>
      <c r="AV56" s="21"/>
    </row>
    <row r="57" spans="4:51" ht="15.75" customHeight="1" x14ac:dyDescent="0.35">
      <c r="D57" s="23" t="str">
        <f>+IF($B$3="esp","Ingresos de Explotación","Operating Revenues")</f>
        <v>Operating Revenues</v>
      </c>
      <c r="E57" s="22"/>
      <c r="F57" s="24">
        <f>+[1]GRUPO!F58</f>
        <v>257.78005822967594</v>
      </c>
      <c r="G57" s="25">
        <f>+[1]GRUPO!G58</f>
        <v>210.58735834039521</v>
      </c>
      <c r="H57" s="26">
        <f>IF(G57=0,"---",IF(OR(ABS((F57-G57)/ABS(G57))&gt;9,(F57*G57)&lt;0),"---",IF(G57="0","---",((F57-G57)/ABS(G57)))))</f>
        <v>0.2241003461043376</v>
      </c>
      <c r="I57" s="22"/>
      <c r="J57" s="22"/>
      <c r="K57" s="27"/>
      <c r="L57" s="27"/>
      <c r="M57" s="27"/>
      <c r="N57" s="27"/>
      <c r="O57" s="27"/>
      <c r="P57" s="28"/>
      <c r="T57" s="23" t="str">
        <f>+IF($B$3="esp","Ingresos de Explotación","Operating Revenues")</f>
        <v>Operating Revenues</v>
      </c>
      <c r="U57" s="22"/>
      <c r="V57" s="24">
        <f>+[1]EDUCACIÓN!F45</f>
        <v>159.485660924353</v>
      </c>
      <c r="W57" s="25">
        <f>+[1]EDUCACIÓN!G45</f>
        <v>128.36696816368553</v>
      </c>
      <c r="X57" s="26">
        <f>IF(W57=0,"---",IF(OR(ABS((V57-W57)/ABS(W57))&gt;9,(V57*W57)&lt;0),"---",IF(W57="0","---",((V57-W57)/ABS(W57)))))</f>
        <v>0.2424197845117512</v>
      </c>
      <c r="Y57" s="22"/>
      <c r="Z57" s="22"/>
      <c r="AA57" s="27"/>
      <c r="AB57" s="27"/>
      <c r="AC57" s="27"/>
      <c r="AD57" s="27"/>
      <c r="AE57" s="27"/>
      <c r="AF57" s="28"/>
      <c r="AJ57" s="52"/>
      <c r="AK57" s="53"/>
      <c r="AL57" s="27"/>
      <c r="AM57" s="27"/>
      <c r="AN57" s="28"/>
      <c r="AO57" s="22"/>
      <c r="AP57" s="22"/>
      <c r="AQ57" s="27"/>
      <c r="AR57" s="27"/>
      <c r="AS57" s="27"/>
      <c r="AT57" s="28"/>
      <c r="AU57" s="27"/>
      <c r="AV57" s="28"/>
    </row>
    <row r="58" spans="4:51" ht="15.75" customHeight="1" x14ac:dyDescent="0.35">
      <c r="D58" s="29" t="str">
        <f>+IF($B$3="esp","España","Spain")</f>
        <v>Spain</v>
      </c>
      <c r="F58" s="30">
        <f>+[1]GRUPO!F59</f>
        <v>83.33991376000003</v>
      </c>
      <c r="G58" s="31">
        <f>+[1]GRUPO!G59</f>
        <v>67.329898539999931</v>
      </c>
      <c r="H58" s="32">
        <f t="shared" ref="H58:H74" si="3">IF(G58=0,"---",IF(OR(ABS((F58-G58)/ABS(G58))&gt;9,(F58*G58)&lt;0),"---",IF(G58="0","---",((F58-G58)/ABS(G58)))))</f>
        <v>0.23778463308523673</v>
      </c>
      <c r="K58" s="33"/>
      <c r="L58" s="33"/>
      <c r="M58" s="33"/>
      <c r="N58" s="33"/>
      <c r="O58" s="33"/>
      <c r="P58" s="34"/>
      <c r="T58" s="29" t="str">
        <f>+IF($B$3="esp","Privado","Private")</f>
        <v>Private</v>
      </c>
      <c r="V58" s="30">
        <f>+[1]EDUCACIÓN!F46</f>
        <v>131.92805321844111</v>
      </c>
      <c r="W58" s="31">
        <f>+[1]EDUCACIÓN!G46</f>
        <v>113.03773319406532</v>
      </c>
      <c r="X58" s="32">
        <f t="shared" ref="X58:X74" si="4">IF(W58=0,"---",IF(OR(ABS((V58-W58)/ABS(W58))&gt;9,(V58*W58)&lt;0),"---",IF(W58="0","---",((V58-W58)/ABS(W58)))))</f>
        <v>0.16711517022324326</v>
      </c>
      <c r="AA58" s="33"/>
      <c r="AB58" s="33"/>
      <c r="AC58" s="33"/>
      <c r="AD58" s="33"/>
      <c r="AE58" s="33"/>
      <c r="AF58" s="34"/>
      <c r="AJ58" s="54"/>
      <c r="AK58" s="21"/>
      <c r="AL58" s="33"/>
      <c r="AM58" s="33"/>
      <c r="AN58" s="34"/>
      <c r="AQ58" s="33"/>
      <c r="AR58" s="33"/>
      <c r="AS58" s="33"/>
      <c r="AT58" s="34"/>
      <c r="AU58" s="33"/>
      <c r="AV58" s="34"/>
    </row>
    <row r="59" spans="4:51" ht="15.75" customHeight="1" x14ac:dyDescent="0.35">
      <c r="D59" s="29" t="str">
        <f>+IF($B$3="esp","Internacional","International")</f>
        <v>International</v>
      </c>
      <c r="F59" s="30">
        <f>+[1]GRUPO!F60</f>
        <v>174.44014446967591</v>
      </c>
      <c r="G59" s="31">
        <f>+[1]GRUPO!G60</f>
        <v>143.25745980039528</v>
      </c>
      <c r="H59" s="32">
        <f t="shared" si="3"/>
        <v>0.21766883702062259</v>
      </c>
      <c r="K59" s="33"/>
      <c r="L59" s="33"/>
      <c r="M59" s="33"/>
      <c r="N59" s="33"/>
      <c r="O59" s="33"/>
      <c r="P59" s="34"/>
      <c r="T59" s="29" t="str">
        <f>+IF($B$3="esp","Público","Public")</f>
        <v>Public</v>
      </c>
      <c r="V59" s="30">
        <f>+[1]EDUCACIÓN!F47</f>
        <v>27.557607705911892</v>
      </c>
      <c r="W59" s="31">
        <f>+[1]EDUCACIÓN!G47</f>
        <v>15.329234969620195</v>
      </c>
      <c r="X59" s="32">
        <f t="shared" si="4"/>
        <v>0.79771578689518075</v>
      </c>
      <c r="AA59" s="33"/>
      <c r="AB59" s="33"/>
      <c r="AC59" s="33"/>
      <c r="AD59" s="33"/>
      <c r="AE59" s="33"/>
      <c r="AF59" s="34"/>
      <c r="AJ59" s="54"/>
      <c r="AK59" s="21"/>
      <c r="AL59" s="33"/>
      <c r="AM59" s="33"/>
      <c r="AN59" s="34"/>
      <c r="AQ59" s="33"/>
      <c r="AR59" s="33"/>
      <c r="AS59" s="33"/>
      <c r="AT59" s="34"/>
      <c r="AU59" s="33"/>
      <c r="AV59" s="34"/>
    </row>
    <row r="60" spans="4:51" ht="15.75" customHeight="1" x14ac:dyDescent="0.35">
      <c r="D60" s="23" t="str">
        <f>+IF($B$3="esp","Gastos de Explotación","Expenses")</f>
        <v>Expenses</v>
      </c>
      <c r="E60" s="22"/>
      <c r="F60" s="24">
        <f>+[1]GRUPO!F61</f>
        <v>193.95268546494344</v>
      </c>
      <c r="G60" s="25">
        <f>+[1]GRUPO!G61</f>
        <v>169.29717417319864</v>
      </c>
      <c r="H60" s="26">
        <f t="shared" si="3"/>
        <v>0.14563451169315503</v>
      </c>
      <c r="I60" s="10"/>
      <c r="J60" s="10"/>
      <c r="K60" s="36"/>
      <c r="L60" s="36"/>
      <c r="M60" s="36"/>
      <c r="N60" s="36"/>
      <c r="O60" s="36"/>
      <c r="P60" s="37"/>
      <c r="T60" s="23" t="str">
        <f>+IF($B$3="esp","Gastos de Explotación","Expenses")</f>
        <v>Expenses</v>
      </c>
      <c r="U60" s="22"/>
      <c r="V60" s="24">
        <f>+[1]EDUCACIÓN!F48</f>
        <v>95.673399691793961</v>
      </c>
      <c r="W60" s="25">
        <f>+[1]EDUCACIÓN!G48</f>
        <v>83.824763144078787</v>
      </c>
      <c r="X60" s="26">
        <f t="shared" si="4"/>
        <v>0.1413500748859812</v>
      </c>
      <c r="Y60" s="10"/>
      <c r="Z60" s="10"/>
      <c r="AA60" s="36"/>
      <c r="AB60" s="36"/>
      <c r="AC60" s="36"/>
      <c r="AD60" s="36"/>
      <c r="AE60" s="36"/>
      <c r="AF60" s="37"/>
      <c r="AJ60" s="52"/>
      <c r="AK60" s="53"/>
      <c r="AL60" s="27"/>
      <c r="AM60" s="27"/>
      <c r="AN60" s="28"/>
      <c r="AO60" s="10"/>
      <c r="AP60" s="10"/>
      <c r="AQ60" s="36"/>
      <c r="AR60" s="27"/>
      <c r="AS60" s="27"/>
      <c r="AT60" s="28"/>
      <c r="AU60" s="36"/>
      <c r="AV60" s="37"/>
    </row>
    <row r="61" spans="4:51" ht="15.75" customHeight="1" x14ac:dyDescent="0.35">
      <c r="D61" s="29" t="str">
        <f>+IF($B$3="esp","España","Spain")</f>
        <v>Spain</v>
      </c>
      <c r="F61" s="30">
        <f>+[1]GRUPO!F62</f>
        <v>84.906794140000059</v>
      </c>
      <c r="G61" s="31">
        <f>+[1]GRUPO!G62</f>
        <v>76.383327979999962</v>
      </c>
      <c r="H61" s="32">
        <f t="shared" si="3"/>
        <v>0.11158804395419722</v>
      </c>
      <c r="I61" s="10"/>
      <c r="J61" s="10"/>
      <c r="K61" s="36"/>
      <c r="L61" s="36"/>
      <c r="M61" s="36"/>
      <c r="N61" s="36"/>
      <c r="O61" s="36"/>
      <c r="P61" s="37"/>
      <c r="T61" s="29" t="str">
        <f>+IF($B$3="esp","Privado","Private")</f>
        <v>Private</v>
      </c>
      <c r="V61" s="30">
        <f>+[1]EDUCACIÓN!F49</f>
        <v>76.824999339296113</v>
      </c>
      <c r="W61" s="31">
        <f>+[1]EDUCACIÓN!G49</f>
        <v>69.427968015010237</v>
      </c>
      <c r="X61" s="32">
        <f t="shared" si="4"/>
        <v>0.10654252941245015</v>
      </c>
      <c r="Y61" s="10"/>
      <c r="Z61" s="10"/>
      <c r="AA61" s="36"/>
      <c r="AB61" s="36"/>
      <c r="AC61" s="36"/>
      <c r="AD61" s="36"/>
      <c r="AE61" s="36"/>
      <c r="AF61" s="37"/>
      <c r="AJ61" s="54"/>
      <c r="AK61" s="21"/>
      <c r="AL61" s="33"/>
      <c r="AM61" s="33"/>
      <c r="AN61" s="34"/>
      <c r="AO61" s="10"/>
      <c r="AP61" s="10"/>
      <c r="AQ61" s="36"/>
      <c r="AR61" s="33"/>
      <c r="AS61" s="33"/>
      <c r="AT61" s="34"/>
      <c r="AU61" s="36"/>
      <c r="AV61" s="37"/>
    </row>
    <row r="62" spans="4:51" ht="15.75" customHeight="1" x14ac:dyDescent="0.35">
      <c r="D62" s="29" t="str">
        <f>+IF($B$3="esp","Internacional","International")</f>
        <v>International</v>
      </c>
      <c r="F62" s="30">
        <f>+[1]GRUPO!F63</f>
        <v>109.04589132494338</v>
      </c>
      <c r="G62" s="31">
        <f>+[1]GRUPO!G63</f>
        <v>92.91384619319868</v>
      </c>
      <c r="H62" s="32">
        <f t="shared" si="3"/>
        <v>0.17362369326742577</v>
      </c>
      <c r="I62" s="22"/>
      <c r="J62" s="22"/>
      <c r="K62" s="27"/>
      <c r="L62" s="27"/>
      <c r="M62" s="27"/>
      <c r="N62" s="27"/>
      <c r="O62" s="27"/>
      <c r="P62" s="28"/>
      <c r="T62" s="29" t="str">
        <f>+IF($B$3="esp","Público","Public")</f>
        <v>Public</v>
      </c>
      <c r="V62" s="30">
        <f>+[1]EDUCACIÓN!F50</f>
        <v>18.848400352497848</v>
      </c>
      <c r="W62" s="31">
        <f>+[1]EDUCACIÓN!G50</f>
        <v>14.396795129068547</v>
      </c>
      <c r="X62" s="32">
        <f t="shared" si="4"/>
        <v>0.30920806912373655</v>
      </c>
      <c r="Y62" s="22"/>
      <c r="Z62" s="22"/>
      <c r="AA62" s="27"/>
      <c r="AB62" s="27"/>
      <c r="AC62" s="27"/>
      <c r="AD62" s="27"/>
      <c r="AE62" s="27"/>
      <c r="AF62" s="28"/>
      <c r="AJ62" s="54"/>
      <c r="AK62" s="21"/>
      <c r="AL62" s="33"/>
      <c r="AM62" s="33"/>
      <c r="AN62" s="34"/>
      <c r="AO62" s="22"/>
      <c r="AP62" s="22"/>
      <c r="AQ62" s="27"/>
      <c r="AR62" s="33"/>
      <c r="AS62" s="33"/>
      <c r="AT62" s="34"/>
      <c r="AU62" s="27"/>
      <c r="AV62" s="28"/>
    </row>
    <row r="63" spans="4:51" ht="15.75" customHeight="1" x14ac:dyDescent="0.35">
      <c r="D63" s="23" t="str">
        <f>+IF($B$3="esp","EBITDA","EBITDA")</f>
        <v>EBITDA</v>
      </c>
      <c r="E63" s="22"/>
      <c r="F63" s="24">
        <f>+[1]GRUPO!F64</f>
        <v>63.827372764732502</v>
      </c>
      <c r="G63" s="25">
        <f>+[1]GRUPO!G64</f>
        <v>41.290184167196557</v>
      </c>
      <c r="H63" s="26">
        <f t="shared" si="3"/>
        <v>0.54582436605940021</v>
      </c>
      <c r="K63" s="33"/>
      <c r="L63" s="33"/>
      <c r="M63" s="33"/>
      <c r="N63" s="33"/>
      <c r="O63" s="33"/>
      <c r="P63" s="34"/>
      <c r="T63" s="23" t="str">
        <f>+IF($B$3="esp","EBITDA Contable","Reported EBITDA")</f>
        <v>Reported EBITDA</v>
      </c>
      <c r="U63" s="22"/>
      <c r="V63" s="24">
        <f>+[1]EDUCACIÓN!F51</f>
        <v>63.812261232559038</v>
      </c>
      <c r="W63" s="25">
        <f>+[1]EDUCACIÓN!G51</f>
        <v>44.54220501960674</v>
      </c>
      <c r="X63" s="26">
        <f t="shared" si="4"/>
        <v>0.43262465799503952</v>
      </c>
      <c r="AA63" s="33"/>
      <c r="AB63" s="33"/>
      <c r="AC63" s="33"/>
      <c r="AD63" s="33"/>
      <c r="AE63" s="33"/>
      <c r="AF63" s="34"/>
      <c r="AJ63" s="52"/>
      <c r="AK63" s="53"/>
      <c r="AL63" s="27"/>
      <c r="AM63" s="27"/>
      <c r="AN63" s="28"/>
      <c r="AQ63" s="33"/>
      <c r="AR63" s="27"/>
      <c r="AS63" s="27"/>
      <c r="AT63" s="28"/>
      <c r="AU63" s="33"/>
      <c r="AV63" s="34"/>
    </row>
    <row r="64" spans="4:51" ht="15.75" customHeight="1" x14ac:dyDescent="0.35">
      <c r="D64" s="29" t="str">
        <f>+IF($B$3="esp","España","Spain")</f>
        <v>Spain</v>
      </c>
      <c r="F64" s="30">
        <f>+[1]GRUPO!F65</f>
        <v>-1.566880380000029</v>
      </c>
      <c r="G64" s="31">
        <f>+[1]GRUPO!G65</f>
        <v>-9.0534294400000377</v>
      </c>
      <c r="H64" s="32">
        <f t="shared" si="3"/>
        <v>0.82692963032580691</v>
      </c>
      <c r="K64" s="33"/>
      <c r="L64" s="33"/>
      <c r="M64" s="33"/>
      <c r="N64" s="33"/>
      <c r="O64" s="33"/>
      <c r="P64" s="34"/>
      <c r="T64" s="29" t="str">
        <f>+IF($B$3="esp","Privado","Private")</f>
        <v>Private</v>
      </c>
      <c r="V64" s="30">
        <f>+[1]EDUCACIÓN!F52</f>
        <v>55.103053879144994</v>
      </c>
      <c r="W64" s="31">
        <f>+[1]EDUCACIÓN!G52</f>
        <v>43.609765179055096</v>
      </c>
      <c r="X64" s="32">
        <f t="shared" si="4"/>
        <v>0.26354851150654435</v>
      </c>
      <c r="AA64" s="33"/>
      <c r="AB64" s="33"/>
      <c r="AC64" s="33"/>
      <c r="AD64" s="33"/>
      <c r="AE64" s="33"/>
      <c r="AF64" s="34"/>
      <c r="AJ64" s="54"/>
      <c r="AK64" s="21"/>
      <c r="AL64" s="33"/>
      <c r="AM64" s="33"/>
      <c r="AN64" s="34"/>
      <c r="AQ64" s="33"/>
      <c r="AR64" s="33"/>
      <c r="AS64" s="33"/>
      <c r="AT64" s="34"/>
      <c r="AU64" s="33"/>
      <c r="AV64" s="34"/>
    </row>
    <row r="65" spans="4:48" ht="15.75" customHeight="1" x14ac:dyDescent="0.35">
      <c r="D65" s="29" t="str">
        <f>+IF($B$3="esp","Internacional","International")</f>
        <v>International</v>
      </c>
      <c r="F65" s="30">
        <f>+[1]GRUPO!F66</f>
        <v>65.394253144732531</v>
      </c>
      <c r="G65" s="31">
        <f>+[1]GRUPO!G66</f>
        <v>50.343613607196595</v>
      </c>
      <c r="H65" s="32">
        <f t="shared" si="3"/>
        <v>0.29895826817216103</v>
      </c>
      <c r="K65" s="36"/>
      <c r="L65" s="36"/>
      <c r="M65" s="36"/>
      <c r="N65" s="36"/>
      <c r="O65" s="36"/>
      <c r="P65" s="37"/>
      <c r="T65" s="29" t="str">
        <f>+IF($B$3="esp","Público","Public")</f>
        <v>Public</v>
      </c>
      <c r="V65" s="30">
        <f>+[1]EDUCACIÓN!F53</f>
        <v>8.7092073534140457</v>
      </c>
      <c r="W65" s="31">
        <f>+[1]EDUCACIÓN!G53</f>
        <v>0.9324398405516483</v>
      </c>
      <c r="X65" s="32">
        <f t="shared" si="4"/>
        <v>8.3402351279429681</v>
      </c>
      <c r="AA65" s="36"/>
      <c r="AB65" s="36"/>
      <c r="AC65" s="36"/>
      <c r="AD65" s="36"/>
      <c r="AE65" s="36"/>
      <c r="AF65" s="37"/>
      <c r="AJ65" s="54"/>
      <c r="AK65" s="21"/>
      <c r="AL65" s="33"/>
      <c r="AM65" s="33"/>
      <c r="AN65" s="34"/>
      <c r="AQ65" s="36"/>
      <c r="AR65" s="33"/>
      <c r="AS65" s="33"/>
      <c r="AT65" s="34"/>
      <c r="AU65" s="36"/>
      <c r="AV65" s="37"/>
    </row>
    <row r="66" spans="4:48" ht="15.75" customHeight="1" x14ac:dyDescent="0.35">
      <c r="D66" s="38" t="str">
        <f>+IF($B$3="esp","Margen EBITDA ","EBITDA Margin")</f>
        <v>EBITDA Margin</v>
      </c>
      <c r="E66" s="39"/>
      <c r="F66" s="40">
        <f>+F63/F57</f>
        <v>0.24760399700066721</v>
      </c>
      <c r="G66" s="41">
        <f>+G63/G57</f>
        <v>0.19607152344090262</v>
      </c>
      <c r="H66" s="42">
        <f t="shared" si="3"/>
        <v>0.26282487459376963</v>
      </c>
      <c r="K66" s="36"/>
      <c r="L66" s="36"/>
      <c r="M66" s="36"/>
      <c r="N66" s="36"/>
      <c r="O66" s="36"/>
      <c r="P66" s="37"/>
      <c r="T66" s="38" t="str">
        <f>+IF($B$3="esp","Margen EBITDA ","EBITDA Margin")</f>
        <v>EBITDA Margin</v>
      </c>
      <c r="U66" s="39"/>
      <c r="V66" s="40">
        <f>+V63/V57</f>
        <v>0.40011284314033957</v>
      </c>
      <c r="W66" s="41">
        <f>+W63/W57</f>
        <v>0.34699117426228615</v>
      </c>
      <c r="X66" s="42">
        <f t="shared" si="4"/>
        <v>0.15309227674447834</v>
      </c>
      <c r="AA66" s="36"/>
      <c r="AB66" s="36"/>
      <c r="AC66" s="36"/>
      <c r="AD66" s="36"/>
      <c r="AE66" s="36"/>
      <c r="AF66" s="37"/>
      <c r="AJ66" s="55"/>
      <c r="AK66" s="56"/>
      <c r="AL66" s="43"/>
      <c r="AM66" s="43"/>
      <c r="AN66" s="44"/>
      <c r="AQ66" s="36"/>
      <c r="AR66" s="43"/>
      <c r="AS66" s="43"/>
      <c r="AT66" s="44"/>
      <c r="AU66" s="36"/>
      <c r="AV66" s="37"/>
    </row>
    <row r="67" spans="4:48" ht="15.75" customHeight="1" x14ac:dyDescent="0.35">
      <c r="D67" s="23" t="str">
        <f>+IF($B$3="esp","EBITDA sin indemnizaciones","EBITDA ex severance expenses")</f>
        <v>EBITDA ex severance expenses</v>
      </c>
      <c r="E67" s="22"/>
      <c r="F67" s="24">
        <f>+[1]GRUPO!F68</f>
        <v>65.741828812859026</v>
      </c>
      <c r="G67" s="25">
        <f>+[1]GRUPO!G68</f>
        <v>43.777987223239201</v>
      </c>
      <c r="H67" s="26">
        <f t="shared" si="3"/>
        <v>0.50170971720601376</v>
      </c>
      <c r="I67" s="22"/>
      <c r="J67" s="22"/>
      <c r="K67" s="27"/>
      <c r="L67" s="27"/>
      <c r="M67" s="27"/>
      <c r="N67" s="27"/>
      <c r="O67" s="27"/>
      <c r="P67" s="28"/>
      <c r="T67" s="23" t="str">
        <f>+IF($B$3="esp","EBITDA sin indemnizaciones","EBITDA ex severance expenses")</f>
        <v>EBITDA ex severance expenses</v>
      </c>
      <c r="U67" s="22"/>
      <c r="V67" s="24">
        <f>+[1]EDUCACIÓN!F55</f>
        <v>64.747686118887017</v>
      </c>
      <c r="W67" s="25">
        <f>+[1]EDUCACIÓN!G55</f>
        <v>45.235841776012464</v>
      </c>
      <c r="X67" s="26">
        <f t="shared" si="4"/>
        <v>0.4313359401929211</v>
      </c>
      <c r="Y67" s="22"/>
      <c r="Z67" s="22"/>
      <c r="AA67" s="27"/>
      <c r="AB67" s="27"/>
      <c r="AC67" s="27"/>
      <c r="AD67" s="27"/>
      <c r="AE67" s="27"/>
      <c r="AF67" s="28"/>
      <c r="AJ67" s="52"/>
      <c r="AK67" s="53"/>
      <c r="AL67" s="27"/>
      <c r="AM67" s="27"/>
      <c r="AN67" s="28"/>
      <c r="AO67" s="22"/>
      <c r="AP67" s="22"/>
      <c r="AQ67" s="27"/>
      <c r="AR67" s="27"/>
      <c r="AS67" s="27"/>
      <c r="AT67" s="28"/>
      <c r="AU67" s="27"/>
      <c r="AV67" s="28"/>
    </row>
    <row r="68" spans="4:48" ht="15.75" customHeight="1" x14ac:dyDescent="0.35">
      <c r="D68" s="29" t="str">
        <f>+IF($B$3="esp","España","Spain")</f>
        <v>Spain</v>
      </c>
      <c r="F68" s="30">
        <f>+[1]GRUPO!F69</f>
        <v>-0.63073628000003623</v>
      </c>
      <c r="G68" s="31">
        <f>+[1]GRUPO!G69</f>
        <v>-7.1762125900000413</v>
      </c>
      <c r="H68" s="32">
        <f t="shared" si="3"/>
        <v>0.91210735856976155</v>
      </c>
      <c r="K68" s="33"/>
      <c r="L68" s="33"/>
      <c r="M68" s="33"/>
      <c r="N68" s="33"/>
      <c r="O68" s="33"/>
      <c r="P68" s="34"/>
      <c r="T68" s="29" t="str">
        <f>+IF($B$3="esp","Privado","Private")</f>
        <v>Private</v>
      </c>
      <c r="V68" s="30">
        <f>+[1]EDUCACIÓN!F56</f>
        <v>55.675987445940429</v>
      </c>
      <c r="W68" s="31">
        <f>+[1]EDUCACIÓN!G56</f>
        <v>44.098457863343747</v>
      </c>
      <c r="X68" s="32">
        <f t="shared" si="4"/>
        <v>0.2625381961989276</v>
      </c>
      <c r="AA68" s="33"/>
      <c r="AB68" s="33"/>
      <c r="AC68" s="33"/>
      <c r="AD68" s="33"/>
      <c r="AE68" s="33"/>
      <c r="AF68" s="34"/>
      <c r="AJ68" s="54"/>
      <c r="AK68" s="21"/>
      <c r="AL68" s="33"/>
      <c r="AM68" s="33"/>
      <c r="AN68" s="34"/>
      <c r="AQ68" s="33"/>
      <c r="AR68" s="33"/>
      <c r="AS68" s="33"/>
      <c r="AT68" s="34"/>
      <c r="AU68" s="33"/>
      <c r="AV68" s="34"/>
    </row>
    <row r="69" spans="4:48" ht="15.75" customHeight="1" x14ac:dyDescent="0.35">
      <c r="D69" s="29" t="str">
        <f>+IF($B$3="esp","Internacional","International")</f>
        <v>International</v>
      </c>
      <c r="F69" s="30">
        <f>+[1]GRUPO!F70</f>
        <v>66.372565092859062</v>
      </c>
      <c r="G69" s="31">
        <f>+[1]GRUPO!G70</f>
        <v>50.954199813239242</v>
      </c>
      <c r="H69" s="32">
        <f t="shared" si="3"/>
        <v>0.30259262899098111</v>
      </c>
      <c r="K69" s="33"/>
      <c r="L69" s="33"/>
      <c r="M69" s="33"/>
      <c r="N69" s="33"/>
      <c r="O69" s="33"/>
      <c r="P69" s="34"/>
      <c r="T69" s="29" t="str">
        <f>+IF($B$3="esp","Público","Public")</f>
        <v>Public</v>
      </c>
      <c r="V69" s="30">
        <f>+[1]EDUCACIÓN!F57</f>
        <v>9.0716986729465852</v>
      </c>
      <c r="W69" s="31">
        <f>+[1]EDUCACIÓN!G57</f>
        <v>1.1373839126687153</v>
      </c>
      <c r="X69" s="32">
        <f t="shared" si="4"/>
        <v>6.9759336947724968</v>
      </c>
      <c r="AA69" s="33"/>
      <c r="AB69" s="33"/>
      <c r="AC69" s="33"/>
      <c r="AD69" s="33"/>
      <c r="AE69" s="33"/>
      <c r="AF69" s="34"/>
      <c r="AJ69" s="54"/>
      <c r="AK69" s="21"/>
      <c r="AL69" s="33"/>
      <c r="AM69" s="33"/>
      <c r="AN69" s="34"/>
      <c r="AQ69" s="33"/>
      <c r="AR69" s="33"/>
      <c r="AS69" s="33"/>
      <c r="AT69" s="34"/>
      <c r="AU69" s="33"/>
      <c r="AV69" s="34"/>
    </row>
    <row r="70" spans="4:48" ht="15.75" customHeight="1" x14ac:dyDescent="0.35">
      <c r="D70" s="38" t="str">
        <f>+IF($B$3="esp","Margen EBITDA sin indemnizaciones ","EBITDA ex severance expenses Margin")</f>
        <v>EBITDA ex severance expenses Margin</v>
      </c>
      <c r="E70" s="39"/>
      <c r="F70" s="40">
        <f>+F67/F57</f>
        <v>0.2550307004519512</v>
      </c>
      <c r="G70" s="41">
        <f>+G67/G57</f>
        <v>0.20788516256743239</v>
      </c>
      <c r="H70" s="42">
        <f t="shared" si="3"/>
        <v>0.22678644931778646</v>
      </c>
      <c r="K70" s="36"/>
      <c r="L70" s="36"/>
      <c r="M70" s="36"/>
      <c r="N70" s="36"/>
      <c r="O70" s="36"/>
      <c r="P70" s="37"/>
      <c r="T70" s="38" t="str">
        <f>+IF($B$3="esp","Margen EBITDA sin indemnizaciones ","EBITDA ex severance expenses Margin")</f>
        <v>EBITDA ex severance expenses Margin</v>
      </c>
      <c r="U70" s="39"/>
      <c r="V70" s="40">
        <f>+V67/V57</f>
        <v>0.40597810325780975</v>
      </c>
      <c r="W70" s="41">
        <f>+W67/W57</f>
        <v>0.35239471978749665</v>
      </c>
      <c r="X70" s="42">
        <f t="shared" si="4"/>
        <v>0.15205501235269731</v>
      </c>
      <c r="AA70" s="36"/>
      <c r="AB70" s="36"/>
      <c r="AC70" s="36"/>
      <c r="AD70" s="36"/>
      <c r="AE70" s="36"/>
      <c r="AF70" s="37"/>
      <c r="AJ70" s="55"/>
      <c r="AK70" s="56"/>
      <c r="AL70" s="43"/>
      <c r="AM70" s="43"/>
      <c r="AN70" s="44"/>
      <c r="AQ70" s="36"/>
      <c r="AR70" s="43"/>
      <c r="AS70" s="43"/>
      <c r="AT70" s="44"/>
      <c r="AU70" s="36"/>
      <c r="AV70" s="37"/>
    </row>
    <row r="71" spans="4:48" ht="15.75" customHeight="1" x14ac:dyDescent="0.35">
      <c r="D71" s="23" t="str">
        <f>+IF($B$3="esp","Resultado de explotación contable (EBIT)","Reported Operating Result (EBIT)")</f>
        <v>Reported Operating Result (EBIT)</v>
      </c>
      <c r="E71" s="22"/>
      <c r="F71" s="24">
        <f>+[1]GRUPO!F72</f>
        <v>48.696071676767303</v>
      </c>
      <c r="G71" s="25">
        <f>+[1]GRUPO!G72</f>
        <v>23.802381323951387</v>
      </c>
      <c r="H71" s="26">
        <f t="shared" si="3"/>
        <v>1.0458487331167319</v>
      </c>
      <c r="K71" s="36"/>
      <c r="L71" s="36"/>
      <c r="M71" s="36"/>
      <c r="N71" s="36"/>
      <c r="O71" s="36"/>
      <c r="P71" s="37"/>
      <c r="T71" s="23" t="str">
        <f>+IF($B$3="esp","Resultado de explotación contable (EBIT)","Reported Operating Result (EBIT)")</f>
        <v>Reported Operating Result (EBIT)</v>
      </c>
      <c r="U71" s="22"/>
      <c r="V71" s="24">
        <f>+[1]EDUCACIÓN!F59</f>
        <v>55.052107954019384</v>
      </c>
      <c r="W71" s="25">
        <f>+[1]EDUCACIÓN!G59</f>
        <v>34.336371548468485</v>
      </c>
      <c r="X71" s="26">
        <f t="shared" si="4"/>
        <v>0.60331757466886127</v>
      </c>
      <c r="AA71" s="36"/>
      <c r="AB71" s="36"/>
      <c r="AC71" s="36"/>
      <c r="AD71" s="36"/>
      <c r="AE71" s="36"/>
      <c r="AF71" s="37"/>
      <c r="AJ71" s="52"/>
      <c r="AK71" s="53"/>
      <c r="AL71" s="27"/>
      <c r="AM71" s="27"/>
      <c r="AN71" s="28"/>
      <c r="AQ71" s="36"/>
      <c r="AR71" s="27"/>
      <c r="AS71" s="27"/>
      <c r="AT71" s="28"/>
      <c r="AU71" s="36"/>
      <c r="AV71" s="37"/>
    </row>
    <row r="72" spans="4:48" ht="15.75" customHeight="1" x14ac:dyDescent="0.35">
      <c r="D72" s="29" t="str">
        <f>+IF($B$3="esp","España","Spain")</f>
        <v>Spain</v>
      </c>
      <c r="F72" s="30">
        <f>+[1]GRUPO!F73</f>
        <v>-7.2685806099999795</v>
      </c>
      <c r="G72" s="31">
        <f>+[1]GRUPO!G73</f>
        <v>-15.574103380000089</v>
      </c>
      <c r="H72" s="32">
        <f t="shared" si="3"/>
        <v>0.53329058934242557</v>
      </c>
      <c r="I72" s="39"/>
      <c r="J72" s="39"/>
      <c r="K72" s="43"/>
      <c r="L72" s="43"/>
      <c r="M72" s="43"/>
      <c r="N72" s="43"/>
      <c r="O72" s="43"/>
      <c r="P72" s="44"/>
      <c r="T72" s="29" t="str">
        <f>+IF($B$3="esp","Privado","Private")</f>
        <v>Private</v>
      </c>
      <c r="V72" s="30">
        <f>+[1]EDUCACIÓN!F60</f>
        <v>48.526523539686892</v>
      </c>
      <c r="W72" s="31">
        <f>+[1]EDUCACIÓN!G60</f>
        <v>34.675273813353236</v>
      </c>
      <c r="X72" s="32">
        <f t="shared" si="4"/>
        <v>0.39945610237689383</v>
      </c>
      <c r="Y72" s="39"/>
      <c r="Z72" s="39"/>
      <c r="AA72" s="43"/>
      <c r="AB72" s="43"/>
      <c r="AC72" s="43"/>
      <c r="AD72" s="43"/>
      <c r="AE72" s="43"/>
      <c r="AF72" s="44"/>
      <c r="AJ72" s="54"/>
      <c r="AK72" s="21"/>
      <c r="AL72" s="33"/>
      <c r="AM72" s="33"/>
      <c r="AN72" s="34"/>
      <c r="AO72" s="39"/>
      <c r="AP72" s="39"/>
      <c r="AQ72" s="43"/>
      <c r="AR72" s="33"/>
      <c r="AS72" s="33"/>
      <c r="AT72" s="34"/>
      <c r="AU72" s="43"/>
      <c r="AV72" s="44"/>
    </row>
    <row r="73" spans="4:48" ht="15.75" customHeight="1" x14ac:dyDescent="0.35">
      <c r="D73" s="29" t="str">
        <f>+IF($B$3="esp","Internacional","International")</f>
        <v>International</v>
      </c>
      <c r="F73" s="30">
        <f>+[1]GRUPO!F74</f>
        <v>55.964652286767283</v>
      </c>
      <c r="G73" s="31">
        <f>+[1]GRUPO!G74</f>
        <v>39.376484703951476</v>
      </c>
      <c r="H73" s="32">
        <f t="shared" si="3"/>
        <v>0.42127091098995856</v>
      </c>
      <c r="I73" s="22"/>
      <c r="J73" s="22"/>
      <c r="K73" s="27"/>
      <c r="L73" s="27"/>
      <c r="M73" s="27"/>
      <c r="N73" s="27"/>
      <c r="O73" s="27"/>
      <c r="P73" s="28"/>
      <c r="T73" s="29" t="str">
        <f>+IF($B$3="esp","Público","Public")</f>
        <v>Public</v>
      </c>
      <c r="V73" s="30">
        <f>+[1]EDUCACIÓN!F61</f>
        <v>6.5255844143324957</v>
      </c>
      <c r="W73" s="31">
        <f>+[1]EDUCACIÓN!G61</f>
        <v>-0.3389022648847469</v>
      </c>
      <c r="X73" s="32" t="str">
        <f t="shared" si="4"/>
        <v>---</v>
      </c>
      <c r="Y73" s="22"/>
      <c r="Z73" s="22"/>
      <c r="AA73" s="27"/>
      <c r="AB73" s="27"/>
      <c r="AC73" s="27"/>
      <c r="AD73" s="27"/>
      <c r="AE73" s="27"/>
      <c r="AF73" s="28"/>
      <c r="AJ73" s="54"/>
      <c r="AK73" s="21"/>
      <c r="AL73" s="33"/>
      <c r="AM73" s="33"/>
      <c r="AN73" s="34"/>
      <c r="AO73" s="22"/>
      <c r="AP73" s="22"/>
      <c r="AQ73" s="27"/>
      <c r="AR73" s="33"/>
      <c r="AS73" s="33"/>
      <c r="AT73" s="34"/>
      <c r="AU73" s="27"/>
      <c r="AV73" s="28"/>
    </row>
    <row r="74" spans="4:48" ht="15.75" customHeight="1" x14ac:dyDescent="0.35">
      <c r="D74" s="38" t="str">
        <f>+IF($B$3="esp","Margen EBIT ","EBIT Margin")</f>
        <v>EBIT Margin</v>
      </c>
      <c r="E74" s="39"/>
      <c r="F74" s="40">
        <f>+F71/F57</f>
        <v>0.1889055034403796</v>
      </c>
      <c r="G74" s="41">
        <f>+G71/G57</f>
        <v>0.11302853842478527</v>
      </c>
      <c r="H74" s="42">
        <f t="shared" si="3"/>
        <v>0.67130802603527051</v>
      </c>
      <c r="K74" s="33"/>
      <c r="L74" s="33"/>
      <c r="M74" s="33"/>
      <c r="N74" s="33"/>
      <c r="O74" s="33"/>
      <c r="P74" s="34"/>
      <c r="T74" s="38" t="str">
        <f>+IF($B$3="esp","Margen EBIT ","EBIT Margin")</f>
        <v>EBIT Margin</v>
      </c>
      <c r="U74" s="39"/>
      <c r="V74" s="40">
        <f>+V71/V57</f>
        <v>0.34518531405862007</v>
      </c>
      <c r="W74" s="41">
        <f>+W71/W57</f>
        <v>0.26748603663120635</v>
      </c>
      <c r="X74" s="42">
        <f t="shared" si="4"/>
        <v>0.29047975141424232</v>
      </c>
      <c r="AA74" s="33"/>
      <c r="AB74" s="33"/>
      <c r="AC74" s="33"/>
      <c r="AD74" s="33"/>
      <c r="AE74" s="33"/>
      <c r="AF74" s="34"/>
      <c r="AJ74" s="55"/>
      <c r="AK74" s="56"/>
      <c r="AL74" s="43"/>
      <c r="AM74" s="43"/>
      <c r="AN74" s="44"/>
      <c r="AQ74" s="33"/>
      <c r="AR74" s="43"/>
      <c r="AS74" s="43"/>
      <c r="AT74" s="44"/>
      <c r="AU74" s="33"/>
      <c r="AV74" s="34"/>
    </row>
    <row r="75" spans="4:48" ht="15.75" customHeight="1" x14ac:dyDescent="0.35">
      <c r="K75" s="33"/>
      <c r="L75" s="33"/>
      <c r="M75" s="33"/>
      <c r="N75" s="33"/>
      <c r="O75" s="33"/>
      <c r="P75" s="34"/>
      <c r="T75" s="35"/>
      <c r="V75" s="45"/>
      <c r="W75" s="45"/>
      <c r="X75" s="46"/>
      <c r="AA75" s="33"/>
      <c r="AB75" s="33"/>
      <c r="AC75" s="33"/>
      <c r="AD75" s="33"/>
      <c r="AE75" s="33"/>
      <c r="AF75" s="34"/>
      <c r="AQ75" s="33"/>
      <c r="AU75" s="33"/>
      <c r="AV75" s="34"/>
    </row>
    <row r="76" spans="4:48" ht="15.75" customHeight="1" x14ac:dyDescent="0.35">
      <c r="D76" s="35"/>
      <c r="F76" s="45"/>
      <c r="G76" s="45"/>
      <c r="H76" s="46"/>
      <c r="K76" s="36"/>
      <c r="L76" s="36"/>
      <c r="M76" s="36"/>
      <c r="N76" s="36"/>
      <c r="O76" s="36"/>
      <c r="P76" s="37"/>
      <c r="T76" s="35"/>
      <c r="V76" s="45"/>
      <c r="W76" s="45"/>
      <c r="X76" s="46"/>
      <c r="AA76" s="36"/>
      <c r="AB76" s="36"/>
      <c r="AC76" s="36"/>
      <c r="AD76" s="36"/>
      <c r="AE76" s="36"/>
      <c r="AF76" s="37"/>
      <c r="AJ76" s="35"/>
      <c r="AK76" s="10"/>
      <c r="AL76" s="45"/>
      <c r="AM76" s="45"/>
      <c r="AN76" s="46"/>
      <c r="AQ76" s="36"/>
      <c r="AR76" s="45"/>
      <c r="AS76" s="45"/>
      <c r="AT76" s="46"/>
      <c r="AU76" s="36"/>
      <c r="AV76" s="37"/>
    </row>
    <row r="77" spans="4:48" x14ac:dyDescent="0.35">
      <c r="K77" s="21"/>
      <c r="L77" s="21"/>
      <c r="M77" s="21"/>
      <c r="N77" s="21"/>
      <c r="O77" s="21"/>
      <c r="P77" s="21"/>
      <c r="AA77" s="21"/>
      <c r="AB77" s="21"/>
      <c r="AC77" s="21"/>
      <c r="AD77" s="21"/>
      <c r="AE77" s="21"/>
      <c r="AF77" s="21"/>
      <c r="AQ77" s="21"/>
      <c r="AU77" s="21"/>
      <c r="AV77" s="21"/>
    </row>
    <row r="78" spans="4:48" x14ac:dyDescent="0.35">
      <c r="K78" s="21"/>
      <c r="L78" s="21"/>
      <c r="M78" s="21"/>
      <c r="N78" s="21"/>
      <c r="O78" s="21"/>
      <c r="P78" s="21"/>
      <c r="AA78" s="21"/>
      <c r="AB78" s="21"/>
      <c r="AC78" s="21"/>
      <c r="AD78" s="21"/>
      <c r="AE78" s="21"/>
      <c r="AF78" s="21"/>
      <c r="AQ78" s="21"/>
      <c r="AU78" s="21"/>
      <c r="AV78" s="21"/>
    </row>
    <row r="79" spans="4:48" x14ac:dyDescent="0.35">
      <c r="D79" s="57" t="str">
        <f>+IF($B$3="esp","Resultados por Negocio","Perfomance by Business")</f>
        <v>Perfomance by Business</v>
      </c>
      <c r="E79" s="10"/>
      <c r="F79" s="11" t="str">
        <f>+IF($B$3="esp","ENERO - DICIEMBRE","JANUARY - DECEMBER")</f>
        <v>JANUARY - DECEMBER</v>
      </c>
      <c r="G79" s="12"/>
      <c r="H79" s="12"/>
      <c r="I79" s="10"/>
      <c r="J79" s="10"/>
      <c r="K79" s="13"/>
      <c r="L79" s="13"/>
      <c r="M79" s="13"/>
      <c r="N79" s="13"/>
      <c r="O79" s="14"/>
      <c r="P79" s="14"/>
      <c r="T79" s="58"/>
      <c r="U79" s="15"/>
      <c r="V79" s="13"/>
      <c r="W79" s="14"/>
      <c r="X79" s="14"/>
      <c r="Y79" s="10"/>
      <c r="Z79" s="10"/>
      <c r="AA79" s="13"/>
      <c r="AB79" s="13"/>
      <c r="AC79" s="13"/>
      <c r="AD79" s="13"/>
      <c r="AE79" s="14"/>
      <c r="AF79" s="14"/>
      <c r="AO79" s="10"/>
      <c r="AP79" s="10"/>
      <c r="AQ79" s="13"/>
      <c r="AU79" s="14"/>
      <c r="AV79" s="14"/>
    </row>
    <row r="80" spans="4:48" x14ac:dyDescent="0.35">
      <c r="D80" s="59"/>
      <c r="E80" s="10"/>
      <c r="F80" s="10"/>
      <c r="G80" s="10"/>
      <c r="H80" s="10"/>
      <c r="I80" s="10"/>
      <c r="J80" s="10"/>
      <c r="K80" s="15"/>
      <c r="L80" s="15"/>
      <c r="M80" s="15"/>
      <c r="N80" s="15"/>
      <c r="O80" s="15"/>
      <c r="P80" s="15"/>
      <c r="T80" s="58"/>
      <c r="U80" s="15"/>
      <c r="V80" s="15"/>
      <c r="W80" s="15"/>
      <c r="X80" s="15"/>
      <c r="Y80" s="10"/>
      <c r="Z80" s="10"/>
      <c r="AA80" s="15"/>
      <c r="AB80" s="15"/>
      <c r="AC80" s="15"/>
      <c r="AD80" s="15"/>
      <c r="AE80" s="15"/>
      <c r="AF80" s="15"/>
      <c r="AJ80" s="35"/>
      <c r="AL80" s="45"/>
      <c r="AM80" s="45"/>
      <c r="AN80" s="46"/>
      <c r="AO80" s="10"/>
      <c r="AP80" s="10"/>
      <c r="AQ80" s="15"/>
      <c r="AR80" s="45"/>
      <c r="AS80" s="45"/>
      <c r="AT80" s="46"/>
      <c r="AU80" s="15"/>
      <c r="AV80" s="15"/>
    </row>
    <row r="81" spans="1:48" x14ac:dyDescent="0.35">
      <c r="D81" s="16" t="str">
        <f>+IF($B$3="esp","Millones de €","€ Millions")</f>
        <v>€ Millions</v>
      </c>
      <c r="E81" s="10"/>
      <c r="F81" s="17">
        <v>2023</v>
      </c>
      <c r="G81" s="17">
        <v>2022</v>
      </c>
      <c r="H81" s="17" t="str">
        <f>+IF($B$3="esp","Var.","Chg.")</f>
        <v>Chg.</v>
      </c>
      <c r="I81" s="10"/>
      <c r="J81" s="10"/>
      <c r="K81" s="18"/>
      <c r="L81" s="18"/>
      <c r="M81" s="18"/>
      <c r="N81" s="18"/>
      <c r="O81" s="18"/>
      <c r="P81" s="18"/>
      <c r="T81" s="50"/>
      <c r="U81" s="15"/>
      <c r="V81" s="18"/>
      <c r="W81" s="18"/>
      <c r="X81" s="18"/>
      <c r="Y81" s="10"/>
      <c r="Z81" s="10"/>
      <c r="AA81" s="18"/>
      <c r="AB81" s="18"/>
      <c r="AC81" s="18"/>
      <c r="AD81" s="18"/>
      <c r="AE81" s="18"/>
      <c r="AF81" s="18"/>
      <c r="AJ81" s="35"/>
      <c r="AL81" s="45"/>
      <c r="AM81" s="45"/>
      <c r="AN81" s="46"/>
      <c r="AO81" s="10"/>
      <c r="AP81" s="10"/>
      <c r="AQ81" s="18"/>
      <c r="AR81" s="45"/>
      <c r="AS81" s="45"/>
      <c r="AT81" s="46"/>
      <c r="AU81" s="18"/>
      <c r="AV81" s="18"/>
    </row>
    <row r="82" spans="1:48" x14ac:dyDescent="0.35">
      <c r="D82" s="19" t="str">
        <f>+IF($B$3="esp","Ingresos de Explotación","Operating Revenues")</f>
        <v>Operating Revenues</v>
      </c>
      <c r="F82" s="20"/>
      <c r="G82" s="20"/>
      <c r="H82" s="20"/>
      <c r="K82" s="21"/>
      <c r="L82" s="21"/>
      <c r="M82" s="21"/>
      <c r="N82" s="21"/>
      <c r="O82" s="21"/>
      <c r="P82" s="21"/>
      <c r="T82" s="51"/>
      <c r="U82" s="21"/>
      <c r="V82" s="21"/>
      <c r="W82" s="21"/>
      <c r="X82" s="21"/>
      <c r="AA82" s="21"/>
      <c r="AB82" s="21"/>
      <c r="AC82" s="21"/>
      <c r="AD82" s="21"/>
      <c r="AE82" s="21"/>
      <c r="AF82" s="21"/>
      <c r="AQ82" s="21"/>
      <c r="AU82" s="21"/>
      <c r="AV82" s="21"/>
    </row>
    <row r="83" spans="1:48" ht="15.75" customHeight="1" x14ac:dyDescent="0.35">
      <c r="D83" s="23" t="str">
        <f>+IF($B$3="esp","GRUPO","GROUP")</f>
        <v>GROUP</v>
      </c>
      <c r="E83" s="22"/>
      <c r="F83" s="24">
        <f>+[1]GRUPO!F177</f>
        <v>266.91094532520265</v>
      </c>
      <c r="G83" s="25">
        <f>+[1]GRUPO!G177</f>
        <v>210.58735834039521</v>
      </c>
      <c r="H83" s="26">
        <f>IF(G83=0,"---",IF(OR(ABS((F83-G83)/ABS(G83))&gt;9,(F83*G83)&lt;0),"---",IF(G83="0","---",((F83-G83)/ABS(G83)))))</f>
        <v>0.26745948773318817</v>
      </c>
      <c r="I83" s="22"/>
      <c r="J83" s="22"/>
      <c r="K83" s="27"/>
      <c r="L83" s="27"/>
      <c r="M83" s="27"/>
      <c r="N83" s="27"/>
      <c r="O83" s="27"/>
      <c r="P83" s="28"/>
      <c r="T83" s="52"/>
      <c r="U83" s="53"/>
      <c r="V83" s="27"/>
      <c r="W83" s="27"/>
      <c r="X83" s="28"/>
      <c r="Y83" s="22"/>
      <c r="Z83" s="22"/>
      <c r="AA83" s="27"/>
      <c r="AB83" s="27"/>
      <c r="AC83" s="27"/>
      <c r="AD83" s="27"/>
      <c r="AE83" s="27"/>
      <c r="AF83" s="28"/>
      <c r="AJ83" s="35"/>
      <c r="AL83" s="45"/>
      <c r="AM83" s="45"/>
      <c r="AN83" s="46"/>
      <c r="AO83" s="22"/>
      <c r="AP83" s="22"/>
      <c r="AQ83" s="27"/>
      <c r="AR83" s="45"/>
      <c r="AS83" s="45"/>
      <c r="AT83" s="46"/>
      <c r="AU83" s="27"/>
      <c r="AV83" s="28"/>
    </row>
    <row r="84" spans="1:48" ht="15.75" customHeight="1" x14ac:dyDescent="0.35">
      <c r="D84" s="29" t="str">
        <f>+IF($B$3="esp","Educación","Education")</f>
        <v>Education</v>
      </c>
      <c r="F84" s="30">
        <f>+[1]GRUPO!F178</f>
        <v>169.64488761089245</v>
      </c>
      <c r="G84" s="31">
        <f>+[1]GRUPO!G178</f>
        <v>128.36706190343418</v>
      </c>
      <c r="H84" s="32">
        <f t="shared" ref="H84:H88" si="5">IF(G84=0,"---",IF(OR(ABS((F84-G84)/ABS(G84))&gt;9,(F84*G84)&lt;0),"---",IF(G84="0","---",((F84-G84)/ABS(G84)))))</f>
        <v>0.32156088248331233</v>
      </c>
      <c r="K84" s="33"/>
      <c r="L84" s="33"/>
      <c r="M84" s="33"/>
      <c r="N84" s="33"/>
      <c r="O84" s="33"/>
      <c r="P84" s="34"/>
      <c r="T84" s="54"/>
      <c r="U84" s="21"/>
      <c r="V84" s="33"/>
      <c r="W84" s="33"/>
      <c r="X84" s="34"/>
      <c r="AA84" s="33"/>
      <c r="AB84" s="33"/>
      <c r="AC84" s="33"/>
      <c r="AD84" s="33"/>
      <c r="AE84" s="33"/>
      <c r="AF84" s="34"/>
      <c r="AJ84" s="35"/>
      <c r="AL84" s="45"/>
      <c r="AM84" s="45"/>
      <c r="AN84" s="46"/>
      <c r="AQ84" s="33"/>
      <c r="AR84" s="45"/>
      <c r="AS84" s="45"/>
      <c r="AT84" s="46"/>
      <c r="AU84" s="33"/>
      <c r="AV84" s="34"/>
    </row>
    <row r="85" spans="1:48" ht="15.75" customHeight="1" x14ac:dyDescent="0.35">
      <c r="D85" s="29" t="str">
        <f>+IF($B$3="esp","Media","Media")</f>
        <v>Media</v>
      </c>
      <c r="F85" s="30">
        <f>+[1]GRUPO!F179</f>
        <v>97.591869506270172</v>
      </c>
      <c r="G85" s="31">
        <f>+[1]GRUPO!G179</f>
        <v>82.54161002200496</v>
      </c>
      <c r="H85" s="32">
        <f t="shared" si="5"/>
        <v>0.18233542428180075</v>
      </c>
      <c r="K85" s="33"/>
      <c r="L85" s="33"/>
      <c r="M85" s="33"/>
      <c r="N85" s="33"/>
      <c r="O85" s="33"/>
      <c r="P85" s="34"/>
      <c r="T85" s="60"/>
      <c r="U85" s="21"/>
      <c r="V85" s="33"/>
      <c r="W85" s="33"/>
      <c r="X85" s="34"/>
      <c r="AA85" s="33"/>
      <c r="AB85" s="33"/>
      <c r="AC85" s="33"/>
      <c r="AD85" s="33"/>
      <c r="AE85" s="33"/>
      <c r="AF85" s="34"/>
      <c r="AQ85" s="33"/>
      <c r="AU85" s="33"/>
      <c r="AV85" s="34"/>
    </row>
    <row r="86" spans="1:48" ht="15.75" customHeight="1" x14ac:dyDescent="0.35">
      <c r="D86" s="61" t="s">
        <v>8</v>
      </c>
      <c r="F86" s="30">
        <f>+[1]GRUPO!F180</f>
        <v>51.937910270807286</v>
      </c>
      <c r="G86" s="31">
        <f>+[1]GRUPO!G180</f>
        <v>48.402886103268443</v>
      </c>
      <c r="H86" s="32">
        <f t="shared" si="5"/>
        <v>7.3033334417224718E-2</v>
      </c>
      <c r="K86" s="33"/>
      <c r="L86" s="33"/>
      <c r="M86" s="33"/>
      <c r="N86" s="33"/>
      <c r="O86" s="33"/>
      <c r="P86" s="34"/>
      <c r="T86" s="60"/>
      <c r="U86" s="21"/>
      <c r="V86" s="33"/>
      <c r="W86" s="33"/>
      <c r="X86" s="34"/>
      <c r="AA86" s="33"/>
      <c r="AB86" s="33"/>
      <c r="AC86" s="33"/>
      <c r="AD86" s="33"/>
      <c r="AE86" s="33"/>
      <c r="AF86" s="34"/>
      <c r="AQ86" s="33"/>
      <c r="AU86" s="33"/>
      <c r="AV86" s="34"/>
    </row>
    <row r="87" spans="1:48" ht="15.75" customHeight="1" x14ac:dyDescent="0.35">
      <c r="D87" s="61" t="str">
        <f>+IF($B$3="esp","Prensa","Press")</f>
        <v>Press</v>
      </c>
      <c r="F87" s="30">
        <f>+[1]GRUPO!F181</f>
        <v>34.602975258715865</v>
      </c>
      <c r="G87" s="31">
        <f>+[1]GRUPO!G181</f>
        <v>34.186822312497917</v>
      </c>
      <c r="H87" s="32">
        <f t="shared" si="5"/>
        <v>1.2172905174220091E-2</v>
      </c>
      <c r="K87" s="33"/>
      <c r="L87" s="33"/>
      <c r="M87" s="33"/>
      <c r="N87" s="33"/>
      <c r="O87" s="33"/>
      <c r="P87" s="34"/>
      <c r="T87" s="54"/>
      <c r="U87" s="21"/>
      <c r="V87" s="33"/>
      <c r="W87" s="33"/>
      <c r="X87" s="34"/>
      <c r="AA87" s="33"/>
      <c r="AB87" s="33"/>
      <c r="AC87" s="33"/>
      <c r="AD87" s="33"/>
      <c r="AE87" s="33"/>
      <c r="AF87" s="34"/>
      <c r="AQ87" s="33"/>
      <c r="AU87" s="33"/>
      <c r="AV87" s="34"/>
    </row>
    <row r="88" spans="1:48" ht="15.75" customHeight="1" x14ac:dyDescent="0.35">
      <c r="A88" s="62"/>
      <c r="D88" s="61" t="str">
        <f>+IF($B$3="esp","Otros","Other")</f>
        <v>Other</v>
      </c>
      <c r="F88" s="30">
        <f>+[1]GRUPO!F182</f>
        <v>11.05098397674702</v>
      </c>
      <c r="G88" s="31">
        <f>+[1]GRUPO!G182</f>
        <v>-4.8098393761399905E-2</v>
      </c>
      <c r="H88" s="32" t="str">
        <f t="shared" si="5"/>
        <v>---</v>
      </c>
      <c r="K88" s="33"/>
      <c r="L88" s="33"/>
      <c r="M88" s="33"/>
      <c r="N88" s="33"/>
      <c r="O88" s="33"/>
      <c r="P88" s="34"/>
      <c r="T88" s="60"/>
      <c r="U88" s="21"/>
      <c r="V88" s="33"/>
      <c r="W88" s="33"/>
      <c r="X88" s="34"/>
      <c r="AA88" s="33"/>
      <c r="AB88" s="33"/>
      <c r="AC88" s="33"/>
      <c r="AD88" s="33"/>
      <c r="AE88" s="33"/>
      <c r="AF88" s="34"/>
      <c r="AQ88" s="33"/>
      <c r="AU88" s="33"/>
      <c r="AV88" s="34"/>
    </row>
    <row r="89" spans="1:48" x14ac:dyDescent="0.35">
      <c r="D89" s="29" t="str">
        <f>+IF($B$3="esp","Otros","Other")</f>
        <v>Other</v>
      </c>
      <c r="F89" s="30">
        <f>+[1]GRUPO!F183</f>
        <v>-0.32581179195997834</v>
      </c>
      <c r="G89" s="31">
        <f>+[1]GRUPO!G183</f>
        <v>-0.32131358504392438</v>
      </c>
      <c r="H89" s="32">
        <f>IF(G89=0,"---",IF(OR(ABS((F89-G89)/ABS(G89))&gt;9,(F89*G89)&lt;0),"---",IF(G89="0","---",((F89-G89)/ABS(G89)))))</f>
        <v>-1.3999429608427677E-2</v>
      </c>
      <c r="K89" s="21"/>
      <c r="L89" s="21"/>
      <c r="M89" s="21"/>
      <c r="N89" s="21"/>
      <c r="O89" s="21"/>
      <c r="P89" s="21"/>
      <c r="T89" s="60"/>
      <c r="U89" s="21"/>
      <c r="V89" s="33"/>
      <c r="W89" s="33"/>
      <c r="X89" s="34"/>
      <c r="AA89" s="21"/>
      <c r="AB89" s="21"/>
      <c r="AC89" s="21"/>
      <c r="AD89" s="21"/>
      <c r="AE89" s="21"/>
      <c r="AF89" s="21"/>
      <c r="AQ89" s="21"/>
      <c r="AU89" s="21"/>
      <c r="AV89" s="21"/>
    </row>
    <row r="90" spans="1:48" x14ac:dyDescent="0.35">
      <c r="K90" s="21"/>
      <c r="L90" s="21"/>
      <c r="M90" s="21"/>
      <c r="N90" s="21"/>
      <c r="O90" s="21"/>
      <c r="P90" s="21"/>
      <c r="T90" s="54"/>
      <c r="U90" s="21"/>
      <c r="V90" s="33"/>
      <c r="W90" s="33"/>
      <c r="X90" s="34"/>
      <c r="AA90" s="21"/>
      <c r="AB90" s="21"/>
      <c r="AC90" s="21"/>
      <c r="AD90" s="21"/>
      <c r="AE90" s="21"/>
      <c r="AF90" s="21"/>
      <c r="AQ90" s="21"/>
      <c r="AU90" s="21"/>
      <c r="AV90" s="21"/>
    </row>
    <row r="91" spans="1:48" ht="15.75" customHeight="1" x14ac:dyDescent="0.35">
      <c r="D91" s="19" t="str">
        <f>+IF($B$3="esp","EBITDA","EBITDA")</f>
        <v>EBITDA</v>
      </c>
      <c r="F91" s="20"/>
      <c r="G91" s="20"/>
      <c r="H91" s="20"/>
      <c r="I91" s="22"/>
      <c r="J91" s="22"/>
      <c r="K91" s="27"/>
      <c r="L91" s="27"/>
      <c r="M91" s="27"/>
      <c r="N91" s="27"/>
      <c r="O91" s="27"/>
      <c r="P91" s="28"/>
      <c r="T91" s="21"/>
      <c r="U91" s="21"/>
      <c r="V91" s="21"/>
      <c r="W91" s="21"/>
      <c r="X91" s="21"/>
      <c r="Y91" s="22"/>
      <c r="Z91" s="22"/>
      <c r="AA91" s="27"/>
      <c r="AB91" s="27"/>
      <c r="AC91" s="27"/>
      <c r="AD91" s="27"/>
      <c r="AE91" s="27"/>
      <c r="AF91" s="28"/>
      <c r="AO91" s="22"/>
      <c r="AP91" s="22"/>
      <c r="AQ91" s="27"/>
      <c r="AU91" s="27"/>
      <c r="AV91" s="28"/>
    </row>
    <row r="92" spans="1:48" ht="15.75" customHeight="1" x14ac:dyDescent="0.35">
      <c r="D92" s="23" t="str">
        <f>+IF($B$3="esp","GRUPO","GROUP")</f>
        <v>GROUP</v>
      </c>
      <c r="E92" s="22"/>
      <c r="F92" s="24">
        <f>+[1]GRUPO!F186</f>
        <v>67.220601526555157</v>
      </c>
      <c r="G92" s="25">
        <f>+[1]GRUPO!G186</f>
        <v>41.290184167196557</v>
      </c>
      <c r="H92" s="26">
        <f>IF(G92=0,"---",IF(OR(ABS((F92-G92)/ABS(G92))&gt;9,(F92*G92)&lt;0),"---",IF(G92="0","---",((F92-G92)/ABS(G92)))))</f>
        <v>0.62800440061876273</v>
      </c>
      <c r="K92" s="33"/>
      <c r="L92" s="33"/>
      <c r="M92" s="33"/>
      <c r="N92" s="33"/>
      <c r="O92" s="33"/>
      <c r="P92" s="34"/>
      <c r="T92" s="51"/>
      <c r="U92" s="21"/>
      <c r="V92" s="21"/>
      <c r="W92" s="21"/>
      <c r="X92" s="21"/>
      <c r="AA92" s="33"/>
      <c r="AB92" s="33"/>
      <c r="AC92" s="33"/>
      <c r="AD92" s="33"/>
      <c r="AE92" s="33"/>
      <c r="AF92" s="34"/>
      <c r="AQ92" s="33"/>
      <c r="AU92" s="33"/>
      <c r="AV92" s="34"/>
    </row>
    <row r="93" spans="1:48" ht="15.75" customHeight="1" x14ac:dyDescent="0.35">
      <c r="D93" s="29" t="str">
        <f>+IF($B$3="esp","Educación","Education")</f>
        <v>Education</v>
      </c>
      <c r="F93" s="30">
        <f>+[1]GRUPO!F187</f>
        <v>66.868087465405267</v>
      </c>
      <c r="G93" s="31">
        <f>+[1]GRUPO!G187</f>
        <v>44.548233707253821</v>
      </c>
      <c r="H93" s="32">
        <f t="shared" ref="H93:H97" si="6">IF(G93=0,"---",IF(OR(ABS((F93-G93)/ABS(G93))&gt;9,(F93*G93)&lt;0),"---",IF(G93="0","---",((F93-G93)/ABS(G93)))))</f>
        <v>0.5010266827821972</v>
      </c>
      <c r="K93" s="33"/>
      <c r="L93" s="33"/>
      <c r="M93" s="33"/>
      <c r="N93" s="33"/>
      <c r="O93" s="33"/>
      <c r="P93" s="34"/>
      <c r="T93" s="52"/>
      <c r="U93" s="53"/>
      <c r="V93" s="27"/>
      <c r="W93" s="27"/>
      <c r="X93" s="28"/>
      <c r="AA93" s="33"/>
      <c r="AB93" s="33"/>
      <c r="AC93" s="33"/>
      <c r="AD93" s="33"/>
      <c r="AE93" s="33"/>
      <c r="AF93" s="34"/>
      <c r="AQ93" s="33"/>
      <c r="AU93" s="33"/>
      <c r="AV93" s="34"/>
    </row>
    <row r="94" spans="1:48" ht="15.75" customHeight="1" x14ac:dyDescent="0.35">
      <c r="D94" s="29" t="str">
        <f>+IF($B$3="esp","Media","Media")</f>
        <v>Media</v>
      </c>
      <c r="F94" s="30">
        <f>+[1]GRUPO!F188</f>
        <v>1.9113239711500078</v>
      </c>
      <c r="G94" s="31">
        <f>+[1]GRUPO!G188</f>
        <v>-1.8262671000571873</v>
      </c>
      <c r="H94" s="32" t="str">
        <f t="shared" si="6"/>
        <v>---</v>
      </c>
      <c r="K94" s="33"/>
      <c r="L94" s="33"/>
      <c r="M94" s="33"/>
      <c r="N94" s="33"/>
      <c r="O94" s="33"/>
      <c r="P94" s="34"/>
      <c r="T94" s="54"/>
      <c r="U94" s="21"/>
      <c r="V94" s="33"/>
      <c r="W94" s="33"/>
      <c r="X94" s="34"/>
      <c r="AA94" s="33"/>
      <c r="AB94" s="33"/>
      <c r="AC94" s="33"/>
      <c r="AD94" s="33"/>
      <c r="AE94" s="33"/>
      <c r="AF94" s="34"/>
      <c r="AQ94" s="33"/>
      <c r="AU94" s="33"/>
      <c r="AV94" s="34"/>
    </row>
    <row r="95" spans="1:48" ht="15.75" customHeight="1" x14ac:dyDescent="0.35">
      <c r="D95" s="61" t="s">
        <v>8</v>
      </c>
      <c r="F95" s="30">
        <f>+[1]GRUPO!F189</f>
        <v>3.9896397274076629</v>
      </c>
      <c r="G95" s="31">
        <f>+[1]GRUPO!G189</f>
        <v>1.0471937943741101</v>
      </c>
      <c r="H95" s="32">
        <f t="shared" si="6"/>
        <v>2.8098389704383253</v>
      </c>
      <c r="K95" s="33"/>
      <c r="L95" s="33"/>
      <c r="M95" s="33"/>
      <c r="N95" s="33"/>
      <c r="O95" s="33"/>
      <c r="P95" s="34"/>
      <c r="T95" s="60"/>
      <c r="U95" s="21"/>
      <c r="V95" s="33"/>
      <c r="W95" s="33"/>
      <c r="X95" s="34"/>
      <c r="AA95" s="33"/>
      <c r="AB95" s="33"/>
      <c r="AC95" s="33"/>
      <c r="AD95" s="33"/>
      <c r="AE95" s="33"/>
      <c r="AF95" s="34"/>
      <c r="AQ95" s="33"/>
      <c r="AU95" s="33"/>
      <c r="AV95" s="34"/>
    </row>
    <row r="96" spans="1:48" ht="15.75" customHeight="1" x14ac:dyDescent="0.35">
      <c r="A96" s="62"/>
      <c r="D96" s="61" t="str">
        <f>+IF($B$3="esp","Prensa","Press")</f>
        <v>Press</v>
      </c>
      <c r="F96" s="30">
        <f>+[1]GRUPO!F190</f>
        <v>-3.1492923053441864</v>
      </c>
      <c r="G96" s="31">
        <f>+[1]GRUPO!G190</f>
        <v>-2.5951602233057871</v>
      </c>
      <c r="H96" s="32">
        <f t="shared" si="6"/>
        <v>-0.21352519087724395</v>
      </c>
      <c r="K96" s="33"/>
      <c r="L96" s="33"/>
      <c r="M96" s="33"/>
      <c r="N96" s="33"/>
      <c r="O96" s="33"/>
      <c r="P96" s="34"/>
      <c r="T96" s="60"/>
      <c r="U96" s="21"/>
      <c r="V96" s="33"/>
      <c r="W96" s="33"/>
      <c r="X96" s="34"/>
      <c r="AA96" s="33"/>
      <c r="AB96" s="33"/>
      <c r="AC96" s="33"/>
      <c r="AD96" s="33"/>
      <c r="AE96" s="33"/>
      <c r="AF96" s="34"/>
      <c r="AQ96" s="33"/>
      <c r="AU96" s="33"/>
      <c r="AV96" s="34"/>
    </row>
    <row r="97" spans="1:48" x14ac:dyDescent="0.35">
      <c r="D97" s="61" t="str">
        <f>+IF($B$3="esp","Otros","Other")</f>
        <v>Other</v>
      </c>
      <c r="F97" s="30">
        <f>+[1]GRUPO!F191</f>
        <v>1.0709765490865313</v>
      </c>
      <c r="G97" s="31">
        <f>+[1]GRUPO!G191</f>
        <v>-0.27830067112551049</v>
      </c>
      <c r="H97" s="32" t="str">
        <f t="shared" si="6"/>
        <v>---</v>
      </c>
      <c r="K97" s="21"/>
      <c r="L97" s="21"/>
      <c r="M97" s="21"/>
      <c r="N97" s="21"/>
      <c r="O97" s="21"/>
      <c r="P97" s="21"/>
      <c r="T97" s="54"/>
      <c r="U97" s="21"/>
      <c r="V97" s="33"/>
      <c r="W97" s="33"/>
      <c r="X97" s="34"/>
      <c r="AA97" s="21"/>
      <c r="AB97" s="21"/>
      <c r="AC97" s="21"/>
      <c r="AD97" s="21"/>
      <c r="AE97" s="21"/>
      <c r="AF97" s="21"/>
      <c r="AQ97" s="21"/>
      <c r="AU97" s="21"/>
      <c r="AV97" s="21"/>
    </row>
    <row r="98" spans="1:48" x14ac:dyDescent="0.35">
      <c r="D98" s="29" t="str">
        <f>+IF($B$3="esp","Otros","Other")</f>
        <v>Other</v>
      </c>
      <c r="F98" s="30">
        <f>+[1]GRUPO!F192</f>
        <v>-1.558809910000118</v>
      </c>
      <c r="G98" s="31">
        <f>+[1]GRUPO!G192</f>
        <v>-1.4317824400000772</v>
      </c>
      <c r="H98" s="32">
        <f>IF(G98=0,"---",IF(OR(ABS((F98-G98)/ABS(G98))&gt;9,(F98*G98)&lt;0),"---",IF(G98="0","---",((F98-G98)/ABS(G98)))))</f>
        <v>-8.8719812767108691E-2</v>
      </c>
      <c r="K98" s="21"/>
      <c r="L98" s="21"/>
      <c r="M98" s="21"/>
      <c r="N98" s="21"/>
      <c r="O98" s="21"/>
      <c r="P98" s="21"/>
      <c r="T98" s="60"/>
      <c r="U98" s="21"/>
      <c r="V98" s="33"/>
      <c r="W98" s="33"/>
      <c r="X98" s="34"/>
      <c r="AA98" s="21"/>
      <c r="AB98" s="21"/>
      <c r="AC98" s="21"/>
      <c r="AD98" s="21"/>
      <c r="AE98" s="21"/>
      <c r="AF98" s="21"/>
      <c r="AQ98" s="21"/>
      <c r="AU98" s="21"/>
      <c r="AV98" s="21"/>
    </row>
    <row r="99" spans="1:48" ht="15.75" customHeight="1" x14ac:dyDescent="0.35">
      <c r="I99" s="22"/>
      <c r="J99" s="22"/>
      <c r="K99" s="27"/>
      <c r="L99" s="27"/>
      <c r="M99" s="27"/>
      <c r="N99" s="27"/>
      <c r="O99" s="27"/>
      <c r="P99" s="28"/>
      <c r="T99" s="60"/>
      <c r="U99" s="21"/>
      <c r="V99" s="33"/>
      <c r="W99" s="33"/>
      <c r="X99" s="34"/>
      <c r="Y99" s="22"/>
      <c r="Z99" s="22"/>
      <c r="AA99" s="27"/>
      <c r="AB99" s="27"/>
      <c r="AC99" s="27"/>
      <c r="AD99" s="27"/>
      <c r="AE99" s="27"/>
      <c r="AF99" s="28"/>
      <c r="AO99" s="22"/>
      <c r="AP99" s="22"/>
      <c r="AQ99" s="27"/>
      <c r="AU99" s="27"/>
      <c r="AV99" s="28"/>
    </row>
    <row r="100" spans="1:48" ht="15.75" customHeight="1" x14ac:dyDescent="0.35">
      <c r="D100" s="19" t="str">
        <f>+IF($B$3="esp","EBITDA sin indemnizaciones","EBITDA ex severance expenses")</f>
        <v>EBITDA ex severance expenses</v>
      </c>
      <c r="F100" s="20"/>
      <c r="G100" s="20"/>
      <c r="H100" s="20"/>
      <c r="K100" s="33"/>
      <c r="L100" s="33"/>
      <c r="M100" s="33"/>
      <c r="N100" s="33"/>
      <c r="O100" s="33"/>
      <c r="P100" s="34"/>
      <c r="T100" s="54"/>
      <c r="U100" s="21"/>
      <c r="V100" s="33"/>
      <c r="W100" s="33"/>
      <c r="X100" s="34"/>
      <c r="AA100" s="33"/>
      <c r="AB100" s="33"/>
      <c r="AC100" s="33"/>
      <c r="AD100" s="33"/>
      <c r="AE100" s="33"/>
      <c r="AF100" s="34"/>
      <c r="AQ100" s="33"/>
      <c r="AU100" s="33"/>
      <c r="AV100" s="34"/>
    </row>
    <row r="101" spans="1:48" ht="15.75" customHeight="1" x14ac:dyDescent="0.35">
      <c r="D101" s="23" t="str">
        <f>+IF($B$3="esp","GRUPO","GROUP")</f>
        <v>GROUP</v>
      </c>
      <c r="E101" s="22"/>
      <c r="F101" s="24">
        <f>+[1]GRUPO!F195</f>
        <v>69.145528571341544</v>
      </c>
      <c r="G101" s="25">
        <f>+[1]GRUPO!G195</f>
        <v>43.777987223239201</v>
      </c>
      <c r="H101" s="26">
        <f>IF(G101=0,"---",IF(OR(ABS((F101-G101)/ABS(G101))&gt;9,(F101*G101)&lt;0),"---",IF(G101="0","---",((F101-G101)/ABS(G101)))))</f>
        <v>0.5794588321008094</v>
      </c>
      <c r="K101" s="33"/>
      <c r="L101" s="33"/>
      <c r="M101" s="33"/>
      <c r="N101" s="33"/>
      <c r="O101" s="33"/>
      <c r="P101" s="34"/>
      <c r="T101" s="21"/>
      <c r="U101" s="21"/>
      <c r="V101" s="21"/>
      <c r="W101" s="21"/>
      <c r="X101" s="21"/>
      <c r="AA101" s="33"/>
      <c r="AB101" s="33"/>
      <c r="AC101" s="33"/>
      <c r="AD101" s="33"/>
      <c r="AE101" s="33"/>
      <c r="AF101" s="34"/>
      <c r="AQ101" s="33"/>
      <c r="AU101" s="33"/>
      <c r="AV101" s="34"/>
    </row>
    <row r="102" spans="1:48" ht="15.75" customHeight="1" x14ac:dyDescent="0.35">
      <c r="D102" s="29" t="str">
        <f>+IF($B$3="esp","Educación","Education")</f>
        <v>Education</v>
      </c>
      <c r="F102" s="30">
        <f>+[1]GRUPO!F196</f>
        <v>67.817338116295062</v>
      </c>
      <c r="G102" s="31">
        <f>+[1]GRUPO!G196</f>
        <v>45.241873370437361</v>
      </c>
      <c r="H102" s="32">
        <f t="shared" ref="H102:H106" si="7">IF(G102=0,"---",IF(OR(ABS((F102-G102)/ABS(G102))&gt;9,(F102*G102)&lt;0),"---",IF(G102="0","---",((F102-G102)/ABS(G102)))))</f>
        <v>0.49899491475543778</v>
      </c>
      <c r="K102" s="33"/>
      <c r="L102" s="33"/>
      <c r="M102" s="33"/>
      <c r="N102" s="33"/>
      <c r="O102" s="33"/>
      <c r="P102" s="34"/>
      <c r="T102" s="51"/>
      <c r="U102" s="21"/>
      <c r="V102" s="21"/>
      <c r="W102" s="21"/>
      <c r="X102" s="21"/>
      <c r="AA102" s="33"/>
      <c r="AB102" s="33"/>
      <c r="AC102" s="33"/>
      <c r="AD102" s="33"/>
      <c r="AE102" s="33"/>
      <c r="AF102" s="34"/>
      <c r="AQ102" s="33"/>
      <c r="AU102" s="33"/>
      <c r="AV102" s="34"/>
    </row>
    <row r="103" spans="1:48" ht="15.75" customHeight="1" x14ac:dyDescent="0.35">
      <c r="D103" s="29" t="str">
        <f>+IF($B$3="esp","Media","Media")</f>
        <v>Media</v>
      </c>
      <c r="F103" s="30">
        <f>+[1]GRUPO!F197</f>
        <v>2.8611391850466044</v>
      </c>
      <c r="G103" s="31">
        <f>+[1]GRUPO!G197</f>
        <v>-3.2103727198083104E-2</v>
      </c>
      <c r="H103" s="32" t="str">
        <f t="shared" si="7"/>
        <v>---</v>
      </c>
      <c r="K103" s="33"/>
      <c r="L103" s="33"/>
      <c r="M103" s="33"/>
      <c r="N103" s="33"/>
      <c r="O103" s="33"/>
      <c r="P103" s="34"/>
      <c r="T103" s="52"/>
      <c r="U103" s="53"/>
      <c r="V103" s="27"/>
      <c r="W103" s="27"/>
      <c r="X103" s="28"/>
      <c r="AA103" s="33"/>
      <c r="AB103" s="33"/>
      <c r="AC103" s="33"/>
      <c r="AD103" s="33"/>
      <c r="AE103" s="33"/>
      <c r="AF103" s="34"/>
      <c r="AQ103" s="33"/>
      <c r="AU103" s="33"/>
      <c r="AV103" s="34"/>
    </row>
    <row r="104" spans="1:48" ht="15.75" customHeight="1" x14ac:dyDescent="0.35">
      <c r="A104" s="62"/>
      <c r="D104" s="61" t="s">
        <v>8</v>
      </c>
      <c r="F104" s="30">
        <f>+[1]GRUPO!F198</f>
        <v>4.1766251466086439</v>
      </c>
      <c r="G104" s="31">
        <f>+[1]GRUPO!G198</f>
        <v>2.3996419021928501</v>
      </c>
      <c r="H104" s="32">
        <f t="shared" si="7"/>
        <v>0.74052017627794553</v>
      </c>
      <c r="K104" s="33"/>
      <c r="L104" s="33"/>
      <c r="M104" s="33"/>
      <c r="N104" s="33"/>
      <c r="O104" s="33"/>
      <c r="P104" s="34"/>
      <c r="T104" s="54"/>
      <c r="U104" s="21"/>
      <c r="V104" s="33"/>
      <c r="W104" s="33"/>
      <c r="X104" s="34"/>
      <c r="AA104" s="33"/>
      <c r="AB104" s="33"/>
      <c r="AC104" s="33"/>
      <c r="AD104" s="33"/>
      <c r="AE104" s="33"/>
      <c r="AF104" s="34"/>
      <c r="AQ104" s="33"/>
      <c r="AU104" s="33"/>
      <c r="AV104" s="34"/>
    </row>
    <row r="105" spans="1:48" x14ac:dyDescent="0.35">
      <c r="D105" s="61" t="str">
        <f>+IF($B$3="esp","Prensa","Press")</f>
        <v>Press</v>
      </c>
      <c r="F105" s="30">
        <f>+[1]GRUPO!F199</f>
        <v>-2.7699291806485711</v>
      </c>
      <c r="G105" s="31">
        <f>+[1]GRUPO!G199</f>
        <v>-2.5351590233057868</v>
      </c>
      <c r="H105" s="32">
        <f t="shared" si="7"/>
        <v>-9.2605692654597102E-2</v>
      </c>
      <c r="K105" s="21"/>
      <c r="L105" s="21"/>
      <c r="M105" s="21"/>
      <c r="N105" s="21"/>
      <c r="O105" s="21"/>
      <c r="P105" s="21"/>
      <c r="T105" s="60"/>
      <c r="U105" s="21"/>
      <c r="V105" s="33"/>
      <c r="W105" s="33"/>
      <c r="X105" s="34"/>
      <c r="AA105" s="21"/>
      <c r="AB105" s="21"/>
      <c r="AC105" s="21"/>
      <c r="AD105" s="21"/>
      <c r="AE105" s="21"/>
      <c r="AF105" s="21"/>
      <c r="AQ105" s="21"/>
      <c r="AU105" s="21"/>
      <c r="AV105" s="21"/>
    </row>
    <row r="106" spans="1:48" x14ac:dyDescent="0.35">
      <c r="D106" s="61" t="str">
        <f>+IF($B$3="esp","Otros","Other")</f>
        <v>Other</v>
      </c>
      <c r="F106" s="30">
        <f>+[1]GRUPO!F200</f>
        <v>1.4544432190865315</v>
      </c>
      <c r="G106" s="31">
        <f>+[1]GRUPO!G200</f>
        <v>0.10341339391485338</v>
      </c>
      <c r="H106" s="32" t="str">
        <f t="shared" si="7"/>
        <v>---</v>
      </c>
      <c r="K106" s="21"/>
      <c r="L106" s="21"/>
      <c r="M106" s="21"/>
      <c r="N106" s="21"/>
      <c r="O106" s="21"/>
      <c r="P106" s="21"/>
      <c r="T106" s="60"/>
      <c r="U106" s="21"/>
      <c r="V106" s="33"/>
      <c r="W106" s="33"/>
      <c r="X106" s="34"/>
      <c r="AA106" s="21"/>
      <c r="AB106" s="21"/>
      <c r="AC106" s="21"/>
      <c r="AD106" s="21"/>
      <c r="AE106" s="21"/>
      <c r="AF106" s="21"/>
      <c r="AQ106" s="21"/>
      <c r="AU106" s="21"/>
      <c r="AV106" s="21"/>
    </row>
    <row r="107" spans="1:48" x14ac:dyDescent="0.35">
      <c r="D107" s="29" t="str">
        <f>+IF($B$3="esp","Otros","Other")</f>
        <v>Other</v>
      </c>
      <c r="F107" s="30">
        <f>+[1]GRUPO!F201</f>
        <v>-1.5329487300001228</v>
      </c>
      <c r="G107" s="31">
        <f>+[1]GRUPO!G201</f>
        <v>-1.4317824200000768</v>
      </c>
      <c r="H107" s="32">
        <f>IF(G107=0,"---",IF(OR(ABS((F107-G107)/ABS(G107))&gt;9,(F107*G107)&lt;0),"---",IF(G107="0","---",((F107-G107)/ABS(G107)))))</f>
        <v>-7.0657600335699414E-2</v>
      </c>
      <c r="K107" s="21"/>
      <c r="L107" s="21"/>
      <c r="M107" s="21"/>
      <c r="N107" s="21"/>
      <c r="O107" s="21"/>
      <c r="P107" s="21"/>
      <c r="T107" s="54"/>
      <c r="U107" s="21"/>
      <c r="V107" s="33"/>
      <c r="W107" s="33"/>
      <c r="X107" s="34"/>
      <c r="AA107" s="21"/>
      <c r="AB107" s="21"/>
      <c r="AC107" s="21"/>
      <c r="AD107" s="21"/>
      <c r="AE107" s="21"/>
      <c r="AF107" s="21"/>
      <c r="AQ107" s="21"/>
      <c r="AU107" s="21"/>
      <c r="AV107" s="21"/>
    </row>
    <row r="108" spans="1:48" x14ac:dyDescent="0.35">
      <c r="K108" s="21"/>
      <c r="L108" s="21"/>
      <c r="M108" s="21"/>
      <c r="N108" s="21"/>
      <c r="O108" s="21"/>
      <c r="P108" s="21"/>
      <c r="T108" s="60"/>
      <c r="U108" s="21"/>
      <c r="V108" s="33"/>
      <c r="W108" s="33"/>
      <c r="X108" s="34"/>
      <c r="AA108" s="21"/>
      <c r="AB108" s="21"/>
      <c r="AC108" s="21"/>
      <c r="AD108" s="21"/>
      <c r="AE108" s="21"/>
      <c r="AF108" s="21"/>
      <c r="AQ108" s="21"/>
      <c r="AU108" s="21"/>
      <c r="AV108" s="21"/>
    </row>
    <row r="109" spans="1:48" x14ac:dyDescent="0.35">
      <c r="K109" s="21"/>
      <c r="L109" s="21"/>
      <c r="M109" s="21"/>
      <c r="N109" s="21"/>
      <c r="O109" s="21"/>
      <c r="P109" s="21"/>
      <c r="T109" s="60"/>
      <c r="U109" s="21"/>
      <c r="V109" s="33"/>
      <c r="W109" s="33"/>
      <c r="X109" s="34"/>
      <c r="AA109" s="21"/>
      <c r="AB109" s="21"/>
      <c r="AC109" s="21"/>
      <c r="AD109" s="21"/>
      <c r="AE109" s="21"/>
      <c r="AF109" s="21"/>
      <c r="AQ109" s="21"/>
      <c r="AU109" s="21"/>
      <c r="AV109" s="21"/>
    </row>
    <row r="110" spans="1:48" ht="15.75" customHeight="1" x14ac:dyDescent="0.35">
      <c r="K110" s="21"/>
      <c r="L110" s="21"/>
      <c r="M110" s="21"/>
      <c r="N110" s="21"/>
      <c r="O110" s="21"/>
      <c r="P110" s="21"/>
      <c r="T110" s="21"/>
      <c r="U110" s="21"/>
      <c r="V110" s="21"/>
      <c r="W110" s="21"/>
      <c r="X110" s="21"/>
      <c r="AA110" s="21"/>
      <c r="AB110" s="21"/>
      <c r="AC110" s="21"/>
      <c r="AD110" s="21"/>
      <c r="AE110" s="21"/>
      <c r="AF110" s="21"/>
      <c r="AQ110" s="21"/>
      <c r="AU110" s="21"/>
      <c r="AV110" s="21"/>
    </row>
    <row r="111" spans="1:48" ht="15.75" customHeight="1" x14ac:dyDescent="0.35">
      <c r="D111" s="57" t="str">
        <f>+IF($B$3="esp","Resultados por Negocio                                                                                                        a tipo de cambio constante","Perfomance by Business on constant currency")</f>
        <v>Perfomance by Business on constant currency</v>
      </c>
      <c r="E111" s="10"/>
      <c r="F111" s="11" t="str">
        <f>+IF($B$3="esp","ENERO - DICIEMBRE","JANUARY - DECEMBER")</f>
        <v>JANUARY - DECEMBER</v>
      </c>
      <c r="G111" s="12"/>
      <c r="H111" s="12"/>
      <c r="I111" s="10"/>
      <c r="J111" s="10"/>
      <c r="K111" s="13"/>
      <c r="L111" s="13"/>
      <c r="M111" s="13"/>
      <c r="N111" s="13"/>
      <c r="O111" s="13"/>
      <c r="P111" s="13"/>
      <c r="T111" s="58"/>
      <c r="U111" s="15"/>
      <c r="V111" s="13"/>
      <c r="W111" s="14"/>
      <c r="X111" s="14"/>
      <c r="Y111" s="10"/>
      <c r="Z111" s="10"/>
      <c r="AA111" s="13"/>
      <c r="AB111" s="13"/>
      <c r="AC111" s="13"/>
      <c r="AD111" s="13"/>
      <c r="AE111" s="13"/>
      <c r="AF111" s="13"/>
      <c r="AO111" s="10"/>
      <c r="AP111" s="10"/>
      <c r="AQ111" s="13"/>
      <c r="AU111" s="13"/>
      <c r="AV111" s="13"/>
    </row>
    <row r="112" spans="1:48" ht="15.75" customHeight="1" x14ac:dyDescent="0.35">
      <c r="D112" s="59"/>
      <c r="E112" s="10"/>
      <c r="F112" s="10"/>
      <c r="G112" s="10"/>
      <c r="H112" s="10"/>
      <c r="I112" s="10"/>
      <c r="J112" s="10"/>
      <c r="K112" s="15"/>
      <c r="L112" s="15"/>
      <c r="M112" s="15"/>
      <c r="N112" s="15"/>
      <c r="O112" s="15"/>
      <c r="P112" s="15"/>
      <c r="T112" s="58"/>
      <c r="U112" s="15"/>
      <c r="V112" s="15"/>
      <c r="W112" s="15"/>
      <c r="X112" s="15"/>
      <c r="Y112" s="10"/>
      <c r="Z112" s="10"/>
      <c r="AA112" s="15"/>
      <c r="AB112" s="15"/>
      <c r="AC112" s="15"/>
      <c r="AD112" s="15"/>
      <c r="AE112" s="15"/>
      <c r="AF112" s="15"/>
      <c r="AO112" s="10"/>
      <c r="AP112" s="10"/>
      <c r="AQ112" s="15"/>
      <c r="AU112" s="15"/>
      <c r="AV112" s="15"/>
    </row>
    <row r="113" spans="1:48" ht="15.75" customHeight="1" x14ac:dyDescent="0.35">
      <c r="D113" s="16" t="str">
        <f>+IF($B$3="esp","Millones de €","€ Millions")</f>
        <v>€ Millions</v>
      </c>
      <c r="E113" s="10"/>
      <c r="F113" s="17">
        <v>2023</v>
      </c>
      <c r="G113" s="17">
        <v>2022</v>
      </c>
      <c r="H113" s="17" t="str">
        <f>+IF($B$3="esp","Var.","Chg.")</f>
        <v>Chg.</v>
      </c>
      <c r="I113" s="10"/>
      <c r="J113" s="10"/>
      <c r="K113" s="18"/>
      <c r="L113" s="18"/>
      <c r="M113" s="18"/>
      <c r="N113" s="18"/>
      <c r="O113" s="18"/>
      <c r="P113" s="18"/>
      <c r="T113" s="50"/>
      <c r="U113" s="15"/>
      <c r="V113" s="18"/>
      <c r="W113" s="18"/>
      <c r="X113" s="18"/>
      <c r="Y113" s="10"/>
      <c r="Z113" s="10"/>
      <c r="AA113" s="18"/>
      <c r="AB113" s="18"/>
      <c r="AC113" s="18"/>
      <c r="AD113" s="18"/>
      <c r="AE113" s="18"/>
      <c r="AF113" s="18"/>
      <c r="AO113" s="10"/>
      <c r="AP113" s="10"/>
      <c r="AQ113" s="18"/>
      <c r="AU113" s="18"/>
      <c r="AV113" s="18"/>
    </row>
    <row r="114" spans="1:48" ht="15.75" customHeight="1" x14ac:dyDescent="0.35">
      <c r="A114" s="62"/>
      <c r="D114" s="19" t="str">
        <f>+IF($B$3="esp","Ingresos de Explotación a tipo constante","Operating Revenues on constant currency")</f>
        <v>Operating Revenues on constant currency</v>
      </c>
      <c r="F114" s="20"/>
      <c r="G114" s="20"/>
      <c r="H114" s="20"/>
      <c r="K114" s="21"/>
      <c r="L114" s="21"/>
      <c r="M114" s="21"/>
      <c r="N114" s="21"/>
      <c r="O114" s="21"/>
      <c r="P114" s="21"/>
      <c r="T114" s="51"/>
      <c r="U114" s="21"/>
      <c r="V114" s="21"/>
      <c r="W114" s="21"/>
      <c r="X114" s="21"/>
      <c r="AA114" s="21"/>
      <c r="AB114" s="21"/>
      <c r="AC114" s="21"/>
      <c r="AD114" s="21"/>
      <c r="AE114" s="21"/>
      <c r="AF114" s="21"/>
      <c r="AQ114" s="21"/>
      <c r="AU114" s="21"/>
      <c r="AV114" s="21"/>
    </row>
    <row r="115" spans="1:48" x14ac:dyDescent="0.35">
      <c r="D115" s="23" t="str">
        <f>+IF($B$3="esp","GRUPO","GROUP")</f>
        <v>GROUP</v>
      </c>
      <c r="E115" s="22"/>
      <c r="F115" s="24">
        <f>+[1]GRUPO!F208</f>
        <v>257.78005822967594</v>
      </c>
      <c r="G115" s="25">
        <f>+[1]GRUPO!G208</f>
        <v>210.58735834039521</v>
      </c>
      <c r="H115" s="26">
        <f>IF(G115=0,"---",IF(OR(ABS((F115-G115)/ABS(G115))&gt;9,(F115*G115)&lt;0),"---",IF(G115="0","---",((F115-G115)/ABS(G115)))))</f>
        <v>0.2241003461043376</v>
      </c>
      <c r="I115" s="22"/>
      <c r="J115" s="22"/>
      <c r="K115" s="27"/>
      <c r="L115" s="27"/>
      <c r="M115" s="27"/>
      <c r="N115" s="27"/>
      <c r="O115" s="27"/>
      <c r="P115" s="28"/>
      <c r="T115" s="52"/>
      <c r="U115" s="53"/>
      <c r="V115" s="27"/>
      <c r="W115" s="27"/>
      <c r="X115" s="28"/>
      <c r="Y115" s="22"/>
      <c r="Z115" s="22"/>
      <c r="AA115" s="27"/>
      <c r="AB115" s="27"/>
      <c r="AC115" s="27"/>
      <c r="AD115" s="27"/>
      <c r="AE115" s="27"/>
      <c r="AF115" s="28"/>
      <c r="AO115" s="22"/>
      <c r="AP115" s="22"/>
      <c r="AQ115" s="27"/>
      <c r="AU115" s="27"/>
      <c r="AV115" s="28"/>
    </row>
    <row r="116" spans="1:48" x14ac:dyDescent="0.35">
      <c r="D116" s="29" t="str">
        <f>+IF($B$3="esp","Educación","Education")</f>
        <v>Education</v>
      </c>
      <c r="F116" s="30">
        <f>+[1]GRUPO!F209</f>
        <v>159.48446164088642</v>
      </c>
      <c r="G116" s="31">
        <f>+[1]GRUPO!G209</f>
        <v>128.36706190343418</v>
      </c>
      <c r="H116" s="32">
        <f t="shared" ref="H116:H120" si="8">IF(G116=0,"---",IF(OR(ABS((F116-G116)/ABS(G116))&gt;9,(F116*G116)&lt;0),"---",IF(G116="0","---",((F116-G116)/ABS(G116)))))</f>
        <v>0.24240953462704259</v>
      </c>
      <c r="K116" s="33"/>
      <c r="L116" s="33"/>
      <c r="M116" s="33"/>
      <c r="N116" s="33"/>
      <c r="O116" s="33"/>
      <c r="P116" s="34"/>
      <c r="T116" s="54"/>
      <c r="U116" s="21"/>
      <c r="V116" s="33"/>
      <c r="W116" s="33"/>
      <c r="X116" s="34"/>
      <c r="AA116" s="33"/>
      <c r="AB116" s="33"/>
      <c r="AC116" s="33"/>
      <c r="AD116" s="33"/>
      <c r="AE116" s="33"/>
      <c r="AF116" s="34"/>
      <c r="AQ116" s="33"/>
      <c r="AU116" s="33"/>
      <c r="AV116" s="34"/>
    </row>
    <row r="117" spans="1:48" ht="15.75" customHeight="1" x14ac:dyDescent="0.35">
      <c r="D117" s="29" t="str">
        <f>+IF($B$3="esp","Media","Media")</f>
        <v>Media</v>
      </c>
      <c r="F117" s="30">
        <f>+[1]GRUPO!F210</f>
        <v>98.621408380749472</v>
      </c>
      <c r="G117" s="31">
        <f>+[1]GRUPO!G210</f>
        <v>82.54161002200496</v>
      </c>
      <c r="H117" s="32">
        <f t="shared" si="8"/>
        <v>0.19480839245148915</v>
      </c>
      <c r="K117" s="33"/>
      <c r="L117" s="33"/>
      <c r="M117" s="33"/>
      <c r="N117" s="33"/>
      <c r="O117" s="33"/>
      <c r="P117" s="34"/>
      <c r="T117" s="60"/>
      <c r="U117" s="21"/>
      <c r="V117" s="33"/>
      <c r="W117" s="33"/>
      <c r="X117" s="34"/>
      <c r="AA117" s="33"/>
      <c r="AB117" s="33"/>
      <c r="AC117" s="33"/>
      <c r="AD117" s="33"/>
      <c r="AE117" s="33"/>
      <c r="AF117" s="34"/>
      <c r="AQ117" s="33"/>
      <c r="AU117" s="33"/>
      <c r="AV117" s="34"/>
    </row>
    <row r="118" spans="1:48" ht="15.75" customHeight="1" x14ac:dyDescent="0.35">
      <c r="D118" s="61" t="s">
        <v>8</v>
      </c>
      <c r="F118" s="30">
        <f>+[1]GRUPO!F211</f>
        <v>53.078440908210013</v>
      </c>
      <c r="G118" s="31">
        <f>+[1]GRUPO!G211</f>
        <v>48.402886103268443</v>
      </c>
      <c r="H118" s="32">
        <f t="shared" si="8"/>
        <v>9.6596611924466391E-2</v>
      </c>
      <c r="K118" s="33"/>
      <c r="L118" s="33"/>
      <c r="M118" s="33"/>
      <c r="N118" s="33"/>
      <c r="O118" s="33"/>
      <c r="P118" s="34"/>
      <c r="T118" s="60"/>
      <c r="U118" s="21"/>
      <c r="V118" s="33"/>
      <c r="W118" s="33"/>
      <c r="X118" s="34"/>
      <c r="AA118" s="33"/>
      <c r="AB118" s="33"/>
      <c r="AC118" s="33"/>
      <c r="AD118" s="33"/>
      <c r="AE118" s="33"/>
      <c r="AF118" s="34"/>
      <c r="AQ118" s="33"/>
      <c r="AU118" s="33"/>
      <c r="AV118" s="34"/>
    </row>
    <row r="119" spans="1:48" ht="15.75" customHeight="1" x14ac:dyDescent="0.35">
      <c r="D119" s="61" t="str">
        <f>+IF($B$3="esp","Prensa","Press")</f>
        <v>Press</v>
      </c>
      <c r="F119" s="30">
        <f>+[1]GRUPO!F212</f>
        <v>34.585789882314188</v>
      </c>
      <c r="G119" s="31">
        <f>+[1]GRUPO!G212</f>
        <v>34.186822312497917</v>
      </c>
      <c r="H119" s="32">
        <f t="shared" si="8"/>
        <v>1.1670215095435119E-2</v>
      </c>
      <c r="K119" s="33"/>
      <c r="L119" s="33"/>
      <c r="M119" s="33"/>
      <c r="N119" s="33"/>
      <c r="O119" s="33"/>
      <c r="P119" s="34"/>
      <c r="T119" s="54"/>
      <c r="U119" s="21"/>
      <c r="V119" s="33"/>
      <c r="W119" s="33"/>
      <c r="X119" s="34"/>
      <c r="AA119" s="33"/>
      <c r="AB119" s="33"/>
      <c r="AC119" s="33"/>
      <c r="AD119" s="33"/>
      <c r="AE119" s="33"/>
      <c r="AF119" s="34"/>
      <c r="AQ119" s="33"/>
      <c r="AU119" s="33"/>
      <c r="AV119" s="34"/>
    </row>
    <row r="120" spans="1:48" ht="15.75" customHeight="1" x14ac:dyDescent="0.35">
      <c r="D120" s="61" t="str">
        <f>+IF($B$3="esp","Otros","Other")</f>
        <v>Other</v>
      </c>
      <c r="F120" s="30">
        <f>+[1]GRUPO!F213</f>
        <v>10.957177590225271</v>
      </c>
      <c r="G120" s="31">
        <f>+[1]GRUPO!G213</f>
        <v>-4.8098393761399905E-2</v>
      </c>
      <c r="H120" s="32" t="str">
        <f t="shared" si="8"/>
        <v>---</v>
      </c>
      <c r="K120" s="33"/>
      <c r="L120" s="33"/>
      <c r="M120" s="33"/>
      <c r="N120" s="33"/>
      <c r="O120" s="33"/>
      <c r="P120" s="34"/>
      <c r="T120" s="60"/>
      <c r="U120" s="21"/>
      <c r="V120" s="33"/>
      <c r="W120" s="33"/>
      <c r="X120" s="34"/>
      <c r="AA120" s="33"/>
      <c r="AB120" s="33"/>
      <c r="AC120" s="33"/>
      <c r="AD120" s="33"/>
      <c r="AE120" s="33"/>
      <c r="AF120" s="34"/>
      <c r="AQ120" s="33"/>
      <c r="AU120" s="33"/>
      <c r="AV120" s="34"/>
    </row>
    <row r="121" spans="1:48" ht="15.75" customHeight="1" x14ac:dyDescent="0.35">
      <c r="D121" s="29" t="str">
        <f>+IF($B$3="esp","Otros","Other")</f>
        <v>Other</v>
      </c>
      <c r="F121" s="30">
        <f>+[1]GRUPO!F214</f>
        <v>-0.32581179195994991</v>
      </c>
      <c r="G121" s="31">
        <f>+[1]GRUPO!G214</f>
        <v>-0.32131358504392438</v>
      </c>
      <c r="H121" s="32">
        <f>IF(G121=0,"---",IF(OR(ABS((F121-G121)/ABS(G121))&gt;9,(F121*G121)&lt;0),"---",IF(G121="0","---",((F121-G121)/ABS(G121)))))</f>
        <v>-1.3999429608339223E-2</v>
      </c>
      <c r="K121" s="21"/>
      <c r="L121" s="21"/>
      <c r="M121" s="21"/>
      <c r="N121" s="21"/>
      <c r="O121" s="21"/>
      <c r="P121" s="21"/>
      <c r="T121" s="60"/>
      <c r="U121" s="21"/>
      <c r="V121" s="33"/>
      <c r="W121" s="33"/>
      <c r="X121" s="34"/>
      <c r="AA121" s="21"/>
      <c r="AB121" s="21"/>
      <c r="AC121" s="21"/>
      <c r="AD121" s="21"/>
      <c r="AE121" s="21"/>
      <c r="AF121" s="21"/>
      <c r="AQ121" s="21"/>
      <c r="AU121" s="21"/>
      <c r="AV121" s="21"/>
    </row>
    <row r="122" spans="1:48" ht="15.75" customHeight="1" x14ac:dyDescent="0.35">
      <c r="A122" s="62"/>
      <c r="K122" s="21"/>
      <c r="L122" s="21"/>
      <c r="M122" s="21"/>
      <c r="N122" s="21"/>
      <c r="O122" s="21"/>
      <c r="P122" s="21"/>
      <c r="T122" s="54"/>
      <c r="U122" s="21"/>
      <c r="V122" s="33"/>
      <c r="W122" s="33"/>
      <c r="X122" s="34"/>
      <c r="AA122" s="21"/>
      <c r="AB122" s="21"/>
      <c r="AC122" s="21"/>
      <c r="AD122" s="21"/>
      <c r="AE122" s="21"/>
      <c r="AF122" s="21"/>
      <c r="AQ122" s="21"/>
      <c r="AU122" s="21"/>
      <c r="AV122" s="21"/>
    </row>
    <row r="123" spans="1:48" x14ac:dyDescent="0.35">
      <c r="D123" s="19" t="str">
        <f>+IF($B$3="esp","EBITDA a tipo constante","EBITDA on constant currency")</f>
        <v>EBITDA on constant currency</v>
      </c>
      <c r="F123" s="20"/>
      <c r="G123" s="20"/>
      <c r="H123" s="20"/>
      <c r="I123" s="22"/>
      <c r="J123" s="22"/>
      <c r="K123" s="27"/>
      <c r="L123" s="27"/>
      <c r="M123" s="27"/>
      <c r="N123" s="27"/>
      <c r="O123" s="27"/>
      <c r="P123" s="28"/>
      <c r="T123" s="21"/>
      <c r="U123" s="21"/>
      <c r="V123" s="21"/>
      <c r="W123" s="21"/>
      <c r="X123" s="21"/>
      <c r="Y123" s="22"/>
      <c r="Z123" s="22"/>
      <c r="AA123" s="27"/>
      <c r="AB123" s="27"/>
      <c r="AC123" s="27"/>
      <c r="AD123" s="27"/>
      <c r="AE123" s="27"/>
      <c r="AF123" s="28"/>
      <c r="AO123" s="22"/>
      <c r="AP123" s="22"/>
      <c r="AQ123" s="27"/>
      <c r="AU123" s="27"/>
      <c r="AV123" s="28"/>
    </row>
    <row r="124" spans="1:48" x14ac:dyDescent="0.35">
      <c r="D124" s="23" t="str">
        <f>+IF($B$3="esp","GRUPO","GROUP")</f>
        <v>GROUP</v>
      </c>
      <c r="E124" s="22"/>
      <c r="F124" s="24">
        <f>+[1]GRUPO!F217</f>
        <v>63.827372764732502</v>
      </c>
      <c r="G124" s="25">
        <f>+[1]GRUPO!G217</f>
        <v>41.290184167196557</v>
      </c>
      <c r="H124" s="26">
        <f>IF(G124=0,"---",IF(OR(ABS((F124-G124)/ABS(G124))&gt;9,(F124*G124)&lt;0),"---",IF(G124="0","---",((F124-G124)/ABS(G124)))))</f>
        <v>0.54582436605940021</v>
      </c>
      <c r="K124" s="33"/>
      <c r="L124" s="33"/>
      <c r="M124" s="33"/>
      <c r="N124" s="33"/>
      <c r="O124" s="33"/>
      <c r="P124" s="34"/>
      <c r="T124" s="51"/>
      <c r="U124" s="21"/>
      <c r="V124" s="21"/>
      <c r="W124" s="21"/>
      <c r="X124" s="21"/>
      <c r="AA124" s="33"/>
      <c r="AB124" s="33"/>
      <c r="AC124" s="33"/>
      <c r="AD124" s="33"/>
      <c r="AE124" s="33"/>
      <c r="AF124" s="34"/>
      <c r="AQ124" s="33"/>
      <c r="AU124" s="33"/>
      <c r="AV124" s="34"/>
    </row>
    <row r="125" spans="1:48" ht="15.75" customHeight="1" x14ac:dyDescent="0.35">
      <c r="D125" s="29" t="str">
        <f>+IF($B$3="esp","Educación","Education")</f>
        <v>Education</v>
      </c>
      <c r="F125" s="30">
        <f>+[1]GRUPO!F218</f>
        <v>63.812647293377815</v>
      </c>
      <c r="G125" s="31">
        <f>+[1]GRUPO!G218</f>
        <v>44.548233707253821</v>
      </c>
      <c r="H125" s="32">
        <f t="shared" ref="H125:H129" si="9">IF(G125=0,"---",IF(OR(ABS((F125-G125)/ABS(G125))&gt;9,(F125*G125)&lt;0),"---",IF(G125="0","---",((F125-G125)/ABS(G125)))))</f>
        <v>0.43243944782904276</v>
      </c>
      <c r="K125" s="33"/>
      <c r="L125" s="33"/>
      <c r="M125" s="33"/>
      <c r="N125" s="33"/>
      <c r="O125" s="33"/>
      <c r="P125" s="34"/>
      <c r="T125" s="52"/>
      <c r="U125" s="53"/>
      <c r="V125" s="27"/>
      <c r="W125" s="27"/>
      <c r="X125" s="28"/>
      <c r="AA125" s="33"/>
      <c r="AB125" s="33"/>
      <c r="AC125" s="33"/>
      <c r="AD125" s="33"/>
      <c r="AE125" s="33"/>
      <c r="AF125" s="34"/>
      <c r="AQ125" s="33"/>
      <c r="AU125" s="33"/>
      <c r="AV125" s="34"/>
    </row>
    <row r="126" spans="1:48" ht="15.75" customHeight="1" x14ac:dyDescent="0.35">
      <c r="D126" s="29" t="str">
        <f>+IF($B$3="esp","Media","Media")</f>
        <v>Media</v>
      </c>
      <c r="F126" s="30">
        <f>+[1]GRUPO!F219</f>
        <v>1.573535381354795</v>
      </c>
      <c r="G126" s="31">
        <f>+[1]GRUPO!G219</f>
        <v>-1.8262671000571873</v>
      </c>
      <c r="H126" s="32" t="str">
        <f t="shared" si="9"/>
        <v>---</v>
      </c>
      <c r="K126" s="33"/>
      <c r="L126" s="33"/>
      <c r="M126" s="33"/>
      <c r="N126" s="33"/>
      <c r="O126" s="33"/>
      <c r="P126" s="34"/>
      <c r="T126" s="54"/>
      <c r="U126" s="21"/>
      <c r="V126" s="33"/>
      <c r="W126" s="33"/>
      <c r="X126" s="34"/>
      <c r="AA126" s="33"/>
      <c r="AB126" s="33"/>
      <c r="AC126" s="33"/>
      <c r="AD126" s="33"/>
      <c r="AE126" s="33"/>
      <c r="AF126" s="34"/>
      <c r="AQ126" s="33"/>
      <c r="AU126" s="33"/>
      <c r="AV126" s="34"/>
    </row>
    <row r="127" spans="1:48" ht="15.75" customHeight="1" x14ac:dyDescent="0.35">
      <c r="D127" s="61" t="s">
        <v>8</v>
      </c>
      <c r="F127" s="30">
        <f>+[1]GRUPO!F220</f>
        <v>3.6467049882674583</v>
      </c>
      <c r="G127" s="31">
        <f>+[1]GRUPO!G220</f>
        <v>1.0471937943741101</v>
      </c>
      <c r="H127" s="32">
        <f t="shared" si="9"/>
        <v>2.4823592422518428</v>
      </c>
      <c r="K127" s="33"/>
      <c r="L127" s="33"/>
      <c r="M127" s="33"/>
      <c r="N127" s="33"/>
      <c r="O127" s="33"/>
      <c r="P127" s="34"/>
      <c r="T127" s="60"/>
      <c r="U127" s="21"/>
      <c r="V127" s="33"/>
      <c r="W127" s="33"/>
      <c r="X127" s="34"/>
      <c r="AA127" s="33"/>
      <c r="AB127" s="33"/>
      <c r="AC127" s="33"/>
      <c r="AD127" s="33"/>
      <c r="AE127" s="33"/>
      <c r="AF127" s="34"/>
      <c r="AQ127" s="33"/>
      <c r="AU127" s="33"/>
      <c r="AV127" s="34"/>
    </row>
    <row r="128" spans="1:48" ht="15.75" customHeight="1" x14ac:dyDescent="0.35">
      <c r="D128" s="61" t="str">
        <f>+IF($B$3="esp","Prensa","Press")</f>
        <v>Press</v>
      </c>
      <c r="F128" s="30">
        <f>+[1]GRUPO!F221</f>
        <v>-3.1614298693112994</v>
      </c>
      <c r="G128" s="31">
        <f>+[1]GRUPO!G221</f>
        <v>-2.5951602233057871</v>
      </c>
      <c r="H128" s="32">
        <f t="shared" si="9"/>
        <v>-0.21820219072415589</v>
      </c>
      <c r="K128" s="33"/>
      <c r="L128" s="33"/>
      <c r="M128" s="33"/>
      <c r="N128" s="33"/>
      <c r="O128" s="33"/>
      <c r="P128" s="34"/>
      <c r="T128" s="60"/>
      <c r="U128" s="21"/>
      <c r="V128" s="33"/>
      <c r="W128" s="33"/>
      <c r="X128" s="34"/>
      <c r="AA128" s="33"/>
      <c r="AB128" s="33"/>
      <c r="AC128" s="33"/>
      <c r="AD128" s="33"/>
      <c r="AE128" s="33"/>
      <c r="AF128" s="34"/>
      <c r="AQ128" s="33"/>
      <c r="AU128" s="33"/>
      <c r="AV128" s="34"/>
    </row>
    <row r="129" spans="1:48" ht="15.75" customHeight="1" x14ac:dyDescent="0.35">
      <c r="D129" s="61" t="str">
        <f>+IF($B$3="esp","Otros","Other")</f>
        <v>Other</v>
      </c>
      <c r="F129" s="30">
        <f>+[1]GRUPO!F222</f>
        <v>1.0882602623986362</v>
      </c>
      <c r="G129" s="31">
        <f>+[1]GRUPO!G222</f>
        <v>-0.27830067112551049</v>
      </c>
      <c r="H129" s="32" t="str">
        <f t="shared" si="9"/>
        <v>---</v>
      </c>
      <c r="K129" s="21"/>
      <c r="L129" s="21"/>
      <c r="M129" s="21"/>
      <c r="N129" s="21"/>
      <c r="O129" s="21"/>
      <c r="P129" s="21"/>
      <c r="T129" s="54"/>
      <c r="U129" s="21"/>
      <c r="V129" s="33"/>
      <c r="W129" s="33"/>
      <c r="X129" s="34"/>
      <c r="AA129" s="21"/>
      <c r="AB129" s="21"/>
      <c r="AC129" s="21"/>
      <c r="AD129" s="21"/>
      <c r="AE129" s="21"/>
      <c r="AF129" s="21"/>
      <c r="AQ129" s="21"/>
      <c r="AU129" s="21"/>
      <c r="AV129" s="21"/>
    </row>
    <row r="130" spans="1:48" ht="15.75" customHeight="1" x14ac:dyDescent="0.35">
      <c r="A130" s="62"/>
      <c r="D130" s="29" t="str">
        <f>+IF($B$3="esp","Otros","Other")</f>
        <v>Other</v>
      </c>
      <c r="F130" s="30">
        <f>+[1]GRUPO!F223</f>
        <v>-1.5588099100001078</v>
      </c>
      <c r="G130" s="31">
        <f>+[1]GRUPO!G223</f>
        <v>-1.4317824400000772</v>
      </c>
      <c r="H130" s="32">
        <f>IF(G130=0,"---",IF(OR(ABS((F130-G130)/ABS(G130))&gt;9,(F130*G130)&lt;0),"---",IF(G130="0","---",((F130-G130)/ABS(G130)))))</f>
        <v>-8.8719812767101558E-2</v>
      </c>
      <c r="K130" s="21"/>
      <c r="L130" s="21"/>
      <c r="M130" s="21"/>
      <c r="N130" s="21"/>
      <c r="O130" s="21"/>
      <c r="P130" s="21"/>
      <c r="T130" s="60"/>
      <c r="U130" s="21"/>
      <c r="V130" s="33"/>
      <c r="W130" s="33"/>
      <c r="X130" s="34"/>
      <c r="AA130" s="21"/>
      <c r="AB130" s="21"/>
      <c r="AC130" s="21"/>
      <c r="AD130" s="21"/>
      <c r="AE130" s="21"/>
      <c r="AF130" s="21"/>
      <c r="AQ130" s="21"/>
      <c r="AU130" s="21"/>
      <c r="AV130" s="21"/>
    </row>
    <row r="131" spans="1:48" x14ac:dyDescent="0.35">
      <c r="I131" s="22"/>
      <c r="J131" s="22"/>
      <c r="K131" s="27"/>
      <c r="L131" s="27"/>
      <c r="M131" s="27"/>
      <c r="N131" s="27"/>
      <c r="O131" s="27"/>
      <c r="P131" s="28"/>
      <c r="T131" s="60"/>
      <c r="U131" s="21"/>
      <c r="V131" s="33"/>
      <c r="W131" s="33"/>
      <c r="X131" s="34"/>
      <c r="Y131" s="22"/>
      <c r="Z131" s="22"/>
      <c r="AA131" s="27"/>
      <c r="AB131" s="27"/>
      <c r="AC131" s="27"/>
      <c r="AD131" s="27"/>
      <c r="AE131" s="27"/>
      <c r="AF131" s="28"/>
      <c r="AO131" s="22"/>
      <c r="AP131" s="22"/>
      <c r="AQ131" s="27"/>
      <c r="AU131" s="27"/>
      <c r="AV131" s="28"/>
    </row>
    <row r="132" spans="1:48" x14ac:dyDescent="0.35">
      <c r="D132" s="19" t="str">
        <f>+IF($B$3="esp","EBITDA sin indemnizaciones a tipo constante","EBITDA ex severance expenses on constant currency")</f>
        <v>EBITDA ex severance expenses on constant currency</v>
      </c>
      <c r="F132" s="20"/>
      <c r="G132" s="20"/>
      <c r="H132" s="20"/>
      <c r="K132" s="33"/>
      <c r="L132" s="33"/>
      <c r="M132" s="33"/>
      <c r="N132" s="33"/>
      <c r="O132" s="33"/>
      <c r="P132" s="34"/>
      <c r="T132" s="54"/>
      <c r="U132" s="21"/>
      <c r="V132" s="33"/>
      <c r="W132" s="33"/>
      <c r="X132" s="34"/>
      <c r="AA132" s="33"/>
      <c r="AB132" s="33"/>
      <c r="AC132" s="33"/>
      <c r="AD132" s="33"/>
      <c r="AE132" s="33"/>
      <c r="AF132" s="34"/>
      <c r="AQ132" s="33"/>
      <c r="AU132" s="33"/>
      <c r="AV132" s="34"/>
    </row>
    <row r="133" spans="1:48" x14ac:dyDescent="0.35">
      <c r="D133" s="23" t="str">
        <f>+IF($B$3="esp","GRUPO","GROUP")</f>
        <v>GROUP</v>
      </c>
      <c r="E133" s="22"/>
      <c r="F133" s="24">
        <f>+[1]GRUPO!F226</f>
        <v>65.741828812859026</v>
      </c>
      <c r="G133" s="25">
        <f>+[1]GRUPO!G226</f>
        <v>43.777987223239201</v>
      </c>
      <c r="H133" s="26">
        <f>IF(G133=0,"---",IF(OR(ABS((F133-G133)/ABS(G133))&gt;9,(F133*G133)&lt;0),"---",IF(G133="0","---",((F133-G133)/ABS(G133)))))</f>
        <v>0.50170971720601376</v>
      </c>
      <c r="K133" s="33"/>
      <c r="L133" s="33"/>
      <c r="M133" s="33"/>
      <c r="N133" s="33"/>
      <c r="O133" s="33"/>
      <c r="P133" s="34"/>
      <c r="T133" s="21"/>
      <c r="U133" s="21"/>
      <c r="V133" s="21"/>
      <c r="W133" s="21"/>
      <c r="X133" s="21"/>
      <c r="AA133" s="33"/>
      <c r="AB133" s="33"/>
      <c r="AC133" s="33"/>
      <c r="AD133" s="33"/>
      <c r="AE133" s="33"/>
      <c r="AF133" s="34"/>
      <c r="AQ133" s="33"/>
      <c r="AU133" s="33"/>
      <c r="AV133" s="34"/>
    </row>
    <row r="134" spans="1:48" x14ac:dyDescent="0.35">
      <c r="D134" s="29" t="str">
        <f>+IF($B$3="esp","Educación","Education")</f>
        <v>Education</v>
      </c>
      <c r="F134" s="30">
        <f>+[1]GRUPO!F227</f>
        <v>64.748065451442912</v>
      </c>
      <c r="G134" s="31">
        <f>+[1]GRUPO!G227</f>
        <v>45.241873370437361</v>
      </c>
      <c r="H134" s="32">
        <f t="shared" ref="H134:H138" si="10">IF(G134=0,"---",IF(OR(ABS((F134-G134)/ABS(G134))&gt;9,(F134*G134)&lt;0),"---",IF(G134="0","---",((F134-G134)/ABS(G134)))))</f>
        <v>0.43115350068044678</v>
      </c>
      <c r="K134" s="33"/>
      <c r="L134" s="33"/>
      <c r="M134" s="33"/>
      <c r="N134" s="33"/>
      <c r="O134" s="33"/>
      <c r="P134" s="34"/>
      <c r="T134" s="51"/>
      <c r="U134" s="21"/>
      <c r="V134" s="21"/>
      <c r="W134" s="21"/>
      <c r="X134" s="21"/>
      <c r="AA134" s="33"/>
      <c r="AB134" s="33"/>
      <c r="AC134" s="33"/>
      <c r="AD134" s="33"/>
      <c r="AE134" s="33"/>
      <c r="AF134" s="34"/>
      <c r="AQ134" s="33"/>
      <c r="AU134" s="33"/>
      <c r="AV134" s="34"/>
    </row>
    <row r="135" spans="1:48" x14ac:dyDescent="0.35">
      <c r="D135" s="29" t="str">
        <f>+IF($B$3="esp","Media","Media")</f>
        <v>Media</v>
      </c>
      <c r="F135" s="30">
        <f>+[1]GRUPO!F228</f>
        <v>2.5267120914162158</v>
      </c>
      <c r="G135" s="31">
        <f>+[1]GRUPO!G228</f>
        <v>-3.2103727198083104E-2</v>
      </c>
      <c r="H135" s="32" t="str">
        <f t="shared" si="10"/>
        <v>---</v>
      </c>
      <c r="K135" s="33"/>
      <c r="L135" s="33"/>
      <c r="M135" s="33"/>
      <c r="N135" s="33"/>
      <c r="O135" s="33"/>
      <c r="P135" s="34"/>
      <c r="T135" s="52"/>
      <c r="U135" s="53"/>
      <c r="V135" s="27"/>
      <c r="W135" s="27"/>
      <c r="X135" s="28"/>
      <c r="AA135" s="33"/>
      <c r="AB135" s="33"/>
      <c r="AC135" s="33"/>
      <c r="AD135" s="33"/>
      <c r="AE135" s="33"/>
      <c r="AF135" s="34"/>
      <c r="AQ135" s="33"/>
      <c r="AU135" s="33"/>
      <c r="AV135" s="34"/>
    </row>
    <row r="136" spans="1:48" x14ac:dyDescent="0.35">
      <c r="D136" s="61" t="s">
        <v>8</v>
      </c>
      <c r="F136" s="30">
        <f>+[1]GRUPO!F229</f>
        <v>3.8369937815156563</v>
      </c>
      <c r="G136" s="31">
        <f>+[1]GRUPO!G229</f>
        <v>2.3996419021928501</v>
      </c>
      <c r="H136" s="32">
        <f t="shared" si="10"/>
        <v>0.59898598953840554</v>
      </c>
      <c r="K136" s="33"/>
      <c r="L136" s="33"/>
      <c r="M136" s="33"/>
      <c r="N136" s="33"/>
      <c r="O136" s="33"/>
      <c r="P136" s="34"/>
      <c r="T136" s="54"/>
      <c r="U136" s="21"/>
      <c r="V136" s="33"/>
      <c r="W136" s="33"/>
      <c r="X136" s="34"/>
      <c r="AA136" s="33"/>
      <c r="AB136" s="33"/>
      <c r="AC136" s="33"/>
      <c r="AD136" s="33"/>
      <c r="AE136" s="33"/>
      <c r="AF136" s="34"/>
      <c r="AQ136" s="33"/>
      <c r="AU136" s="33"/>
      <c r="AV136" s="34"/>
    </row>
    <row r="137" spans="1:48" x14ac:dyDescent="0.35">
      <c r="D137" s="61" t="str">
        <f>+IF($B$3="esp","Prensa","Press")</f>
        <v>Press</v>
      </c>
      <c r="F137" s="30">
        <f>+[1]GRUPO!F230</f>
        <v>-2.7820086224980773</v>
      </c>
      <c r="G137" s="31">
        <f>+[1]GRUPO!G230</f>
        <v>-2.5351590233057868</v>
      </c>
      <c r="H137" s="32">
        <f t="shared" si="10"/>
        <v>-9.7370459573934171E-2</v>
      </c>
      <c r="K137" s="21"/>
      <c r="L137" s="21"/>
      <c r="M137" s="21"/>
      <c r="N137" s="21"/>
      <c r="O137" s="21"/>
      <c r="P137" s="21"/>
      <c r="T137" s="60"/>
      <c r="U137" s="21"/>
      <c r="V137" s="33"/>
      <c r="W137" s="33"/>
      <c r="X137" s="34"/>
      <c r="AA137" s="21"/>
      <c r="AB137" s="21"/>
      <c r="AC137" s="21"/>
      <c r="AD137" s="21"/>
      <c r="AE137" s="21"/>
      <c r="AF137" s="21"/>
      <c r="AQ137" s="21"/>
      <c r="AU137" s="21"/>
      <c r="AV137" s="21"/>
    </row>
    <row r="138" spans="1:48" x14ac:dyDescent="0.35">
      <c r="D138" s="61" t="str">
        <f>+IF($B$3="esp","Otros","Other")</f>
        <v>Other</v>
      </c>
      <c r="F138" s="30">
        <f>+[1]GRUPO!F231</f>
        <v>1.4717269323986368</v>
      </c>
      <c r="G138" s="31">
        <f>+[1]GRUPO!G231</f>
        <v>0.10341339391485338</v>
      </c>
      <c r="H138" s="32" t="str">
        <f t="shared" si="10"/>
        <v>---</v>
      </c>
      <c r="K138" s="21"/>
      <c r="L138" s="21"/>
      <c r="M138" s="21"/>
      <c r="N138" s="21"/>
      <c r="O138" s="21"/>
      <c r="P138" s="21"/>
      <c r="T138" s="60"/>
      <c r="U138" s="21"/>
      <c r="V138" s="33"/>
      <c r="W138" s="33"/>
      <c r="X138" s="34"/>
      <c r="AA138" s="21"/>
      <c r="AB138" s="21"/>
      <c r="AC138" s="21"/>
      <c r="AD138" s="21"/>
      <c r="AE138" s="21"/>
      <c r="AF138" s="21"/>
      <c r="AQ138" s="21"/>
      <c r="AU138" s="21"/>
      <c r="AV138" s="21"/>
    </row>
    <row r="139" spans="1:48" x14ac:dyDescent="0.35">
      <c r="D139" s="29" t="str">
        <f>+IF($B$3="esp","Otros","Other")</f>
        <v>Other</v>
      </c>
      <c r="F139" s="30">
        <f>+[1]GRUPO!F232</f>
        <v>-1.5329487300001015</v>
      </c>
      <c r="G139" s="31">
        <f>+[1]GRUPO!G232</f>
        <v>-1.4317824200000768</v>
      </c>
      <c r="H139" s="32">
        <f>IF(G139=0,"---",IF(OR(ABS((F139-G139)/ABS(G139))&gt;9,(F139*G139)&lt;0),"---",IF(G139="0","---",((F139-G139)/ABS(G139)))))</f>
        <v>-7.0657600335684523E-2</v>
      </c>
      <c r="K139" s="21"/>
      <c r="L139" s="21"/>
      <c r="M139" s="21"/>
      <c r="N139" s="21"/>
      <c r="O139" s="21"/>
      <c r="P139" s="21"/>
      <c r="T139" s="54"/>
      <c r="U139" s="21"/>
      <c r="V139" s="33"/>
      <c r="W139" s="33"/>
      <c r="X139" s="34"/>
      <c r="AA139" s="21"/>
      <c r="AB139" s="21"/>
      <c r="AC139" s="21"/>
      <c r="AD139" s="21"/>
      <c r="AE139" s="21"/>
      <c r="AF139" s="21"/>
      <c r="AQ139" s="21"/>
      <c r="AU139" s="21"/>
      <c r="AV139" s="21"/>
    </row>
    <row r="140" spans="1:48" x14ac:dyDescent="0.35">
      <c r="K140" s="21"/>
      <c r="L140" s="21"/>
      <c r="M140" s="21"/>
      <c r="N140" s="21"/>
      <c r="O140" s="21"/>
      <c r="P140" s="21"/>
      <c r="T140" s="60"/>
      <c r="U140" s="21"/>
      <c r="V140" s="33"/>
      <c r="W140" s="33"/>
      <c r="X140" s="34"/>
      <c r="AA140" s="21"/>
      <c r="AB140" s="21"/>
      <c r="AC140" s="21"/>
      <c r="AD140" s="21"/>
      <c r="AE140" s="21"/>
      <c r="AF140" s="21"/>
      <c r="AQ140" s="21"/>
      <c r="AU140" s="21"/>
      <c r="AV140" s="21"/>
    </row>
    <row r="141" spans="1:48" x14ac:dyDescent="0.35">
      <c r="K141" s="21"/>
      <c r="L141" s="21"/>
      <c r="M141" s="21"/>
      <c r="N141" s="21"/>
      <c r="O141" s="21"/>
      <c r="P141" s="21"/>
      <c r="T141" s="60"/>
      <c r="U141" s="21"/>
      <c r="V141" s="33"/>
      <c r="W141" s="33"/>
      <c r="X141" s="34"/>
      <c r="AA141" s="21"/>
      <c r="AB141" s="21"/>
      <c r="AC141" s="21"/>
      <c r="AD141" s="21"/>
      <c r="AE141" s="21"/>
      <c r="AF141" s="21"/>
      <c r="AQ141" s="21"/>
      <c r="AU141" s="21"/>
      <c r="AV141" s="21"/>
    </row>
    <row r="142" spans="1:48" x14ac:dyDescent="0.35">
      <c r="K142" s="21"/>
      <c r="L142" s="21"/>
      <c r="M142" s="21"/>
      <c r="N142" s="21"/>
      <c r="O142" s="21"/>
      <c r="P142" s="21"/>
      <c r="T142" s="54"/>
      <c r="U142" s="21"/>
      <c r="V142" s="33"/>
      <c r="W142" s="33"/>
      <c r="X142" s="34"/>
      <c r="AA142" s="21"/>
      <c r="AB142" s="21"/>
      <c r="AC142" s="21"/>
      <c r="AD142" s="21"/>
      <c r="AE142" s="21"/>
      <c r="AF142" s="21"/>
      <c r="AQ142" s="21"/>
      <c r="AU142" s="21"/>
      <c r="AV142" s="21"/>
    </row>
  </sheetData>
  <mergeCells count="4">
    <mergeCell ref="D79:D80"/>
    <mergeCell ref="T79:T80"/>
    <mergeCell ref="D111:D112"/>
    <mergeCell ref="T111:T1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 Publish</vt:lpstr>
    </vt:vector>
  </TitlesOfParts>
  <Company>Prisa Corporación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Tobal Favelukes, Matías</dc:creator>
  <cp:lastModifiedBy>Tobal Favelukes, Matías</cp:lastModifiedBy>
  <dcterms:created xsi:type="dcterms:W3CDTF">2023-04-24T12:01:17Z</dcterms:created>
  <dcterms:modified xsi:type="dcterms:W3CDTF">2023-04-24T12:01:59Z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