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RELACIÓN CON INVERSORES\NEW\RESULTS\2024\2Q2024\DEF\"/>
    </mc:Choice>
  </mc:AlternateContent>
  <xr:revisionPtr revIDLastSave="0" documentId="13_ncr:1_{1C663AB5-09A5-4408-8A4A-6D7BE28216C2}" xr6:coauthVersionLast="47" xr6:coauthVersionMax="47" xr10:uidLastSave="{00000000-0000-0000-0000-000000000000}"/>
  <bookViews>
    <workbookView xWindow="-120" yWindow="-120" windowWidth="29040" windowHeight="15720" xr2:uid="{92E2F79E-C5C9-4E29-89C8-03EE37D7BFC4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D63" i="1"/>
  <c r="D60" i="1"/>
  <c r="D20" i="1"/>
  <c r="D16" i="1"/>
  <c r="D13" i="1"/>
  <c r="T70" i="1"/>
  <c r="T65" i="1"/>
  <c r="T61" i="1"/>
  <c r="AJ23" i="1"/>
  <c r="AJ21" i="1"/>
  <c r="AJ18" i="1"/>
  <c r="T18" i="1"/>
  <c r="T23" i="1"/>
  <c r="T14" i="1"/>
  <c r="G122" i="1"/>
  <c r="D122" i="1"/>
  <c r="G121" i="1"/>
  <c r="H121" i="1" s="1"/>
  <c r="D121" i="1"/>
  <c r="L120" i="1"/>
  <c r="M120" i="1" s="1"/>
  <c r="G120" i="1"/>
  <c r="H120" i="1" s="1"/>
  <c r="D120" i="1"/>
  <c r="L118" i="1"/>
  <c r="M118" i="1" s="1"/>
  <c r="G118" i="1"/>
  <c r="H118" i="1" s="1"/>
  <c r="D118" i="1"/>
  <c r="L117" i="1"/>
  <c r="M117" i="1" s="1"/>
  <c r="G117" i="1"/>
  <c r="H117" i="1" s="1"/>
  <c r="D117" i="1"/>
  <c r="M116" i="1"/>
  <c r="L116" i="1"/>
  <c r="D116" i="1"/>
  <c r="D115" i="1"/>
  <c r="L113" i="1"/>
  <c r="M113" i="1" s="1"/>
  <c r="G113" i="1"/>
  <c r="D113" i="1"/>
  <c r="M112" i="1"/>
  <c r="D112" i="1"/>
  <c r="L111" i="1"/>
  <c r="G111" i="1"/>
  <c r="H111" i="1" s="1"/>
  <c r="D111" i="1"/>
  <c r="L110" i="1"/>
  <c r="M110" i="1" s="1"/>
  <c r="G110" i="1"/>
  <c r="H110" i="1" s="1"/>
  <c r="L109" i="1"/>
  <c r="M109" i="1" s="1"/>
  <c r="G109" i="1"/>
  <c r="H109" i="1" s="1"/>
  <c r="D109" i="1"/>
  <c r="G108" i="1"/>
  <c r="H108" i="1" s="1"/>
  <c r="D108" i="1"/>
  <c r="D107" i="1"/>
  <c r="D106" i="1"/>
  <c r="M105" i="1"/>
  <c r="H105" i="1"/>
  <c r="D105" i="1"/>
  <c r="D103" i="1"/>
  <c r="M98" i="1"/>
  <c r="L122" i="1"/>
  <c r="M122" i="1" s="1"/>
  <c r="H98" i="1"/>
  <c r="D98" i="1"/>
  <c r="L121" i="1"/>
  <c r="M121" i="1" s="1"/>
  <c r="H97" i="1"/>
  <c r="D97" i="1"/>
  <c r="M96" i="1"/>
  <c r="D96" i="1"/>
  <c r="L119" i="1"/>
  <c r="M119" i="1" s="1"/>
  <c r="G119" i="1"/>
  <c r="H119" i="1" s="1"/>
  <c r="M94" i="1"/>
  <c r="D94" i="1"/>
  <c r="M93" i="1"/>
  <c r="H93" i="1"/>
  <c r="D93" i="1"/>
  <c r="M92" i="1"/>
  <c r="G116" i="1"/>
  <c r="H116" i="1" s="1"/>
  <c r="D92" i="1"/>
  <c r="D91" i="1"/>
  <c r="M89" i="1"/>
  <c r="H89" i="1"/>
  <c r="D89" i="1"/>
  <c r="L112" i="1"/>
  <c r="D88" i="1"/>
  <c r="M87" i="1"/>
  <c r="D87" i="1"/>
  <c r="M86" i="1"/>
  <c r="H86" i="1"/>
  <c r="M85" i="1"/>
  <c r="H85" i="1"/>
  <c r="D85" i="1"/>
  <c r="H84" i="1"/>
  <c r="D84" i="1"/>
  <c r="G107" i="1"/>
  <c r="H107" i="1" s="1"/>
  <c r="D83" i="1"/>
  <c r="D82" i="1"/>
  <c r="M81" i="1"/>
  <c r="H81" i="1"/>
  <c r="D81" i="1"/>
  <c r="D79" i="1"/>
  <c r="AA74" i="1"/>
  <c r="T74" i="1"/>
  <c r="X73" i="1"/>
  <c r="T73" i="1"/>
  <c r="AB72" i="1"/>
  <c r="AC72" i="1" s="1"/>
  <c r="X72" i="1"/>
  <c r="T72" i="1"/>
  <c r="AB71" i="1"/>
  <c r="AC71" i="1" s="1"/>
  <c r="X71" i="1"/>
  <c r="T71" i="1"/>
  <c r="V74" i="1"/>
  <c r="D70" i="1"/>
  <c r="V69" i="1"/>
  <c r="T69" i="1"/>
  <c r="L69" i="1"/>
  <c r="D69" i="1"/>
  <c r="AB68" i="1"/>
  <c r="X68" i="1"/>
  <c r="T68" i="1"/>
  <c r="G68" i="1"/>
  <c r="H68" i="1" s="1"/>
  <c r="D68" i="1"/>
  <c r="X67" i="1"/>
  <c r="T67" i="1"/>
  <c r="G67" i="1"/>
  <c r="F70" i="1"/>
  <c r="X66" i="1"/>
  <c r="T66" i="1"/>
  <c r="F66" i="1"/>
  <c r="D66" i="1"/>
  <c r="AB65" i="1"/>
  <c r="AC65" i="1" s="1"/>
  <c r="X65" i="1"/>
  <c r="M65" i="1"/>
  <c r="L65" i="1"/>
  <c r="D65" i="1"/>
  <c r="T64" i="1"/>
  <c r="L64" i="1"/>
  <c r="M64" i="1" s="1"/>
  <c r="G64" i="1"/>
  <c r="H64" i="1" s="1"/>
  <c r="D64" i="1"/>
  <c r="X63" i="1"/>
  <c r="T63" i="1"/>
  <c r="K66" i="1"/>
  <c r="X62" i="1"/>
  <c r="T62" i="1"/>
  <c r="D62" i="1"/>
  <c r="L61" i="1"/>
  <c r="M61" i="1" s="1"/>
  <c r="G61" i="1"/>
  <c r="D61" i="1"/>
  <c r="AB60" i="1"/>
  <c r="AC60" i="1" s="1"/>
  <c r="X60" i="1"/>
  <c r="T60" i="1"/>
  <c r="G60" i="1"/>
  <c r="H60" i="1" s="1"/>
  <c r="AB59" i="1"/>
  <c r="AC59" i="1" s="1"/>
  <c r="X59" i="1"/>
  <c r="T59" i="1"/>
  <c r="H59" i="1"/>
  <c r="D59" i="1"/>
  <c r="X58" i="1"/>
  <c r="T58" i="1"/>
  <c r="L58" i="1"/>
  <c r="M58" i="1" s="1"/>
  <c r="G58" i="1"/>
  <c r="H58" i="1" s="1"/>
  <c r="D58" i="1"/>
  <c r="AA69" i="1"/>
  <c r="W69" i="1"/>
  <c r="X69" i="1" s="1"/>
  <c r="T57" i="1"/>
  <c r="L57" i="1"/>
  <c r="K70" i="1"/>
  <c r="D57" i="1"/>
  <c r="T56" i="1"/>
  <c r="D56" i="1"/>
  <c r="AC55" i="1"/>
  <c r="AA55" i="1"/>
  <c r="X55" i="1"/>
  <c r="T55" i="1"/>
  <c r="M55" i="1"/>
  <c r="H55" i="1"/>
  <c r="D55" i="1"/>
  <c r="AC34" i="1"/>
  <c r="X34" i="1"/>
  <c r="T34" i="1"/>
  <c r="X33" i="1"/>
  <c r="T33" i="1"/>
  <c r="AC32" i="1"/>
  <c r="X32" i="1"/>
  <c r="T32" i="1"/>
  <c r="M32" i="1"/>
  <c r="H32" i="1"/>
  <c r="D32" i="1"/>
  <c r="AS31" i="1"/>
  <c r="AN31" i="1"/>
  <c r="AJ31" i="1"/>
  <c r="AC31" i="1"/>
  <c r="X31" i="1"/>
  <c r="T31" i="1"/>
  <c r="M31" i="1"/>
  <c r="H31" i="1"/>
  <c r="D31" i="1"/>
  <c r="AN30" i="1"/>
  <c r="AJ30" i="1"/>
  <c r="AA30" i="1"/>
  <c r="W30" i="1"/>
  <c r="X30" i="1" s="1"/>
  <c r="T30" i="1"/>
  <c r="M30" i="1"/>
  <c r="H30" i="1"/>
  <c r="D30" i="1"/>
  <c r="AS29" i="1"/>
  <c r="AN29" i="1"/>
  <c r="AJ29" i="1"/>
  <c r="AC29" i="1"/>
  <c r="X29" i="1"/>
  <c r="V30" i="1"/>
  <c r="T29" i="1"/>
  <c r="M29" i="1"/>
  <c r="H29" i="1"/>
  <c r="D29" i="1"/>
  <c r="AN28" i="1"/>
  <c r="AJ28" i="1"/>
  <c r="AC28" i="1"/>
  <c r="X28" i="1"/>
  <c r="T28" i="1"/>
  <c r="D28" i="1"/>
  <c r="AL27" i="1"/>
  <c r="AJ27" i="1"/>
  <c r="T27" i="1"/>
  <c r="M27" i="1"/>
  <c r="H27" i="1"/>
  <c r="D27" i="1"/>
  <c r="AS26" i="1"/>
  <c r="AN26" i="1"/>
  <c r="AJ26" i="1"/>
  <c r="X26" i="1"/>
  <c r="T26" i="1"/>
  <c r="M26" i="1"/>
  <c r="H26" i="1"/>
  <c r="D26" i="1"/>
  <c r="AS25" i="1"/>
  <c r="AJ25" i="1"/>
  <c r="AC25" i="1"/>
  <c r="T25" i="1"/>
  <c r="M25" i="1"/>
  <c r="H25" i="1"/>
  <c r="D25" i="1"/>
  <c r="AM24" i="1"/>
  <c r="AN24" i="1" s="1"/>
  <c r="AL24" i="1"/>
  <c r="AJ24" i="1"/>
  <c r="AC24" i="1"/>
  <c r="X24" i="1"/>
  <c r="T24" i="1"/>
  <c r="M24" i="1"/>
  <c r="K28" i="1"/>
  <c r="H24" i="1"/>
  <c r="D24" i="1"/>
  <c r="AS23" i="1"/>
  <c r="AB70" i="1"/>
  <c r="AC70" i="1" s="1"/>
  <c r="AA27" i="1"/>
  <c r="W27" i="1"/>
  <c r="X27" i="1" s="1"/>
  <c r="V27" i="1"/>
  <c r="G23" i="1"/>
  <c r="D23" i="1"/>
  <c r="AJ22" i="1"/>
  <c r="AB22" i="1"/>
  <c r="AA22" i="1"/>
  <c r="W22" i="1"/>
  <c r="X22" i="1" s="1"/>
  <c r="T22" i="1"/>
  <c r="M22" i="1"/>
  <c r="G69" i="1"/>
  <c r="H69" i="1" s="1"/>
  <c r="D22" i="1"/>
  <c r="AR22" i="1"/>
  <c r="AL22" i="1"/>
  <c r="AC21" i="1"/>
  <c r="T21" i="1"/>
  <c r="L68" i="1"/>
  <c r="M68" i="1" s="1"/>
  <c r="M21" i="1"/>
  <c r="H21" i="1"/>
  <c r="D21" i="1"/>
  <c r="AJ20" i="1"/>
  <c r="AC20" i="1"/>
  <c r="X20" i="1"/>
  <c r="T20" i="1"/>
  <c r="M20" i="1"/>
  <c r="K23" i="1"/>
  <c r="F23" i="1"/>
  <c r="AJ19" i="1"/>
  <c r="AB66" i="1"/>
  <c r="AC66" i="1" s="1"/>
  <c r="X19" i="1"/>
  <c r="T19" i="1"/>
  <c r="G19" i="1"/>
  <c r="F19" i="1"/>
  <c r="D19" i="1"/>
  <c r="AC18" i="1"/>
  <c r="X18" i="1"/>
  <c r="V22" i="1"/>
  <c r="M18" i="1"/>
  <c r="H18" i="1"/>
  <c r="D18" i="1"/>
  <c r="AS17" i="1"/>
  <c r="AJ17" i="1"/>
  <c r="AB64" i="1"/>
  <c r="AC64" i="1" s="1"/>
  <c r="X17" i="1"/>
  <c r="T17" i="1"/>
  <c r="M17" i="1"/>
  <c r="H17" i="1"/>
  <c r="D17" i="1"/>
  <c r="AN16" i="1"/>
  <c r="AJ16" i="1"/>
  <c r="AC16" i="1"/>
  <c r="AB63" i="1"/>
  <c r="AC63" i="1" s="1"/>
  <c r="X16" i="1"/>
  <c r="T16" i="1"/>
  <c r="L19" i="1"/>
  <c r="K19" i="1"/>
  <c r="G63" i="1"/>
  <c r="H63" i="1" s="1"/>
  <c r="H16" i="1"/>
  <c r="AS15" i="1"/>
  <c r="AJ15" i="1"/>
  <c r="AB62" i="1"/>
  <c r="AC62" i="1" s="1"/>
  <c r="X15" i="1"/>
  <c r="T15" i="1"/>
  <c r="L62" i="1"/>
  <c r="M62" i="1" s="1"/>
  <c r="G62" i="1"/>
  <c r="H62" i="1" s="1"/>
  <c r="D15" i="1"/>
  <c r="AN14" i="1"/>
  <c r="AJ14" i="1"/>
  <c r="AC14" i="1"/>
  <c r="X14" i="1"/>
  <c r="M14" i="1"/>
  <c r="H14" i="1"/>
  <c r="D14" i="1"/>
  <c r="AS13" i="1"/>
  <c r="AJ13" i="1"/>
  <c r="AC13" i="1"/>
  <c r="X13" i="1"/>
  <c r="T13" i="1"/>
  <c r="M13" i="1"/>
  <c r="L60" i="1"/>
  <c r="H13" i="1"/>
  <c r="AN12" i="1"/>
  <c r="AJ12" i="1"/>
  <c r="AC12" i="1"/>
  <c r="X12" i="1"/>
  <c r="T12" i="1"/>
  <c r="L59" i="1"/>
  <c r="M59" i="1" s="1"/>
  <c r="G59" i="1"/>
  <c r="H12" i="1"/>
  <c r="D12" i="1"/>
  <c r="AS11" i="1"/>
  <c r="AJ11" i="1"/>
  <c r="AB58" i="1"/>
  <c r="AC58" i="1" s="1"/>
  <c r="X11" i="1"/>
  <c r="T11" i="1"/>
  <c r="M11" i="1"/>
  <c r="H11" i="1"/>
  <c r="D11" i="1"/>
  <c r="AQ22" i="1"/>
  <c r="AN10" i="1"/>
  <c r="AJ10" i="1"/>
  <c r="X10" i="1"/>
  <c r="T10" i="1"/>
  <c r="M10" i="1"/>
  <c r="G57" i="1"/>
  <c r="H57" i="1" s="1"/>
  <c r="D10" i="1"/>
  <c r="AJ9" i="1"/>
  <c r="T9" i="1"/>
  <c r="D9" i="1"/>
  <c r="AS8" i="1"/>
  <c r="AQ8" i="1"/>
  <c r="AN8" i="1"/>
  <c r="AJ8" i="1"/>
  <c r="AC8" i="1"/>
  <c r="AA8" i="1"/>
  <c r="X8" i="1"/>
  <c r="T8" i="1"/>
  <c r="M8" i="1"/>
  <c r="L8" i="1"/>
  <c r="AR8" i="1" s="1"/>
  <c r="K8" i="1"/>
  <c r="K105" i="1" s="1"/>
  <c r="H8" i="1"/>
  <c r="D8" i="1"/>
  <c r="K6" i="1"/>
  <c r="AA6" i="1" s="1"/>
  <c r="F6" i="1"/>
  <c r="F53" i="1" s="1"/>
  <c r="F79" i="1" s="1"/>
  <c r="F103" i="1" s="1"/>
  <c r="T3" i="1"/>
  <c r="D3" i="1"/>
  <c r="AB55" i="1" l="1"/>
  <c r="H19" i="1"/>
  <c r="G70" i="1"/>
  <c r="H70" i="1" s="1"/>
  <c r="AS22" i="1"/>
  <c r="H23" i="1"/>
  <c r="AB30" i="1"/>
  <c r="AC30" i="1" s="1"/>
  <c r="AR24" i="1"/>
  <c r="AS10" i="1"/>
  <c r="M19" i="1"/>
  <c r="AQ18" i="1"/>
  <c r="AQ20" i="1" s="1"/>
  <c r="AC19" i="1"/>
  <c r="AM22" i="1"/>
  <c r="AN22" i="1" s="1"/>
  <c r="AN21" i="1"/>
  <c r="AB27" i="1"/>
  <c r="X57" i="1"/>
  <c r="AM18" i="1"/>
  <c r="AR18" i="1"/>
  <c r="X23" i="1"/>
  <c r="X25" i="1"/>
  <c r="L63" i="1"/>
  <c r="AB67" i="1"/>
  <c r="AC67" i="1" s="1"/>
  <c r="AC68" i="1"/>
  <c r="H87" i="1"/>
  <c r="H95" i="1"/>
  <c r="AC22" i="1"/>
  <c r="AB69" i="1"/>
  <c r="AC69" i="1" s="1"/>
  <c r="AS19" i="1"/>
  <c r="AS21" i="1"/>
  <c r="H83" i="1"/>
  <c r="AC11" i="1"/>
  <c r="M12" i="1"/>
  <c r="AS12" i="1"/>
  <c r="AC15" i="1"/>
  <c r="M16" i="1"/>
  <c r="AS16" i="1"/>
  <c r="AC23" i="1"/>
  <c r="M95" i="1"/>
  <c r="M97" i="1"/>
  <c r="F28" i="1"/>
  <c r="W74" i="1"/>
  <c r="X74" i="1" s="1"/>
  <c r="M83" i="1"/>
  <c r="G28" i="1"/>
  <c r="AN25" i="1"/>
  <c r="G112" i="1"/>
  <c r="H112" i="1" s="1"/>
  <c r="H88" i="1"/>
  <c r="X21" i="1"/>
  <c r="H67" i="1"/>
  <c r="H96" i="1"/>
  <c r="L28" i="1"/>
  <c r="M28" i="1" s="1"/>
  <c r="AC33" i="1"/>
  <c r="M57" i="1"/>
  <c r="X61" i="1"/>
  <c r="G66" i="1"/>
  <c r="H66" i="1" s="1"/>
  <c r="H92" i="1"/>
  <c r="H94" i="1"/>
  <c r="L55" i="1"/>
  <c r="L105" i="1"/>
  <c r="AB8" i="1"/>
  <c r="L81" i="1"/>
  <c r="L67" i="1"/>
  <c r="L23" i="1"/>
  <c r="M23" i="1" s="1"/>
  <c r="AR27" i="1"/>
  <c r="AB73" i="1"/>
  <c r="AC73" i="1" s="1"/>
  <c r="AC26" i="1"/>
  <c r="AS28" i="1"/>
  <c r="M88" i="1"/>
  <c r="M111" i="1"/>
  <c r="H122" i="1"/>
  <c r="AS14" i="1"/>
  <c r="AQ24" i="1"/>
  <c r="H61" i="1"/>
  <c r="AL6" i="1"/>
  <c r="V6" i="1"/>
  <c r="X64" i="1"/>
  <c r="AQ6" i="1"/>
  <c r="AA53" i="1"/>
  <c r="K53" i="1"/>
  <c r="K79" i="1" s="1"/>
  <c r="K103" i="1" s="1"/>
  <c r="M69" i="1"/>
  <c r="H113" i="1"/>
  <c r="V53" i="1"/>
  <c r="AN11" i="1"/>
  <c r="AN13" i="1"/>
  <c r="H15" i="1"/>
  <c r="AN15" i="1"/>
  <c r="AN17" i="1"/>
  <c r="H20" i="1"/>
  <c r="AN23" i="1"/>
  <c r="AS30" i="1"/>
  <c r="AB57" i="1"/>
  <c r="AC57" i="1" s="1"/>
  <c r="AC10" i="1"/>
  <c r="M60" i="1"/>
  <c r="AB61" i="1"/>
  <c r="AC61" i="1" s="1"/>
  <c r="L108" i="1"/>
  <c r="M108" i="1" s="1"/>
  <c r="M84" i="1"/>
  <c r="L107" i="1"/>
  <c r="M107" i="1" s="1"/>
  <c r="G65" i="1"/>
  <c r="H65" i="1" s="1"/>
  <c r="AM27" i="1"/>
  <c r="AN27" i="1" s="1"/>
  <c r="AN19" i="1"/>
  <c r="H10" i="1"/>
  <c r="AL18" i="1"/>
  <c r="AL20" i="1" s="1"/>
  <c r="H22" i="1"/>
  <c r="AQ27" i="1"/>
  <c r="K81" i="1"/>
  <c r="AC17" i="1"/>
  <c r="K55" i="1"/>
  <c r="X70" i="1"/>
  <c r="M15" i="1"/>
  <c r="AS27" i="1" l="1"/>
  <c r="M67" i="1"/>
  <c r="L70" i="1"/>
  <c r="M70" i="1" s="1"/>
  <c r="H28" i="1"/>
  <c r="AB74" i="1"/>
  <c r="AC74" i="1" s="1"/>
  <c r="AC27" i="1"/>
  <c r="L66" i="1"/>
  <c r="M66" i="1" s="1"/>
  <c r="M63" i="1"/>
  <c r="AS24" i="1"/>
  <c r="AR20" i="1"/>
  <c r="AS20" i="1" s="1"/>
  <c r="AS18" i="1"/>
  <c r="AN18" i="1"/>
  <c r="AM20" i="1"/>
  <c r="AN20" i="1" s="1"/>
</calcChain>
</file>

<file path=xl/sharedStrings.xml><?xml version="1.0" encoding="utf-8"?>
<sst xmlns="http://schemas.openxmlformats.org/spreadsheetml/2006/main" count="13" uniqueCount="9">
  <si>
    <t>Español</t>
  </si>
  <si>
    <t>esp</t>
  </si>
  <si>
    <t>English</t>
  </si>
  <si>
    <t>eng</t>
  </si>
  <si>
    <t>idioma</t>
  </si>
  <si>
    <t>PRISA MEDIA</t>
  </si>
  <si>
    <t>Radio</t>
  </si>
  <si>
    <t xml:space="preserve">*Others include mainly PRISA Media's HQ, Lacoproductora, Podium and intercompany adjustments. </t>
  </si>
  <si>
    <t>* Others include, amongst others, content production agreements in both audio and video, partnership's agreements to develop digital projects and non-core assets sold.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</si>
</sst>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1"/>
      <color rgb="FFFF0000"/>
      <name val="Mulish"/>
    </font>
    <font>
      <sz val="10"/>
      <color theme="1"/>
      <name val="Mulish"/>
    </font>
    <font>
      <b/>
      <sz val="12"/>
      <color rgb="FF0070C0"/>
      <name val="Mulish"/>
    </font>
    <font>
      <sz val="10"/>
      <color rgb="FFFF0000"/>
      <name val="Mulish"/>
    </font>
    <font>
      <b/>
      <sz val="10"/>
      <color theme="0"/>
      <name val="Mulish"/>
    </font>
    <font>
      <sz val="10"/>
      <color theme="0"/>
      <name val="Mulish"/>
    </font>
    <font>
      <b/>
      <sz val="11"/>
      <color rgb="FF03678B"/>
      <name val="Mulish"/>
    </font>
    <font>
      <sz val="11"/>
      <color theme="0"/>
      <name val="Mulish"/>
    </font>
    <font>
      <b/>
      <sz val="11"/>
      <color theme="1"/>
      <name val="Mulish"/>
    </font>
    <font>
      <b/>
      <sz val="11"/>
      <name val="Mulish"/>
    </font>
    <font>
      <sz val="11"/>
      <name val="Mulish"/>
    </font>
    <font>
      <i/>
      <sz val="11"/>
      <color theme="1"/>
      <name val="Mulish"/>
    </font>
    <font>
      <i/>
      <sz val="11"/>
      <name val="Mulish"/>
    </font>
    <font>
      <i/>
      <sz val="11"/>
      <color rgb="FFFF0000"/>
      <name val="Mulish"/>
    </font>
    <font>
      <b/>
      <sz val="11"/>
      <color rgb="FFFF0000"/>
      <name val="Mulish"/>
    </font>
    <font>
      <sz val="8"/>
      <color rgb="FFFF0000"/>
      <name val="Mulish"/>
    </font>
    <font>
      <b/>
      <sz val="10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2" borderId="5" xfId="0" applyFont="1" applyFill="1" applyBorder="1"/>
    <xf numFmtId="164" fontId="5" fillId="2" borderId="5" xfId="1" applyNumberFormat="1" applyFont="1" applyFill="1" applyBorder="1"/>
    <xf numFmtId="0" fontId="7" fillId="2" borderId="5" xfId="0" applyFont="1" applyFill="1" applyBorder="1"/>
    <xf numFmtId="164" fontId="7" fillId="2" borderId="5" xfId="1" applyNumberFormat="1" applyFont="1" applyFill="1" applyBorder="1"/>
    <xf numFmtId="0" fontId="5" fillId="2" borderId="0" xfId="0" applyFont="1" applyFill="1"/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9" fillId="2" borderId="0" xfId="0" applyFont="1" applyFill="1"/>
    <xf numFmtId="0" fontId="2" fillId="2" borderId="0" xfId="0" applyFont="1" applyFill="1"/>
    <xf numFmtId="0" fontId="8" fillId="3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0" fontId="10" fillId="2" borderId="6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11" fillId="2" borderId="6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165" fontId="12" fillId="2" borderId="0" xfId="0" applyNumberFormat="1" applyFont="1" applyFill="1" applyAlignment="1">
      <alignment horizontal="right" vertical="center" indent="1"/>
    </xf>
    <xf numFmtId="164" fontId="12" fillId="4" borderId="0" xfId="1" applyNumberFormat="1" applyFont="1" applyFill="1" applyAlignment="1">
      <alignment horizontal="right" vertical="center" indent="1"/>
    </xf>
    <xf numFmtId="164" fontId="12" fillId="2" borderId="0" xfId="1" applyNumberFormat="1" applyFont="1" applyFill="1" applyBorder="1" applyAlignment="1">
      <alignment horizontal="right" vertical="center" indent="1"/>
    </xf>
    <xf numFmtId="165" fontId="13" fillId="2" borderId="0" xfId="0" applyNumberFormat="1" applyFont="1" applyFill="1" applyAlignment="1">
      <alignment horizontal="right" vertical="center" indent="1"/>
    </xf>
    <xf numFmtId="164" fontId="13" fillId="4" borderId="0" xfId="1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4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165" fontId="14" fillId="2" borderId="0" xfId="0" applyNumberFormat="1" applyFont="1" applyFill="1" applyAlignment="1">
      <alignment horizontal="right" vertical="center" indent="1"/>
    </xf>
    <xf numFmtId="164" fontId="14" fillId="4" borderId="0" xfId="1" applyNumberFormat="1" applyFont="1" applyFill="1" applyAlignment="1">
      <alignment horizontal="right" vertical="center" indent="1"/>
    </xf>
    <xf numFmtId="0" fontId="5" fillId="2" borderId="0" xfId="0" applyFont="1" applyFill="1" applyAlignment="1">
      <alignment horizontal="left" vertical="center" indent="3"/>
    </xf>
    <xf numFmtId="165" fontId="3" fillId="0" borderId="0" xfId="0" applyNumberFormat="1" applyFont="1" applyAlignment="1">
      <alignment horizontal="right" vertical="center" indent="1"/>
    </xf>
    <xf numFmtId="165" fontId="5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Border="1" applyAlignment="1">
      <alignment horizontal="right" vertical="center" indent="1"/>
    </xf>
    <xf numFmtId="2" fontId="5" fillId="2" borderId="0" xfId="1" applyNumberFormat="1" applyFont="1" applyFill="1" applyBorder="1" applyAlignment="1">
      <alignment horizontal="right" vertical="center" indent="1"/>
    </xf>
    <xf numFmtId="0" fontId="15" fillId="2" borderId="0" xfId="0" applyFont="1" applyFill="1" applyAlignment="1">
      <alignment horizontal="left" vertical="center" indent="1"/>
    </xf>
    <xf numFmtId="0" fontId="15" fillId="2" borderId="0" xfId="0" applyFont="1" applyFill="1"/>
    <xf numFmtId="164" fontId="15" fillId="0" borderId="0" xfId="1" applyNumberFormat="1" applyFont="1" applyFill="1" applyAlignment="1">
      <alignment horizontal="right" vertical="center" indent="1"/>
    </xf>
    <xf numFmtId="164" fontId="15" fillId="4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165" fontId="12" fillId="0" borderId="0" xfId="0" applyNumberFormat="1" applyFont="1" applyAlignment="1">
      <alignment horizontal="right" vertical="center" indent="1"/>
    </xf>
    <xf numFmtId="164" fontId="16" fillId="4" borderId="0" xfId="1" applyNumberFormat="1" applyFont="1" applyFill="1" applyAlignment="1">
      <alignment horizontal="right" vertical="center" indent="1"/>
    </xf>
    <xf numFmtId="164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7" fillId="2" borderId="0" xfId="0" applyNumberFormat="1" applyFont="1" applyFill="1" applyAlignment="1">
      <alignment horizontal="right" vertical="center" indent="1"/>
    </xf>
    <xf numFmtId="164" fontId="17" fillId="2" borderId="0" xfId="1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right" vertical="center" indent="1"/>
    </xf>
    <xf numFmtId="0" fontId="18" fillId="2" borderId="0" xfId="0" applyFont="1" applyFill="1"/>
    <xf numFmtId="165" fontId="12" fillId="2" borderId="0" xfId="0" applyNumberFormat="1" applyFont="1" applyFill="1"/>
    <xf numFmtId="165" fontId="18" fillId="2" borderId="0" xfId="0" applyNumberFormat="1" applyFont="1" applyFill="1"/>
    <xf numFmtId="165" fontId="4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Alignment="1">
      <alignment horizontal="right" vertical="center" indent="1"/>
    </xf>
    <xf numFmtId="0" fontId="3" fillId="5" borderId="0" xfId="0" applyFont="1" applyFill="1"/>
    <xf numFmtId="0" fontId="4" fillId="5" borderId="0" xfId="0" applyFont="1" applyFill="1"/>
    <xf numFmtId="4" fontId="19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2" borderId="0" xfId="0" applyFont="1" applyFill="1"/>
    <xf numFmtId="0" fontId="20" fillId="2" borderId="0" xfId="0" applyFont="1" applyFill="1" applyAlignment="1">
      <alignment horizontal="right" vertical="center" indent="1"/>
    </xf>
    <xf numFmtId="0" fontId="10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22" fillId="2" borderId="0" xfId="0" applyFont="1" applyFill="1"/>
    <xf numFmtId="0" fontId="4" fillId="0" borderId="0" xfId="0" applyFont="1"/>
    <xf numFmtId="0" fontId="3" fillId="0" borderId="0" xfId="0" applyFont="1"/>
    <xf numFmtId="0" fontId="14" fillId="2" borderId="0" xfId="0" applyFont="1" applyFill="1"/>
    <xf numFmtId="165" fontId="12" fillId="6" borderId="0" xfId="0" applyNumberFormat="1" applyFont="1" applyFill="1" applyAlignment="1">
      <alignment horizontal="right" vertical="center" indent="1"/>
    </xf>
    <xf numFmtId="165" fontId="3" fillId="6" borderId="0" xfId="0" applyNumberFormat="1" applyFont="1" applyFill="1" applyAlignment="1">
      <alignment horizontal="right" vertical="center" indent="1"/>
    </xf>
    <xf numFmtId="164" fontId="15" fillId="6" borderId="0" xfId="1" applyNumberFormat="1" applyFont="1" applyFill="1" applyAlignment="1">
      <alignment horizontal="right" vertical="center" indent="1"/>
    </xf>
    <xf numFmtId="165" fontId="13" fillId="6" borderId="0" xfId="0" applyNumberFormat="1" applyFont="1" applyFill="1" applyAlignment="1">
      <alignment horizontal="right" vertical="center" indent="1"/>
    </xf>
    <xf numFmtId="165" fontId="14" fillId="6" borderId="0" xfId="0" applyNumberFormat="1" applyFont="1" applyFill="1" applyAlignment="1">
      <alignment horizontal="right" vertical="center" inden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C8A0-3C23-4EC3-8F77-FD81C8095572}">
  <sheetPr>
    <tabColor rgb="FFE00076"/>
    <pageSetUpPr fitToPage="1"/>
  </sheetPr>
  <dimension ref="A1:AY125"/>
  <sheetViews>
    <sheetView showGridLines="0" tabSelected="1" topLeftCell="U3" zoomScale="85" zoomScaleNormal="85" workbookViewId="0">
      <selection activeCell="AJ35" sqref="AJ35"/>
    </sheetView>
  </sheetViews>
  <sheetFormatPr baseColWidth="10" defaultColWidth="11.453125" defaultRowHeight="16" x14ac:dyDescent="0.45"/>
  <cols>
    <col min="1" max="1" width="7.54296875" style="3" customWidth="1"/>
    <col min="2" max="2" width="8" style="3" customWidth="1"/>
    <col min="3" max="3" width="11.453125" style="3"/>
    <col min="4" max="4" width="47.453125" style="3" customWidth="1"/>
    <col min="5" max="5" width="1" style="3" customWidth="1"/>
    <col min="6" max="7" width="11.453125" style="3"/>
    <col min="8" max="8" width="11.453125" style="3" customWidth="1"/>
    <col min="9" max="10" width="1" style="3" customWidth="1"/>
    <col min="11" max="13" width="11.453125" style="4"/>
    <col min="14" max="14" width="11.453125" style="3" customWidth="1"/>
    <col min="15" max="15" width="11.453125" style="3"/>
    <col min="16" max="16" width="11.453125" style="3" customWidth="1"/>
    <col min="17" max="18" width="11.453125" style="3"/>
    <col min="19" max="19" width="2" style="3" customWidth="1"/>
    <col min="20" max="20" width="47.1796875" style="3" customWidth="1"/>
    <col min="21" max="21" width="1" style="3" customWidth="1"/>
    <col min="22" max="24" width="11.453125" style="3"/>
    <col min="25" max="26" width="1" style="3" customWidth="1"/>
    <col min="27" max="29" width="11.453125" style="4"/>
    <col min="30" max="34" width="11.453125" style="3"/>
    <col min="35" max="35" width="2" style="3" customWidth="1"/>
    <col min="36" max="36" width="47.1796875" style="3" customWidth="1"/>
    <col min="37" max="37" width="0.54296875" style="3" customWidth="1"/>
    <col min="38" max="40" width="11.453125" style="3"/>
    <col min="41" max="42" width="1" style="3" customWidth="1"/>
    <col min="43" max="45" width="11.453125" style="4"/>
    <col min="46" max="50" width="11.453125" style="3"/>
    <col min="51" max="51" width="2" style="3" customWidth="1"/>
    <col min="52" max="16384" width="11.453125" style="3"/>
  </cols>
  <sheetData>
    <row r="1" spans="1:48" x14ac:dyDescent="0.45">
      <c r="A1" s="1" t="s">
        <v>0</v>
      </c>
      <c r="B1" s="2" t="s">
        <v>1</v>
      </c>
      <c r="D1" s="1"/>
    </row>
    <row r="2" spans="1:48" ht="16.5" thickBot="1" x14ac:dyDescent="0.5">
      <c r="A2" s="1" t="s">
        <v>2</v>
      </c>
      <c r="B2" s="5" t="s">
        <v>3</v>
      </c>
      <c r="D2" s="1"/>
    </row>
    <row r="3" spans="1:48" ht="18.5" thickBot="1" x14ac:dyDescent="0.55000000000000004">
      <c r="A3" s="6" t="s">
        <v>4</v>
      </c>
      <c r="B3" s="7"/>
      <c r="D3" s="8" t="str">
        <f>+IF($B$3="esp","GRUPO","GROUP")</f>
        <v>GROUP</v>
      </c>
      <c r="E3" s="9"/>
      <c r="F3" s="9"/>
      <c r="G3" s="10"/>
      <c r="H3" s="9"/>
      <c r="I3" s="9"/>
      <c r="J3" s="9"/>
      <c r="K3" s="11"/>
      <c r="L3" s="11"/>
      <c r="M3" s="12"/>
      <c r="N3" s="9"/>
      <c r="T3" s="8" t="str">
        <f>+IF($B$3="esp","EDUCACIÓN","EDUCATION")</f>
        <v>EDUCATION</v>
      </c>
      <c r="U3" s="9"/>
      <c r="V3" s="9"/>
      <c r="W3" s="10"/>
      <c r="X3" s="9"/>
      <c r="Y3" s="9"/>
      <c r="Z3" s="9"/>
      <c r="AA3" s="11"/>
      <c r="AB3" s="11"/>
      <c r="AC3" s="11"/>
      <c r="AD3" s="9"/>
      <c r="AJ3" s="8" t="s">
        <v>5</v>
      </c>
      <c r="AK3" s="9"/>
      <c r="AL3" s="9"/>
      <c r="AM3" s="10"/>
      <c r="AN3" s="9"/>
      <c r="AO3" s="9"/>
      <c r="AP3" s="9"/>
      <c r="AQ3" s="11"/>
      <c r="AR3" s="11"/>
      <c r="AS3" s="11"/>
      <c r="AT3" s="9"/>
    </row>
    <row r="6" spans="1:48" ht="15" customHeight="1" x14ac:dyDescent="0.45">
      <c r="D6" s="13"/>
      <c r="E6" s="13"/>
      <c r="F6" s="82" t="str">
        <f>+IF($B$3="esp","ENERO - JUNIO","JANUARY - JUNE")</f>
        <v>JANUARY - JUNE</v>
      </c>
      <c r="G6" s="82"/>
      <c r="H6" s="82"/>
      <c r="I6" s="13"/>
      <c r="J6" s="13"/>
      <c r="K6" s="82" t="str">
        <f>+IF($B$3="esp","ABRIL - JUNIO","APRIL - JUNE")</f>
        <v>APRIL - JUNE</v>
      </c>
      <c r="L6" s="82"/>
      <c r="M6" s="82"/>
      <c r="N6" s="14"/>
      <c r="O6" s="15"/>
      <c r="P6" s="15"/>
      <c r="T6" s="13"/>
      <c r="U6" s="13"/>
      <c r="V6" s="16" t="str">
        <f>+F6</f>
        <v>JANUARY - JUNE</v>
      </c>
      <c r="W6" s="17"/>
      <c r="X6" s="17"/>
      <c r="Y6" s="13"/>
      <c r="Z6" s="13"/>
      <c r="AA6" s="82" t="str">
        <f>+K6</f>
        <v>APRIL - JUNE</v>
      </c>
      <c r="AB6" s="82"/>
      <c r="AC6" s="82"/>
      <c r="AD6" s="14"/>
      <c r="AE6" s="15"/>
      <c r="AF6" s="15"/>
      <c r="AJ6" s="13"/>
      <c r="AK6" s="13"/>
      <c r="AL6" s="16" t="str">
        <f>+$F$6</f>
        <v>JANUARY - JUNE</v>
      </c>
      <c r="AM6" s="17"/>
      <c r="AN6" s="17"/>
      <c r="AO6" s="13"/>
      <c r="AP6" s="13"/>
      <c r="AQ6" s="82" t="str">
        <f>+AA6</f>
        <v>APRIL - JUNE</v>
      </c>
      <c r="AR6" s="82"/>
      <c r="AS6" s="82"/>
      <c r="AT6" s="14"/>
      <c r="AU6" s="15"/>
      <c r="AV6" s="15"/>
    </row>
    <row r="7" spans="1:48" x14ac:dyDescent="0.45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T7" s="13"/>
      <c r="U7" s="13"/>
      <c r="V7" s="13"/>
      <c r="W7" s="13"/>
      <c r="X7" s="13"/>
      <c r="Y7" s="13"/>
      <c r="Z7" s="13"/>
      <c r="AA7" s="18"/>
      <c r="AB7" s="18"/>
      <c r="AC7" s="18"/>
      <c r="AD7" s="13"/>
      <c r="AE7" s="13"/>
      <c r="AF7" s="13"/>
      <c r="AJ7" s="13"/>
      <c r="AK7" s="13"/>
      <c r="AL7" s="13"/>
      <c r="AM7" s="13"/>
      <c r="AN7" s="13"/>
      <c r="AO7" s="13"/>
      <c r="AP7" s="13"/>
      <c r="AQ7" s="18"/>
      <c r="AR7" s="18"/>
      <c r="AS7" s="18"/>
      <c r="AT7" s="13"/>
      <c r="AU7" s="13"/>
      <c r="AV7" s="13"/>
    </row>
    <row r="8" spans="1:48" x14ac:dyDescent="0.45">
      <c r="D8" s="19" t="str">
        <f>+IF($B$3="esp","Millones de €","€ Millions")</f>
        <v>€ Millions</v>
      </c>
      <c r="E8" s="13"/>
      <c r="F8" s="20">
        <v>2024</v>
      </c>
      <c r="G8" s="20">
        <v>2023</v>
      </c>
      <c r="H8" s="20" t="str">
        <f>+IF($B$3="esp","Var.","Chg.")</f>
        <v>Chg.</v>
      </c>
      <c r="I8" s="13"/>
      <c r="J8" s="13"/>
      <c r="K8" s="20">
        <f>+F8</f>
        <v>2024</v>
      </c>
      <c r="L8" s="20">
        <f>+G8</f>
        <v>2023</v>
      </c>
      <c r="M8" s="20" t="str">
        <f>+IF($B$3="esp","Var.","Chg.")</f>
        <v>Chg.</v>
      </c>
      <c r="N8" s="21"/>
      <c r="O8" s="21"/>
      <c r="P8" s="21"/>
      <c r="T8" s="19" t="str">
        <f>+IF($B$3="esp","Millones de €","€ Millions")</f>
        <v>€ Millions</v>
      </c>
      <c r="U8" s="13"/>
      <c r="V8" s="20">
        <v>2024</v>
      </c>
      <c r="W8" s="20">
        <v>2023</v>
      </c>
      <c r="X8" s="20" t="str">
        <f>+IF($B$3="esp","Var.","Chg.")</f>
        <v>Chg.</v>
      </c>
      <c r="Y8" s="13"/>
      <c r="Z8" s="13"/>
      <c r="AA8" s="20">
        <f>+K8</f>
        <v>2024</v>
      </c>
      <c r="AB8" s="20">
        <f>+L8</f>
        <v>2023</v>
      </c>
      <c r="AC8" s="20" t="str">
        <f>+IF($B$3="esp","Var.","Chg.")</f>
        <v>Chg.</v>
      </c>
      <c r="AD8" s="21"/>
      <c r="AE8" s="21"/>
      <c r="AF8" s="21"/>
      <c r="AJ8" s="19" t="str">
        <f>+IF($B$3="esp","Millones de €","€ Millions")</f>
        <v>€ Millions</v>
      </c>
      <c r="AK8" s="13"/>
      <c r="AL8" s="20">
        <v>2024</v>
      </c>
      <c r="AM8" s="20">
        <v>2023</v>
      </c>
      <c r="AN8" s="20" t="str">
        <f>+IF($B$3="esp","Var.","Chg.")</f>
        <v>Chg.</v>
      </c>
      <c r="AO8" s="13"/>
      <c r="AP8" s="13"/>
      <c r="AQ8" s="20">
        <f>+K8</f>
        <v>2024</v>
      </c>
      <c r="AR8" s="20">
        <f>+L8</f>
        <v>2023</v>
      </c>
      <c r="AS8" s="20" t="str">
        <f>+IF($B$3="esp","Var.","Chg.")</f>
        <v>Chg.</v>
      </c>
      <c r="AT8" s="21"/>
      <c r="AU8" s="21"/>
      <c r="AV8" s="21"/>
    </row>
    <row r="9" spans="1:48" x14ac:dyDescent="0.45">
      <c r="D9" s="22" t="str">
        <f>+IF($B$3="esp","Resultados Reportados","Reported Results")</f>
        <v>Reported Results</v>
      </c>
      <c r="F9" s="23"/>
      <c r="G9" s="23"/>
      <c r="H9" s="23"/>
      <c r="K9" s="24"/>
      <c r="L9" s="24"/>
      <c r="M9" s="24"/>
      <c r="T9" s="22" t="str">
        <f>+IF($B$3="esp","Resultados Reportados","Reported Results")</f>
        <v>Reported Results</v>
      </c>
      <c r="V9" s="23"/>
      <c r="W9" s="23"/>
      <c r="X9" s="23"/>
      <c r="AA9" s="24"/>
      <c r="AB9" s="24"/>
      <c r="AC9" s="24"/>
      <c r="AJ9" s="22" t="str">
        <f>+IF($B$3="esp","Resultados Reportados","Reported Results")</f>
        <v>Reported Results</v>
      </c>
      <c r="AL9" s="23"/>
      <c r="AM9" s="23"/>
      <c r="AN9" s="23"/>
      <c r="AQ9" s="25"/>
      <c r="AR9" s="25"/>
      <c r="AS9" s="25"/>
    </row>
    <row r="10" spans="1:48" s="26" customFormat="1" ht="17.25" customHeight="1" x14ac:dyDescent="0.45">
      <c r="D10" s="27" t="str">
        <f>+IF($B$3="esp","Ingresos de Explotación","Operating Revenues")</f>
        <v>Operating Revenues</v>
      </c>
      <c r="F10" s="75">
        <v>425.56659769630073</v>
      </c>
      <c r="G10" s="28">
        <v>440.7064090490648</v>
      </c>
      <c r="H10" s="29">
        <f>IF(G10=0,"---",IF(OR(ABS((F10-G10)/ABS(G10))&gt;9,(F10*G10)&lt;0),"---",IF(G10="0","---",((F10-G10)/ABS(G10)))))</f>
        <v>-3.4353508462543196E-2</v>
      </c>
      <c r="K10" s="75">
        <v>169.39010008652309</v>
      </c>
      <c r="L10" s="28">
        <v>173.79546372386213</v>
      </c>
      <c r="M10" s="29">
        <f>IF(L10=0,"---",IF(OR(ABS((K10-L10)/ABS(L10))&gt;9,(K10*L10)&lt;0),"---",IF(L10="0","---",((K10-L10)/ABS(L10)))))</f>
        <v>-2.5347978266789362E-2</v>
      </c>
      <c r="N10" s="28"/>
      <c r="O10" s="28"/>
      <c r="P10" s="30"/>
      <c r="T10" s="27" t="str">
        <f>+IF($B$3="esp","Ingresos de Explotación","Operating Revenues")</f>
        <v>Operating Revenues</v>
      </c>
      <c r="V10" s="75">
        <v>209.29633507536258</v>
      </c>
      <c r="W10" s="28">
        <v>235.13408461681234</v>
      </c>
      <c r="X10" s="29">
        <f>IF(W10=0,"---",IF(OR(ABS((V10-W10)/ABS(W10))&gt;9,(V10*W10)&lt;0),"---",IF(W10="0","---",((V10-W10)/ABS(W10)))))</f>
        <v>-0.10988517289425057</v>
      </c>
      <c r="AA10" s="78">
        <v>54.270795671211744</v>
      </c>
      <c r="AB10" s="31">
        <v>65.488997722453277</v>
      </c>
      <c r="AC10" s="32">
        <f>IF(AB10=0,"---",IF(OR(ABS((AA10-AB10)/ABS(AB10))&gt;9,(AA10*AB10)&lt;0),"---",IF(AB10="0","---",((AA10-AB10)/ABS(AB10)))))</f>
        <v>-0.17129903405736974</v>
      </c>
      <c r="AD10" s="28"/>
      <c r="AE10" s="28"/>
      <c r="AF10" s="30"/>
      <c r="AJ10" s="27" t="str">
        <f>+IF($B$3="esp","Ingresos de Explotación","Operating Revenues")</f>
        <v>Operating Revenues</v>
      </c>
      <c r="AL10" s="75">
        <v>206.67574131984892</v>
      </c>
      <c r="AM10" s="28">
        <v>204.49543353264787</v>
      </c>
      <c r="AN10" s="29">
        <f>IF(AM10=0,"---",IF(OR(ABS((AL10-AM10)/ABS(AM10))&gt;9,(AL10*AM10)&lt;0),"---",IF(AM10="0","---",((AL10-AM10)/ABS(AM10)))))</f>
        <v>1.0661889850234583E-2</v>
      </c>
      <c r="AQ10" s="78">
        <v>115.23868306478681</v>
      </c>
      <c r="AR10" s="31">
        <v>106.90356402637771</v>
      </c>
      <c r="AS10" s="32">
        <f>IF(AR10=0,"---",IF(OR(ABS((AQ10-AR10)/ABS(AR10))&gt;9,(AQ10*AR10)&lt;0),"---",IF(AR10="0","---",((AQ10-AR10)/ABS(AR10)))))</f>
        <v>7.7968579572823896E-2</v>
      </c>
      <c r="AT10" s="28"/>
      <c r="AU10" s="28"/>
      <c r="AV10" s="30"/>
    </row>
    <row r="11" spans="1:48" ht="17.25" customHeight="1" x14ac:dyDescent="0.45">
      <c r="D11" s="33" t="str">
        <f>+IF($B$3="esp","España","Spain")</f>
        <v>Spain</v>
      </c>
      <c r="F11" s="76">
        <v>180.96186015999993</v>
      </c>
      <c r="G11" s="34">
        <v>173.41421706530568</v>
      </c>
      <c r="H11" s="35">
        <f>IF(G11=0,"---",IF(OR(ABS((F11-G11)/ABS(G11))&gt;9,(F11*G11)&lt;0),"---",IF(G11="0","---",((F11-G11)/ABS(G11)))))</f>
        <v>4.3523784972323815E-2</v>
      </c>
      <c r="K11" s="76">
        <v>94.078700549999695</v>
      </c>
      <c r="L11" s="34">
        <v>90.003326390772273</v>
      </c>
      <c r="M11" s="35">
        <f t="shared" ref="M11:M32" si="0">IF(L11=0,"---",IF(OR(ABS((K11-L11)/ABS(L11))&gt;9,(K11*L11)&lt;0),"---",IF(L11="0","---",((K11-L11)/ABS(L11)))))</f>
        <v>4.5280261548702676E-2</v>
      </c>
      <c r="N11" s="34"/>
      <c r="O11" s="34"/>
      <c r="P11" s="36"/>
      <c r="T11" s="33" t="str">
        <f>+IF($B$3="esp","Privado","Private")</f>
        <v>Private</v>
      </c>
      <c r="V11" s="76">
        <v>156.29835310335073</v>
      </c>
      <c r="W11" s="34">
        <v>141.57812075251522</v>
      </c>
      <c r="X11" s="35">
        <f>IF(W11=0,"---",IF(OR(ABS((V11-W11)/ABS(W11))&gt;9,(V11*W11)&lt;0),"---",IF(W11="0","---",((V11-W11)/ABS(W11)))))</f>
        <v>0.1039725084115725</v>
      </c>
      <c r="AA11" s="79">
        <v>39.329542197438158</v>
      </c>
      <c r="AB11" s="37">
        <v>32.051530074997196</v>
      </c>
      <c r="AC11" s="38">
        <f t="shared" ref="AC11:AC13" si="1">IF(AB11=0,"---",IF(OR(ABS((AA11-AB11)/ABS(AB11))&gt;9,(AA11*AB11)&lt;0),"---",IF(AB11="0","---",((AA11-AB11)/ABS(AB11)))))</f>
        <v>0.2270722210581268</v>
      </c>
      <c r="AD11" s="34"/>
      <c r="AE11" s="34"/>
      <c r="AF11" s="36"/>
      <c r="AJ11" s="33" t="str">
        <f>+IF($B$3="esp","Publicidad Neta","Net Advertising")</f>
        <v>Net Advertising</v>
      </c>
      <c r="AL11" s="76">
        <v>153.43887009621091</v>
      </c>
      <c r="AM11" s="34">
        <v>148.54827661945845</v>
      </c>
      <c r="AN11" s="35">
        <f>IF(AM11=0,"---",IF(OR(ABS((AL11-AM11)/ABS(AM11))&gt;9,(AL11*AM11)&lt;0),"---",IF(AM11="0","---",((AL11-AM11)/ABS(AM11)))))</f>
        <v>3.2922586434852213E-2</v>
      </c>
      <c r="AQ11" s="79">
        <v>87.326586886389066</v>
      </c>
      <c r="AR11" s="37">
        <v>81.788727976536947</v>
      </c>
      <c r="AS11" s="38">
        <f t="shared" ref="AS11:AS22" si="2">IF(AR11=0,"---",IF(OR(ABS((AQ11-AR11)/ABS(AR11))&gt;9,(AQ11*AR11)&lt;0),"---",IF(AR11="0","---",((AQ11-AR11)/ABS(AR11)))))</f>
        <v>6.7709317003203498E-2</v>
      </c>
      <c r="AT11" s="34"/>
      <c r="AU11" s="34"/>
      <c r="AV11" s="36"/>
    </row>
    <row r="12" spans="1:48" ht="17.25" customHeight="1" x14ac:dyDescent="0.45">
      <c r="D12" s="33" t="str">
        <f>+IF($B$3="esp","Internacional","International")</f>
        <v>International</v>
      </c>
      <c r="F12" s="76">
        <v>244.60473753630077</v>
      </c>
      <c r="G12" s="34">
        <v>267.2921919837591</v>
      </c>
      <c r="H12" s="35">
        <f>IF(G12=0,"---",IF(OR(ABS((F12-G12)/ABS(G12))&gt;9,(F12*G12)&lt;0),"---",IF(G12="0","---",((F12-G12)/ABS(G12)))))</f>
        <v>-8.4878852162044563E-2</v>
      </c>
      <c r="K12" s="76">
        <v>75.31139953652341</v>
      </c>
      <c r="L12" s="34">
        <v>83.792137333089869</v>
      </c>
      <c r="M12" s="35">
        <f t="shared" si="0"/>
        <v>-0.10121161801678234</v>
      </c>
      <c r="N12" s="34"/>
      <c r="O12" s="34"/>
      <c r="P12" s="36"/>
      <c r="T12" s="33" t="str">
        <f>+IF($B$3="esp","Brasil Público","Brazil Public")</f>
        <v>Brazil Public</v>
      </c>
      <c r="U12" s="13"/>
      <c r="V12" s="76">
        <v>35.832479196903542</v>
      </c>
      <c r="W12" s="34">
        <v>41.074467566200404</v>
      </c>
      <c r="X12" s="35">
        <f t="shared" ref="X12:X13" si="3">IF(W12=0,"---",IF(OR(ABS((V12-W12)/ABS(W12))&gt;9,(V12*W12)&lt;0),"---",IF(W12="0","---",((V12-W12)/ABS(W12)))))</f>
        <v>-0.12762157807275926</v>
      </c>
      <c r="AA12" s="79">
        <v>10.489377586941439</v>
      </c>
      <c r="AB12" s="37">
        <v>17.635846634567084</v>
      </c>
      <c r="AC12" s="38">
        <f t="shared" si="1"/>
        <v>-0.4052240414485252</v>
      </c>
      <c r="AD12" s="34"/>
      <c r="AE12" s="34"/>
      <c r="AF12" s="36"/>
      <c r="AJ12" s="39" t="str">
        <f>+IF($B$3="esp","Offline","Offline")</f>
        <v>Offline</v>
      </c>
      <c r="AK12" s="26"/>
      <c r="AL12" s="76">
        <v>116.87936555642483</v>
      </c>
      <c r="AM12" s="34">
        <v>111.16489476523189</v>
      </c>
      <c r="AN12" s="35">
        <f t="shared" ref="AN12:AN17" si="4">IF(AM12=0,"---",IF(OR(ABS((AL12-AM12)/ABS(AM12))&gt;9,(AL12*AM12)&lt;0),"---",IF(AM12="0","---",((AL12-AM12)/ABS(AM12)))))</f>
        <v>5.1405354210619057E-2</v>
      </c>
      <c r="AQ12" s="79">
        <v>66.32267861373542</v>
      </c>
      <c r="AR12" s="37">
        <v>60.155986224408835</v>
      </c>
      <c r="AS12" s="38">
        <f t="shared" si="2"/>
        <v>0.10251169960578908</v>
      </c>
      <c r="AT12" s="34"/>
      <c r="AU12" s="34"/>
      <c r="AV12" s="36"/>
    </row>
    <row r="13" spans="1:48" s="13" customFormat="1" ht="17.25" customHeight="1" x14ac:dyDescent="0.45">
      <c r="D13" s="27" t="str">
        <f>+IF($B$3="esp","Gastos de Explotación","Operating Expenses")</f>
        <v>Operating Expenses</v>
      </c>
      <c r="E13" s="26"/>
      <c r="F13" s="75">
        <v>361.21802951726403</v>
      </c>
      <c r="G13" s="28">
        <v>372.36191384012722</v>
      </c>
      <c r="H13" s="29">
        <f t="shared" ref="H13:H32" si="5">IF(G13=0,"---",IF(OR(ABS((F13-G13)/ABS(G13))&gt;9,(F13*G13)&lt;0),"---",IF(G13="0","---",((F13-G13)/ABS(G13)))))</f>
        <v>-2.9927562161064059E-2</v>
      </c>
      <c r="I13" s="26"/>
      <c r="J13" s="26"/>
      <c r="K13" s="75">
        <v>172.12582866880592</v>
      </c>
      <c r="L13" s="28">
        <v>172.67157004147973</v>
      </c>
      <c r="M13" s="29">
        <f t="shared" si="0"/>
        <v>-3.1605745667494813E-3</v>
      </c>
      <c r="N13" s="28"/>
      <c r="O13" s="28"/>
      <c r="P13" s="30"/>
      <c r="T13" s="33" t="str">
        <f>+IF($B$3="esp","Otros mercados","Other markets")</f>
        <v>Other markets</v>
      </c>
      <c r="V13" s="76">
        <v>17.165502775108333</v>
      </c>
      <c r="W13" s="34">
        <v>52.481496298096729</v>
      </c>
      <c r="X13" s="35">
        <f t="shared" si="3"/>
        <v>-0.67292276352778357</v>
      </c>
      <c r="Y13" s="3"/>
      <c r="Z13" s="3"/>
      <c r="AA13" s="79">
        <v>4.451875886832144</v>
      </c>
      <c r="AB13" s="37">
        <v>15.801621012888994</v>
      </c>
      <c r="AC13" s="38">
        <f t="shared" si="1"/>
        <v>-0.71826460821957072</v>
      </c>
      <c r="AD13" s="28"/>
      <c r="AE13" s="28"/>
      <c r="AF13" s="30"/>
      <c r="AJ13" s="39" t="str">
        <f>+IF($B$3="esp","Online","Online")</f>
        <v>Online</v>
      </c>
      <c r="AK13" s="3"/>
      <c r="AL13" s="76">
        <v>36.559504539786083</v>
      </c>
      <c r="AM13" s="34">
        <v>37.381580714226573</v>
      </c>
      <c r="AN13" s="35">
        <f t="shared" si="4"/>
        <v>-2.1991477051895407E-2</v>
      </c>
      <c r="AQ13" s="79">
        <v>21.003908272653643</v>
      </c>
      <c r="AR13" s="37">
        <v>21.632658592128099</v>
      </c>
      <c r="AS13" s="38">
        <f t="shared" si="2"/>
        <v>-2.9064865827598818E-2</v>
      </c>
      <c r="AT13" s="28"/>
      <c r="AU13" s="28"/>
      <c r="AV13" s="30"/>
    </row>
    <row r="14" spans="1:48" s="13" customFormat="1" ht="17.25" customHeight="1" x14ac:dyDescent="0.45">
      <c r="D14" s="33" t="str">
        <f>+IF($B$3="esp","España","Spain")</f>
        <v>Spain</v>
      </c>
      <c r="E14" s="3"/>
      <c r="F14" s="76">
        <v>164.9830566900001</v>
      </c>
      <c r="G14" s="34">
        <v>167.22046847396544</v>
      </c>
      <c r="H14" s="35">
        <f t="shared" si="5"/>
        <v>-1.3380011456633881E-2</v>
      </c>
      <c r="I14" s="3"/>
      <c r="J14" s="3"/>
      <c r="K14" s="76">
        <v>84.458724569999887</v>
      </c>
      <c r="L14" s="34">
        <v>82.186912061947282</v>
      </c>
      <c r="M14" s="35">
        <f t="shared" si="0"/>
        <v>2.7642022933532979E-2</v>
      </c>
      <c r="N14" s="34"/>
      <c r="O14" s="34"/>
      <c r="P14" s="36"/>
      <c r="T14" s="27" t="str">
        <f>+IF($B$3="esp","Gastos de Explotación","Operating Expenses")</f>
        <v>Operating Expenses</v>
      </c>
      <c r="U14" s="26"/>
      <c r="V14" s="75">
        <v>169.11463828469331</v>
      </c>
      <c r="W14" s="28">
        <v>180.03099972128098</v>
      </c>
      <c r="X14" s="29">
        <f>IF(W14=0,"---",IF(OR(ABS((V14-W14)/ABS(W14))&gt;9,(V14*W14)&lt;0),"---",IF(W14="0","---",((V14-W14)/ABS(W14)))))</f>
        <v>-6.0636009651049393E-2</v>
      </c>
      <c r="AA14" s="78">
        <v>73.814243819264405</v>
      </c>
      <c r="AB14" s="31">
        <v>77.253614231508394</v>
      </c>
      <c r="AC14" s="32">
        <f>IF(AB14=0,"---",IF(OR(ABS((AA14-AB14)/ABS(AB14))&gt;9,(AA14*AB14)&lt;0),"---",IF(AB14="0","---",((AA14-AB14)/ABS(AB14)))))</f>
        <v>-4.4520511389112699E-2</v>
      </c>
      <c r="AD14" s="34"/>
      <c r="AE14" s="34"/>
      <c r="AF14" s="36"/>
      <c r="AJ14" s="33" t="str">
        <f>+IF($B$3="esp","Circulación","Circulation")</f>
        <v>Circulation</v>
      </c>
      <c r="AL14" s="76">
        <v>28.430058369999994</v>
      </c>
      <c r="AM14" s="34">
        <v>26.906313039999997</v>
      </c>
      <c r="AN14" s="35">
        <f t="shared" si="4"/>
        <v>5.6631517210653744E-2</v>
      </c>
      <c r="AO14" s="3"/>
      <c r="AP14" s="3"/>
      <c r="AQ14" s="79">
        <v>14.352000749999993</v>
      </c>
      <c r="AR14" s="37">
        <v>13.483496719999996</v>
      </c>
      <c r="AS14" s="38">
        <f t="shared" si="2"/>
        <v>6.4412373736239328E-2</v>
      </c>
      <c r="AT14" s="34"/>
      <c r="AU14" s="34"/>
      <c r="AV14" s="36"/>
    </row>
    <row r="15" spans="1:48" s="26" customFormat="1" ht="17.25" customHeight="1" x14ac:dyDescent="0.45">
      <c r="D15" s="33" t="str">
        <f>+IF($B$3="esp","Internacional","International")</f>
        <v>International</v>
      </c>
      <c r="E15" s="3"/>
      <c r="F15" s="76">
        <v>196.23497282726396</v>
      </c>
      <c r="G15" s="34">
        <v>205.14144536616178</v>
      </c>
      <c r="H15" s="35">
        <f t="shared" si="5"/>
        <v>-4.3416251274823792E-2</v>
      </c>
      <c r="I15" s="3"/>
      <c r="J15" s="3"/>
      <c r="K15" s="76">
        <v>87.667104098806035</v>
      </c>
      <c r="L15" s="34">
        <v>90.484657979532457</v>
      </c>
      <c r="M15" s="35">
        <f t="shared" si="0"/>
        <v>-3.1138470804230146E-2</v>
      </c>
      <c r="N15" s="34"/>
      <c r="O15" s="34"/>
      <c r="P15" s="36"/>
      <c r="T15" s="33" t="str">
        <f>+IF($B$3="esp","Privado","Private")</f>
        <v>Private</v>
      </c>
      <c r="U15" s="3"/>
      <c r="V15" s="76">
        <v>127.34144693314619</v>
      </c>
      <c r="W15" s="34">
        <v>123.3421592103029</v>
      </c>
      <c r="X15" s="35">
        <f>IF(W15=0,"---",IF(OR(ABS((V15-W15)/ABS(W15))&gt;9,(V15*W15)&lt;0),"---",IF(W15="0","---",((V15-W15)/ABS(W15)))))</f>
        <v>3.2424336888933168E-2</v>
      </c>
      <c r="Y15" s="13"/>
      <c r="Z15" s="13"/>
      <c r="AA15" s="79">
        <v>56.005752503656488</v>
      </c>
      <c r="AB15" s="37">
        <v>50.791370319721302</v>
      </c>
      <c r="AC15" s="38">
        <f>IF(AB15=0,"---",IF(OR(ABS((AA15-AB15)/ABS(AB15))&gt;9,(AA15*AB15)&lt;0),"---",IF(AB15="0","---",((AA15-AB15)/ABS(AB15)))))</f>
        <v>0.10266275847868871</v>
      </c>
      <c r="AD15" s="34"/>
      <c r="AE15" s="34"/>
      <c r="AF15" s="36"/>
      <c r="AJ15" s="39" t="str">
        <f>+IF($B$3="esp","Offline","Offline")</f>
        <v>Offline</v>
      </c>
      <c r="AL15" s="76">
        <v>17.694798089999995</v>
      </c>
      <c r="AM15" s="34">
        <v>18.255192449999996</v>
      </c>
      <c r="AN15" s="35">
        <f t="shared" si="4"/>
        <v>-3.0697806201435047E-2</v>
      </c>
      <c r="AO15" s="3"/>
      <c r="AP15" s="3"/>
      <c r="AQ15" s="79">
        <v>8.9190470999999967</v>
      </c>
      <c r="AR15" s="37">
        <v>9.0790658499999939</v>
      </c>
      <c r="AS15" s="38">
        <f t="shared" si="2"/>
        <v>-1.7625023614075596E-2</v>
      </c>
      <c r="AT15" s="34"/>
      <c r="AU15" s="34"/>
      <c r="AV15" s="36"/>
    </row>
    <row r="16" spans="1:48" ht="17.25" customHeight="1" x14ac:dyDescent="0.45">
      <c r="D16" s="27" t="str">
        <f>+IF($B$3="esp","EBITDA","EBITDA")</f>
        <v>EBITDA</v>
      </c>
      <c r="E16" s="26"/>
      <c r="F16" s="75">
        <v>64.348568179036675</v>
      </c>
      <c r="G16" s="28">
        <v>68.344495208937559</v>
      </c>
      <c r="H16" s="29">
        <f t="shared" si="5"/>
        <v>-5.8467430590932616E-2</v>
      </c>
      <c r="K16" s="75">
        <v>-2.7357285822828197</v>
      </c>
      <c r="L16" s="28">
        <v>1.1238936823824042</v>
      </c>
      <c r="M16" s="29" t="str">
        <f t="shared" si="0"/>
        <v>---</v>
      </c>
      <c r="T16" s="33" t="str">
        <f>+IF($B$3="esp","Público","Public")</f>
        <v>Public</v>
      </c>
      <c r="V16" s="76">
        <v>28.892158891808307</v>
      </c>
      <c r="W16" s="34">
        <v>30.70915263376023</v>
      </c>
      <c r="X16" s="35">
        <f>IF(W16=0,"---",IF(OR(ABS((V16-W16)/ABS(W16))&gt;9,(V16*W16)&lt;0),"---",IF(W16="0","---",((V16-W16)/ABS(W16)))))</f>
        <v>-5.9167824121412027E-2</v>
      </c>
      <c r="Y16" s="26"/>
      <c r="Z16" s="26"/>
      <c r="AA16" s="79">
        <v>12.429681536722994</v>
      </c>
      <c r="AB16" s="37">
        <v>16.603290012726116</v>
      </c>
      <c r="AC16" s="38">
        <f>IF(AB16=0,"---",IF(OR(ABS((AA16-AB16)/ABS(AB16))&gt;9,(AA16*AB16)&lt;0),"---",IF(AB16="0","---",((AA16-AB16)/ABS(AB16)))))</f>
        <v>-0.25137237696890968</v>
      </c>
      <c r="AJ16" s="39" t="str">
        <f>+IF($B$3="esp","Online","Online")</f>
        <v>Online</v>
      </c>
      <c r="AL16" s="76">
        <v>10.73526028</v>
      </c>
      <c r="AM16" s="34">
        <v>8.6511205899999997</v>
      </c>
      <c r="AN16" s="35">
        <f t="shared" si="4"/>
        <v>0.24090979524769296</v>
      </c>
      <c r="AQ16" s="79">
        <v>5.43295365</v>
      </c>
      <c r="AR16" s="37">
        <v>4.4044308700000006</v>
      </c>
      <c r="AS16" s="38">
        <f t="shared" si="2"/>
        <v>0.23352001889860499</v>
      </c>
    </row>
    <row r="17" spans="4:48" ht="17.25" customHeight="1" x14ac:dyDescent="0.45">
      <c r="D17" s="33" t="str">
        <f>+IF($B$3="esp","España","Spain")</f>
        <v>Spain</v>
      </c>
      <c r="F17" s="76">
        <v>15.978803469999846</v>
      </c>
      <c r="G17" s="34">
        <v>6.1937485913402339</v>
      </c>
      <c r="H17" s="35">
        <f t="shared" si="5"/>
        <v>1.5798275849201482</v>
      </c>
      <c r="K17" s="76">
        <v>9.6199759799997988</v>
      </c>
      <c r="L17" s="34">
        <v>7.8164143288249903</v>
      </c>
      <c r="M17" s="35">
        <f t="shared" si="0"/>
        <v>0.23074028260294777</v>
      </c>
      <c r="T17" s="33" t="str">
        <f>+IF($B$3="esp","Otros mercados","Other markets")</f>
        <v>Other markets</v>
      </c>
      <c r="U17" s="13"/>
      <c r="V17" s="76">
        <v>12.881032459738829</v>
      </c>
      <c r="W17" s="34">
        <v>25.97968787721782</v>
      </c>
      <c r="X17" s="35">
        <f t="shared" ref="X17" si="6">IF(W17=0,"---",IF(OR(ABS((V17-W17)/ABS(W17))&gt;9,(V17*W17)&lt;0),"---",IF(W17="0","---",((V17-W17)/ABS(W17)))))</f>
        <v>-0.50418832895084553</v>
      </c>
      <c r="AA17" s="79">
        <v>5.3788097788849303</v>
      </c>
      <c r="AB17" s="37">
        <v>9.8589538990609817</v>
      </c>
      <c r="AC17" s="38">
        <f t="shared" ref="AC17" si="7">IF(AB17=0,"---",IF(OR(ABS((AA17-AB17)/ABS(AB17))&gt;9,(AA17*AB17)&lt;0),"---",IF(AB17="0","---",((AA17-AB17)/ABS(AB17)))))</f>
        <v>-0.45442388371475839</v>
      </c>
      <c r="AJ17" s="33" t="str">
        <f>+IF($B$3="esp","Otros*","Others*")</f>
        <v>Others*</v>
      </c>
      <c r="AL17" s="76">
        <v>24.806812853638014</v>
      </c>
      <c r="AM17" s="34">
        <v>29.040843873189424</v>
      </c>
      <c r="AN17" s="35">
        <f t="shared" si="4"/>
        <v>-0.14579572956074727</v>
      </c>
      <c r="AQ17" s="79">
        <v>13.56009542839776</v>
      </c>
      <c r="AR17" s="37">
        <v>11.631339329840761</v>
      </c>
      <c r="AS17" s="38">
        <f t="shared" si="2"/>
        <v>0.16582407613271863</v>
      </c>
    </row>
    <row r="18" spans="4:48" ht="17.25" customHeight="1" x14ac:dyDescent="0.45">
      <c r="D18" s="33" t="str">
        <f>+IF($B$3="esp","Internacional","International")</f>
        <v>International</v>
      </c>
      <c r="F18" s="76">
        <v>48.369764709036829</v>
      </c>
      <c r="G18" s="34">
        <v>62.150746617597321</v>
      </c>
      <c r="H18" s="35">
        <f t="shared" si="5"/>
        <v>-0.22173477646781081</v>
      </c>
      <c r="K18" s="76">
        <v>-12.35570456228262</v>
      </c>
      <c r="L18" s="40">
        <v>-6.6925206464425866</v>
      </c>
      <c r="M18" s="35">
        <f t="shared" si="0"/>
        <v>-0.8461959574006398</v>
      </c>
      <c r="N18" s="41"/>
      <c r="O18" s="41"/>
      <c r="P18" s="42"/>
      <c r="T18" s="27" t="str">
        <f>+IF($B$3="esp","EBITDA","EBITDA")</f>
        <v>EBITDA</v>
      </c>
      <c r="U18" s="26"/>
      <c r="V18" s="75">
        <v>40.181696790669271</v>
      </c>
      <c r="W18" s="28">
        <v>55.103084895531339</v>
      </c>
      <c r="X18" s="29">
        <f>IF(W18=0,"---",IF(OR(ABS((V18-W18)/ABS(W18))&gt;9,(V18*W18)&lt;0),"---",IF(W18="0","---",((V18-W18)/ABS(W18)))))</f>
        <v>-0.2707904309377811</v>
      </c>
      <c r="AA18" s="78">
        <v>-19.543448148052679</v>
      </c>
      <c r="AB18" s="31">
        <v>-11.764616509055136</v>
      </c>
      <c r="AC18" s="32">
        <f>IF(AB18=0,"---",IF(OR(ABS((AA18-AB18)/ABS(AB18))&gt;9,(AA18*AB18)&lt;0),"---",IF(AB18="0","---",((AA18-AB18)/ABS(AB18)))))</f>
        <v>-0.66120571231626935</v>
      </c>
      <c r="AD18" s="41"/>
      <c r="AE18" s="41"/>
      <c r="AF18" s="42"/>
      <c r="AJ18" s="27" t="str">
        <f>+IF($B$3="esp","Gastos de Explotación Contables","Operating Expenses")</f>
        <v>Operating Expenses</v>
      </c>
      <c r="AL18" s="75">
        <f>+AL10-AL21</f>
        <v>189.0931659595428</v>
      </c>
      <c r="AM18" s="28">
        <f>+AM10-AM21</f>
        <v>190.18764764267962</v>
      </c>
      <c r="AN18" s="29">
        <f>IF(AM18=0,"---",IF(OR(ABS((AL18-AM18)/ABS(AM18))&gt;9,(AL18*AM18)&lt;0),"---",IF(AM18="0","---",((AL18-AM18)/ABS(AM18)))))</f>
        <v>-5.7547464133586015E-3</v>
      </c>
      <c r="AO18" s="13"/>
      <c r="AP18" s="13"/>
      <c r="AQ18" s="78">
        <f>+AQ10-AQ21</f>
        <v>96.575297555865262</v>
      </c>
      <c r="AR18" s="31">
        <f>+AR10-AR21</f>
        <v>94.507102107559604</v>
      </c>
      <c r="AS18" s="32">
        <f t="shared" si="2"/>
        <v>2.1884021435254909E-2</v>
      </c>
      <c r="AT18" s="41"/>
      <c r="AU18" s="41"/>
      <c r="AV18" s="43"/>
    </row>
    <row r="19" spans="4:48" ht="17.25" customHeight="1" x14ac:dyDescent="0.45">
      <c r="D19" s="44" t="str">
        <f>+IF($B$3="esp","Margen EBITDA ","EBITDA Margin")</f>
        <v>EBITDA Margin</v>
      </c>
      <c r="E19" s="45"/>
      <c r="F19" s="77">
        <f>+F16/F10</f>
        <v>0.15120681117214485</v>
      </c>
      <c r="G19" s="46">
        <f>+G16/G10</f>
        <v>0.1550794220497225</v>
      </c>
      <c r="H19" s="47">
        <f t="shared" si="5"/>
        <v>-2.4971790753359837E-2</v>
      </c>
      <c r="K19" s="77">
        <f>+K16/K10</f>
        <v>-1.6150463225923072E-2</v>
      </c>
      <c r="L19" s="46">
        <f>+L16/L10</f>
        <v>6.4667607445043655E-3</v>
      </c>
      <c r="M19" s="47" t="str">
        <f t="shared" si="0"/>
        <v>---</v>
      </c>
      <c r="N19" s="41"/>
      <c r="O19" s="41"/>
      <c r="P19" s="42"/>
      <c r="T19" s="33" t="str">
        <f>+IF($B$3="esp","Privado","Private")</f>
        <v>Private</v>
      </c>
      <c r="V19" s="76">
        <v>28.956906170204533</v>
      </c>
      <c r="W19" s="34">
        <v>18.235961542212262</v>
      </c>
      <c r="X19" s="35">
        <f>IF(W19=0,"---",IF(OR(ABS((V19-W19)/ABS(W19))&gt;9,(V19*W19)&lt;0),"---",IF(W19="0","---",((V19-W19)/ABS(W19)))))</f>
        <v>0.58790125232363699</v>
      </c>
      <c r="AA19" s="79">
        <v>-16.676210306218341</v>
      </c>
      <c r="AB19" s="37">
        <v>-18.739840244724121</v>
      </c>
      <c r="AC19" s="38">
        <f>IF(AB19=0,"---",IF(OR(ABS((AA19-AB19)/ABS(AB19))&gt;9,(AA19*AB19)&lt;0),"---",IF(AB19="0","---",((AA19-AB19)/ABS(AB19)))))</f>
        <v>0.11011993227032764</v>
      </c>
      <c r="AD19" s="41"/>
      <c r="AE19" s="41"/>
      <c r="AF19" s="42"/>
      <c r="AJ19" s="48" t="str">
        <f>+IF($B$3="esp","Gastos variables","Variable Expenses")</f>
        <v>Variable Expenses</v>
      </c>
      <c r="AL19" s="76">
        <v>38.414147095323486</v>
      </c>
      <c r="AM19" s="34">
        <v>45.055637920161928</v>
      </c>
      <c r="AN19" s="35">
        <f>IF(AM19=0,"---",IF(OR(ABS((AL19-AM19)/ABS(AM19))&gt;9,(AL19*AM19)&lt;0),"---",IF(AM19="0","---",((AL19-AM19)/ABS(AM19)))))</f>
        <v>-0.14740643194547789</v>
      </c>
      <c r="AO19" s="13"/>
      <c r="AP19" s="13"/>
      <c r="AQ19" s="79">
        <v>20.652904781957758</v>
      </c>
      <c r="AR19" s="37">
        <v>21.008257661164521</v>
      </c>
      <c r="AS19" s="38">
        <f t="shared" si="2"/>
        <v>-1.6914914360730695E-2</v>
      </c>
      <c r="AT19" s="41"/>
      <c r="AU19" s="41"/>
      <c r="AV19" s="43"/>
    </row>
    <row r="20" spans="4:48" s="26" customFormat="1" ht="17.25" customHeight="1" x14ac:dyDescent="0.45">
      <c r="D20" s="27" t="str">
        <f>+IF($B$3="esp","Resultado de explotación (EBIT)","Operating Result (EBIT)")</f>
        <v>Operating Result (EBIT)</v>
      </c>
      <c r="F20" s="75">
        <v>31.509307482088648</v>
      </c>
      <c r="G20" s="49">
        <v>34.883807368950265</v>
      </c>
      <c r="H20" s="29">
        <f t="shared" si="5"/>
        <v>-9.6735423721701505E-2</v>
      </c>
      <c r="I20" s="3"/>
      <c r="J20" s="3"/>
      <c r="K20" s="75">
        <v>-20.57129919766551</v>
      </c>
      <c r="L20" s="49">
        <v>-16.466709517436414</v>
      </c>
      <c r="M20" s="29">
        <f t="shared" si="0"/>
        <v>-0.24926593111287917</v>
      </c>
      <c r="N20" s="28"/>
      <c r="O20" s="28"/>
      <c r="P20" s="30"/>
      <c r="T20" s="33" t="str">
        <f>+IF($B$3="esp","Brasil Público","Brazil Public")</f>
        <v>Brazil Public</v>
      </c>
      <c r="U20" s="3"/>
      <c r="V20" s="76">
        <v>6.9403203050952369</v>
      </c>
      <c r="W20" s="34">
        <v>10.365314932440169</v>
      </c>
      <c r="X20" s="35">
        <f>IF(W20=0,"---",IF(OR(ABS((V20-W20)/ABS(W20))&gt;9,(V20*W20)&lt;0),"---",IF(W20="0","---",((V20-W20)/ABS(W20)))))</f>
        <v>-0.33042841917188437</v>
      </c>
      <c r="Y20" s="3"/>
      <c r="Z20" s="3"/>
      <c r="AA20" s="79">
        <v>-1.9403039497815506</v>
      </c>
      <c r="AB20" s="37">
        <v>1.0325566218409694</v>
      </c>
      <c r="AC20" s="38" t="str">
        <f>IF(AB20=0,"---",IF(OR(ABS((AA20-AB20)/ABS(AB20))&gt;9,(AA20*AB20)&lt;0),"---",IF(AB20="0","---",((AA20-AB20)/ABS(AB20)))))</f>
        <v>---</v>
      </c>
      <c r="AD20" s="28"/>
      <c r="AE20" s="28"/>
      <c r="AF20" s="30"/>
      <c r="AJ20" s="48" t="str">
        <f>+IF($B$3="esp","Gastos fijos","Fixed Expenses")</f>
        <v>Fixed Expenses</v>
      </c>
      <c r="AK20" s="3"/>
      <c r="AL20" s="76">
        <f>+AL18-AL19</f>
        <v>150.6790188642193</v>
      </c>
      <c r="AM20" s="34">
        <f>+AM18-AM19</f>
        <v>145.13200972251769</v>
      </c>
      <c r="AN20" s="35">
        <f>IF(AM20=0,"---",IF(OR(ABS((AL20-AM20)/ABS(AM20))&gt;9,(AL20*AM20)&lt;0),"---",IF(AM20="0","---",((AL20-AM20)/ABS(AM20)))))</f>
        <v>3.8220439118200757E-2</v>
      </c>
      <c r="AQ20" s="79">
        <f>+AQ18-AQ19</f>
        <v>75.922392773907504</v>
      </c>
      <c r="AR20" s="37">
        <f>+AR18-AR19</f>
        <v>73.498844446395083</v>
      </c>
      <c r="AS20" s="38">
        <f t="shared" si="2"/>
        <v>3.2973965043491094E-2</v>
      </c>
      <c r="AT20" s="28"/>
      <c r="AU20" s="28"/>
      <c r="AV20" s="30"/>
    </row>
    <row r="21" spans="4:48" ht="17.25" customHeight="1" x14ac:dyDescent="0.45">
      <c r="D21" s="33" t="str">
        <f>+IF($B$3="esp","España","Spain")</f>
        <v>Spain</v>
      </c>
      <c r="F21" s="76">
        <v>3.7384665699992619</v>
      </c>
      <c r="G21" s="40">
        <v>-5.2045497328455461</v>
      </c>
      <c r="H21" s="35" t="str">
        <f t="shared" si="5"/>
        <v>---</v>
      </c>
      <c r="I21" s="45"/>
      <c r="J21" s="45"/>
      <c r="K21" s="76">
        <v>3.4851883499994583</v>
      </c>
      <c r="L21" s="40">
        <v>2.1210246843865241</v>
      </c>
      <c r="M21" s="35">
        <f t="shared" si="0"/>
        <v>0.64316255989613758</v>
      </c>
      <c r="N21" s="34"/>
      <c r="O21" s="34"/>
      <c r="P21" s="36"/>
      <c r="T21" s="33" t="str">
        <f>+IF($B$3="esp","Otros mercados","Other markets")</f>
        <v>Other markets</v>
      </c>
      <c r="U21" s="13"/>
      <c r="V21" s="76">
        <v>4.2844703153695027</v>
      </c>
      <c r="W21" s="34">
        <v>26.501808420878913</v>
      </c>
      <c r="X21" s="35">
        <f t="shared" ref="X21" si="8">IF(W21=0,"---",IF(OR(ABS((V21-W21)/ABS(W21))&gt;9,(V21*W21)&lt;0),"---",IF(W21="0","---",((V21-W21)/ABS(W21)))))</f>
        <v>-0.83833290742551481</v>
      </c>
      <c r="AA21" s="79">
        <v>-0.92693389205278531</v>
      </c>
      <c r="AB21" s="37">
        <v>5.9426671138280147</v>
      </c>
      <c r="AC21" s="38" t="str">
        <f t="shared" ref="AC21" si="9">IF(AB21=0,"---",IF(OR(ABS((AA21-AB21)/ABS(AB21))&gt;9,(AA21*AB21)&lt;0),"---",IF(AB21="0","---",((AA21-AB21)/ABS(AB21)))))</f>
        <v>---</v>
      </c>
      <c r="AD21" s="34"/>
      <c r="AE21" s="34"/>
      <c r="AF21" s="36"/>
      <c r="AJ21" s="27" t="str">
        <f>+IF($B$3="esp","EBITDA Contable","EBITDA")</f>
        <v>EBITDA</v>
      </c>
      <c r="AL21" s="75">
        <v>17.58257536030613</v>
      </c>
      <c r="AM21" s="28">
        <v>14.307785889968248</v>
      </c>
      <c r="AN21" s="29">
        <f t="shared" ref="AN21:AN22" si="10">IF(AM21=0,"---",IF(OR(ABS((AL21-AM21)/ABS(AM21))&gt;9,(AL21*AM21)&lt;0),"---",IF(AM21="0","---",((AL21-AM21)/ABS(AM21)))))</f>
        <v>0.22888163797823999</v>
      </c>
      <c r="AQ21" s="78">
        <v>18.66338550892155</v>
      </c>
      <c r="AR21" s="31">
        <v>12.39646191881811</v>
      </c>
      <c r="AS21" s="32">
        <f t="shared" si="2"/>
        <v>0.50554130937877595</v>
      </c>
      <c r="AT21" s="34"/>
      <c r="AU21" s="34"/>
      <c r="AV21" s="36"/>
    </row>
    <row r="22" spans="4:48" ht="17.25" customHeight="1" x14ac:dyDescent="0.45">
      <c r="D22" s="33" t="str">
        <f>+IF($B$3="esp","Internacional","International")</f>
        <v>International</v>
      </c>
      <c r="F22" s="76">
        <v>27.770840912089383</v>
      </c>
      <c r="G22" s="40">
        <v>40.088357101795808</v>
      </c>
      <c r="H22" s="35">
        <f t="shared" si="5"/>
        <v>-0.30725919145124175</v>
      </c>
      <c r="I22" s="26"/>
      <c r="J22" s="26"/>
      <c r="K22" s="76">
        <v>-24.056487547664968</v>
      </c>
      <c r="L22" s="40">
        <v>-18.58773420182294</v>
      </c>
      <c r="M22" s="35">
        <f t="shared" si="0"/>
        <v>-0.29421301630758717</v>
      </c>
      <c r="N22" s="34"/>
      <c r="O22" s="34"/>
      <c r="P22" s="36"/>
      <c r="T22" s="44" t="str">
        <f>+IF($B$3="esp","Margen EBITDA ","EBITDA Margin")</f>
        <v>EBITDA Margin</v>
      </c>
      <c r="U22" s="45"/>
      <c r="V22" s="77">
        <f>+V18/V10</f>
        <v>0.19198471285319357</v>
      </c>
      <c r="W22" s="46">
        <f>+W18/W10</f>
        <v>0.23434750000337215</v>
      </c>
      <c r="X22" s="47">
        <f>IF(W22=0,"---",IF(OR(ABS((V22-W22)/ABS(W22))&gt;9,(V22*W22)&lt;0),"---",IF(W22="0","---",((V22-W22)/ABS(W22)))))</f>
        <v>-0.18076910207947172</v>
      </c>
      <c r="AA22" s="77">
        <f>+AA18/AA10</f>
        <v>-0.36010985109657445</v>
      </c>
      <c r="AB22" s="46">
        <f>+AB18/AB10</f>
        <v>-0.17964264102673189</v>
      </c>
      <c r="AC22" s="50">
        <f>IF(AB22=0,"---",IF(OR(ABS((AA22-AB22)/ABS(AB22))&gt;9,(AA22*AB22)&lt;0),"---",IF(AB22="0","---",((AA22-AB22)/ABS(AB22)))))</f>
        <v>-1.0045900518852202</v>
      </c>
      <c r="AD22" s="34"/>
      <c r="AE22" s="34"/>
      <c r="AF22" s="36"/>
      <c r="AJ22" s="44" t="str">
        <f>+IF($B$3="esp","Margen EBITDA ","EBITDA Margin")</f>
        <v>EBITDA Margin</v>
      </c>
      <c r="AK22" s="45"/>
      <c r="AL22" s="77">
        <f>+AL21/AL10</f>
        <v>8.5073242016805176E-2</v>
      </c>
      <c r="AM22" s="46">
        <f>+AM21/AM10</f>
        <v>6.9966285519446558E-2</v>
      </c>
      <c r="AN22" s="29">
        <f t="shared" si="10"/>
        <v>0.2159176578433589</v>
      </c>
      <c r="AQ22" s="77">
        <f>+AQ21/AQ10</f>
        <v>0.16195417209366281</v>
      </c>
      <c r="AR22" s="46">
        <f>+AR21/AR10</f>
        <v>0.11595929501245973</v>
      </c>
      <c r="AS22" s="50">
        <f t="shared" si="2"/>
        <v>0.39664674639718156</v>
      </c>
      <c r="AT22" s="34"/>
      <c r="AU22" s="34"/>
      <c r="AV22" s="36"/>
    </row>
    <row r="23" spans="4:48" ht="17.25" customHeight="1" x14ac:dyDescent="0.45">
      <c r="D23" s="44" t="str">
        <f>+IF($B$3="esp","Margen EBIT ","EBIT Margin")</f>
        <v>EBIT Margin</v>
      </c>
      <c r="E23" s="45"/>
      <c r="F23" s="77">
        <f>+F20/F10</f>
        <v>7.4040837915044247E-2</v>
      </c>
      <c r="G23" s="46">
        <f>+G20/G10</f>
        <v>7.9154300125157867E-2</v>
      </c>
      <c r="H23" s="47">
        <f t="shared" si="5"/>
        <v>-6.4601192885645795E-2</v>
      </c>
      <c r="K23" s="77">
        <f>+K20/K10</f>
        <v>-0.12144333811219107</v>
      </c>
      <c r="L23" s="46">
        <f>+L20/L10</f>
        <v>-9.4747637047649436E-2</v>
      </c>
      <c r="M23" s="47">
        <f t="shared" si="0"/>
        <v>-0.28175585055610547</v>
      </c>
      <c r="N23" s="41"/>
      <c r="O23" s="41"/>
      <c r="P23" s="42"/>
      <c r="T23" s="27" t="str">
        <f>+IF($B$3="esp","Resultado de explotación (EBIT)","Operating Result (EBIT)")</f>
        <v>Operating Result (EBIT)</v>
      </c>
      <c r="U23" s="26"/>
      <c r="V23" s="75">
        <v>21.220416695475492</v>
      </c>
      <c r="W23" s="28">
        <v>34.261369836970644</v>
      </c>
      <c r="X23" s="29">
        <f>IF(W23=0,"---",IF(OR(ABS((V23-W23)/ABS(W23))&gt;9,(V23*W23)&lt;0),"---",IF(W23="0","---",((V23-W23)/ABS(W23)))))</f>
        <v>-0.38063139925663347</v>
      </c>
      <c r="AA23" s="78">
        <v>-30.469318672153673</v>
      </c>
      <c r="AB23" s="31">
        <v>-22.992516828605225</v>
      </c>
      <c r="AC23" s="32">
        <f>IF(AB23=0,"---",IF(OR(ABS((AA23-AB23)/ABS(AB23))&gt;9,(AA23*AB23)&lt;0),"---",IF(AB23="0","---",((AA23-AB23)/ABS(AB23)))))</f>
        <v>-0.32518414140058305</v>
      </c>
      <c r="AD23" s="41"/>
      <c r="AE23" s="41"/>
      <c r="AF23" s="42"/>
      <c r="AJ23" s="27" t="str">
        <f>+IF($B$3="esp","Resultado de explotación contable (EBIT)","Operating Result (EBIT)")</f>
        <v>Operating Result (EBIT)</v>
      </c>
      <c r="AL23" s="75">
        <v>3.9248681583652174</v>
      </c>
      <c r="AM23" s="28">
        <v>1.9491035634652401</v>
      </c>
      <c r="AN23" s="29">
        <f>IF(AM23=0,"---",IF(OR(ABS((AL23-AM23)/ABS(AM23))&gt;9,(AL23*AM23)&lt;0),"---",IF(AM23="0","---",((AL23-AM23)/ABS(AM23)))))</f>
        <v>1.0136786120216914</v>
      </c>
      <c r="AQ23" s="78">
        <v>11.847712155309733</v>
      </c>
      <c r="AR23" s="31">
        <v>6.1681049357220674</v>
      </c>
      <c r="AS23" s="32">
        <f>IF(AR23=0,"---",IF(OR(ABS((AQ23-AR23)/ABS(AR23))&gt;9,(AQ23*AR23)&lt;0),"---",IF(AR23="0","---",((AQ23-AR23)/ABS(AR23)))))</f>
        <v>0.9208026255673265</v>
      </c>
      <c r="AT23" s="41"/>
      <c r="AU23" s="41"/>
      <c r="AV23" s="42"/>
    </row>
    <row r="24" spans="4:48" ht="17.25" customHeight="1" x14ac:dyDescent="0.45">
      <c r="D24" s="27" t="str">
        <f>+IF($B$3="esp","Resultado Financiero","Financial Result")</f>
        <v>Financial Result</v>
      </c>
      <c r="E24" s="26"/>
      <c r="F24" s="75">
        <v>-49.096636881309756</v>
      </c>
      <c r="G24" s="49">
        <v>-65.464862207524092</v>
      </c>
      <c r="H24" s="29">
        <f t="shared" si="5"/>
        <v>0.25003070004679673</v>
      </c>
      <c r="K24" s="75">
        <v>-27.786189926198151</v>
      </c>
      <c r="L24" s="49">
        <v>-33.230098025786674</v>
      </c>
      <c r="M24" s="29">
        <f t="shared" si="0"/>
        <v>0.16382461753089114</v>
      </c>
      <c r="N24" s="41"/>
      <c r="O24" s="41"/>
      <c r="P24" s="42"/>
      <c r="T24" s="33" t="str">
        <f>+IF($B$3="esp","Privado","Private")</f>
        <v>Private</v>
      </c>
      <c r="V24" s="76">
        <v>12.79055206936942</v>
      </c>
      <c r="W24" s="34">
        <v>1.9501480607046624</v>
      </c>
      <c r="X24" s="35">
        <f>IF(W24=0,"---",IF(OR(ABS((V24-W24)/ABS(W24))&gt;9,(V24*W24)&lt;0),"---",IF(W24="0","---",((V24-W24)/ABS(W24)))))</f>
        <v>5.5587594742666404</v>
      </c>
      <c r="Y24" s="45"/>
      <c r="Z24" s="45"/>
      <c r="AA24" s="79">
        <v>-26.207417859328146</v>
      </c>
      <c r="AB24" s="37">
        <v>-27.939453710983223</v>
      </c>
      <c r="AC24" s="38">
        <f>IF(AB24=0,"---",IF(OR(ABS((AA24-AB24)/ABS(AB24))&gt;9,(AA24*AB24)&lt;0),"---",IF(AB24="0","---",((AA24-AB24)/ABS(AB24)))))</f>
        <v>6.1992473781769031E-2</v>
      </c>
      <c r="AD24" s="41"/>
      <c r="AE24" s="41"/>
      <c r="AF24" s="42"/>
      <c r="AJ24" s="44" t="str">
        <f>+IF($B$3="esp","Margen EBIT ","EBIT Margin")</f>
        <v>EBIT Margin</v>
      </c>
      <c r="AL24" s="77">
        <f>+AL23/AL10</f>
        <v>1.8990463676581849E-2</v>
      </c>
      <c r="AM24" s="46">
        <f>+AM23/AM10</f>
        <v>9.5312816026968342E-3</v>
      </c>
      <c r="AN24" s="47">
        <f>IF(AM24=0,"---",IF(OR(ABS((AL24-AM24)/ABS(AM24))&gt;9,(AL24*AM24)&lt;0),"---",IF(AM24="0","---",((AL24-AM24)/ABS(AM24)))))</f>
        <v>0.99243548435381246</v>
      </c>
      <c r="AO24" s="45"/>
      <c r="AP24" s="45"/>
      <c r="AQ24" s="77">
        <f>+AQ23/AQ10</f>
        <v>0.10281020088236333</v>
      </c>
      <c r="AR24" s="46">
        <f>+AR23/AR10</f>
        <v>5.7697841899827872E-2</v>
      </c>
      <c r="AS24" s="50">
        <f>IF(AR24=0,"---",IF(OR(ABS((AQ24-AR24)/ABS(AR24))&gt;9,(AQ24*AR24)&lt;0),"---",IF(AR24="0","---",((AQ24-AR24)/ABS(AR24)))))</f>
        <v>0.78187255358453944</v>
      </c>
      <c r="AT24" s="41"/>
      <c r="AU24" s="41"/>
      <c r="AV24" s="42"/>
    </row>
    <row r="25" spans="4:48" s="45" customFormat="1" ht="17.25" customHeight="1" x14ac:dyDescent="0.45">
      <c r="D25" s="33" t="str">
        <f>+IF($B$3="esp","Gastos por intereses de financiación","Interests on debt")</f>
        <v>Interests on debt</v>
      </c>
      <c r="E25" s="3"/>
      <c r="F25" s="76">
        <v>-43.175855425954481</v>
      </c>
      <c r="G25" s="34">
        <v>-45.394910622929686</v>
      </c>
      <c r="H25" s="35">
        <f t="shared" si="5"/>
        <v>4.8883347637969025E-2</v>
      </c>
      <c r="I25" s="3"/>
      <c r="J25" s="3"/>
      <c r="K25" s="76">
        <v>-20.604722996278387</v>
      </c>
      <c r="L25" s="34">
        <v>-23.266035523602216</v>
      </c>
      <c r="M25" s="35">
        <f t="shared" si="0"/>
        <v>0.1143861628090468</v>
      </c>
      <c r="N25" s="51"/>
      <c r="O25" s="51"/>
      <c r="P25" s="52"/>
      <c r="T25" s="33" t="str">
        <f>+IF($B$3="esp","Brasil Público","Brazil Public")</f>
        <v>Brazil Public</v>
      </c>
      <c r="U25" s="3"/>
      <c r="V25" s="76">
        <v>5.2276365098017976</v>
      </c>
      <c r="W25" s="34">
        <v>6.8324699653403602</v>
      </c>
      <c r="X25" s="35">
        <f>IF(W25=0,"---",IF(OR(ABS((V25-W25)/ABS(W25))&gt;9,(V25*W25)&lt;0),"---",IF(W25="0","---",((V25-W25)/ABS(W25)))))</f>
        <v>-0.23488335311820396</v>
      </c>
      <c r="Y25" s="26"/>
      <c r="Z25" s="26"/>
      <c r="AA25" s="79">
        <v>-2.7942845075772009</v>
      </c>
      <c r="AB25" s="37">
        <v>-0.6092536800180024</v>
      </c>
      <c r="AC25" s="38">
        <f>IF(AB25=0,"---",IF(OR(ABS((AA25-AB25)/ABS(AB25))&gt;9,(AA25*AB25)&lt;0),"---",IF(AB25="0","---",((AA25-AB25)/ABS(AB25)))))</f>
        <v>-3.586405629088091</v>
      </c>
      <c r="AD25" s="51"/>
      <c r="AE25" s="51"/>
      <c r="AF25" s="52"/>
      <c r="AJ25" s="27" t="str">
        <f>+IF($B$3="esp","Resultado Financiero","Financial Result")</f>
        <v>Financial Result</v>
      </c>
      <c r="AK25" s="3"/>
      <c r="AL25" s="75">
        <v>-5.6411913143696317</v>
      </c>
      <c r="AM25" s="28">
        <v>-4.7367668307875919</v>
      </c>
      <c r="AN25" s="29">
        <f>IF(AM25=0,"---",IF(OR(ABS((AL25-AM25)/ABS(AM25))&gt;9,(AL25*AM25)&lt;0),"---",IF(AM25="0","---",((AL25-AM25)/ABS(AM25)))))</f>
        <v>-0.19093709187953831</v>
      </c>
      <c r="AO25" s="26"/>
      <c r="AP25" s="26"/>
      <c r="AQ25" s="78">
        <v>-3.7820876546473348</v>
      </c>
      <c r="AR25" s="31">
        <v>-2.3141291360757763</v>
      </c>
      <c r="AS25" s="32">
        <f>IF(AR25=0,"---",IF(OR(ABS((AQ25-AR25)/ABS(AR25))&gt;9,(AQ25*AR25)&lt;0),"---",IF(AR25="0","---",((AQ25-AR25)/ABS(AR25)))))</f>
        <v>-0.63434598168573864</v>
      </c>
      <c r="AT25" s="51"/>
      <c r="AU25" s="51"/>
      <c r="AV25" s="52"/>
    </row>
    <row r="26" spans="4:48" s="26" customFormat="1" ht="17.25" customHeight="1" x14ac:dyDescent="0.45">
      <c r="D26" s="33" t="str">
        <f>+IF($B$3="esp","Otros resultados financieros","Other financial results")</f>
        <v>Other financial results</v>
      </c>
      <c r="E26" s="3"/>
      <c r="F26" s="76">
        <v>-5.9207814553552742</v>
      </c>
      <c r="G26" s="34">
        <v>-20.069951584594403</v>
      </c>
      <c r="H26" s="35">
        <f t="shared" si="5"/>
        <v>0.70499273850266597</v>
      </c>
      <c r="I26" s="3"/>
      <c r="J26" s="3"/>
      <c r="K26" s="76">
        <v>-7.1814669299197664</v>
      </c>
      <c r="L26" s="34">
        <v>-9.9640625021844613</v>
      </c>
      <c r="M26" s="35">
        <f t="shared" si="0"/>
        <v>0.27926315914363797</v>
      </c>
      <c r="N26" s="28"/>
      <c r="O26" s="28"/>
      <c r="P26" s="30"/>
      <c r="T26" s="33" t="str">
        <f>+IF($B$3="esp","Otros mercados","Other markets")</f>
        <v>Other markets</v>
      </c>
      <c r="U26" s="13"/>
      <c r="V26" s="76">
        <v>3.2022281163042736</v>
      </c>
      <c r="W26" s="34">
        <v>25.478751810925623</v>
      </c>
      <c r="X26" s="35">
        <f t="shared" ref="X26" si="11">IF(W26=0,"---",IF(OR(ABS((V26-W26)/ABS(W26))&gt;9,(V26*W26)&lt;0),"---",IF(W26="0","---",((V26-W26)/ABS(W26)))))</f>
        <v>-0.87431770048754442</v>
      </c>
      <c r="Y26" s="3"/>
      <c r="Z26" s="3"/>
      <c r="AA26" s="79">
        <v>-1.4676163052483253</v>
      </c>
      <c r="AB26" s="37">
        <v>5.5561905623960008</v>
      </c>
      <c r="AC26" s="38" t="str">
        <f t="shared" ref="AC26" si="12">IF(AB26=0,"---",IF(OR(ABS((AA26-AB26)/ABS(AB26))&gt;9,(AA26*AB26)&lt;0),"---",IF(AB26="0","---",((AA26-AB26)/ABS(AB26)))))</f>
        <v>---</v>
      </c>
      <c r="AD26" s="28"/>
      <c r="AE26" s="28"/>
      <c r="AF26" s="30"/>
      <c r="AJ26" s="27" t="str">
        <f>+IF($B$3="esp","Resultado puesta en equivalencia","Result from associates")</f>
        <v>Result from associates</v>
      </c>
      <c r="AK26" s="3"/>
      <c r="AL26" s="75">
        <v>2.7729015746601315</v>
      </c>
      <c r="AM26" s="28">
        <v>0.37782331962079596</v>
      </c>
      <c r="AN26" s="29">
        <f t="shared" ref="AN26:AN31" si="13">IF(AM26=0,"---",IF(OR(ABS((AL26-AM26)/ABS(AM26))&gt;9,(AL26*AM26)&lt;0),"---",IF(AM26="0","---",((AL26-AM26)/ABS(AM26)))))</f>
        <v>6.3391488313722046</v>
      </c>
      <c r="AO26" s="3"/>
      <c r="AP26" s="3"/>
      <c r="AQ26" s="78">
        <v>0.2845192321075915</v>
      </c>
      <c r="AR26" s="31">
        <v>0.37217689758757344</v>
      </c>
      <c r="AS26" s="32">
        <f t="shared" ref="AS26:AS31" si="14">IF(AR26=0,"---",IF(OR(ABS((AQ26-AR26)/ABS(AR26))&gt;9,(AQ26*AR26)&lt;0),"---",IF(AR26="0","---",((AQ26-AR26)/ABS(AR26)))))</f>
        <v>-0.23552688532838351</v>
      </c>
      <c r="AT26" s="28"/>
      <c r="AU26" s="28"/>
      <c r="AV26" s="30"/>
    </row>
    <row r="27" spans="4:48" ht="17.25" customHeight="1" x14ac:dyDescent="0.45">
      <c r="D27" s="27" t="str">
        <f>+IF($B$3="esp","Resultado puesta en equivalencia","Result from associates")</f>
        <v>Result from associates</v>
      </c>
      <c r="E27" s="26"/>
      <c r="F27" s="75">
        <v>2.7729015746601315</v>
      </c>
      <c r="G27" s="28">
        <v>0.37580151858295596</v>
      </c>
      <c r="H27" s="29">
        <f t="shared" si="5"/>
        <v>6.3786332346819137</v>
      </c>
      <c r="I27" s="45"/>
      <c r="J27" s="45"/>
      <c r="K27" s="75">
        <v>0.28451944626604153</v>
      </c>
      <c r="L27" s="28">
        <v>0.36887438195409339</v>
      </c>
      <c r="M27" s="29">
        <f t="shared" si="0"/>
        <v>-0.22868201158667037</v>
      </c>
      <c r="N27" s="34"/>
      <c r="O27" s="34"/>
      <c r="P27" s="36"/>
      <c r="T27" s="44" t="str">
        <f>+IF($B$3="esp","Margen EBIT ","EBIT Margin")</f>
        <v>EBIT Margin</v>
      </c>
      <c r="U27" s="45"/>
      <c r="V27" s="77">
        <f>+V23/V10</f>
        <v>0.10138933721813395</v>
      </c>
      <c r="W27" s="46">
        <f>+W23/W10</f>
        <v>0.14570992501068014</v>
      </c>
      <c r="X27" s="47">
        <f>IF(W27=0,"---",IF(OR(ABS((V27-W27)/ABS(W27))&gt;9,(V27*W27)&lt;0),"---",IF(W27="0","---",((V27-W27)/ABS(W27)))))</f>
        <v>-0.30416999932775762</v>
      </c>
      <c r="AA27" s="77">
        <f>+AA23/AA10</f>
        <v>-0.56143121351574909</v>
      </c>
      <c r="AB27" s="46">
        <f>+AB23/AB10</f>
        <v>-0.35108976512435019</v>
      </c>
      <c r="AC27" s="50">
        <f>IF(AB27=0,"---",IF(OR(ABS((AA27-AB27)/ABS(AB27))&gt;9,(AA27*AB27)&lt;0),"---",IF(AB27="0","---",((AA27-AB27)/ABS(AB27)))))</f>
        <v>-0.59911016863991873</v>
      </c>
      <c r="AD27" s="34"/>
      <c r="AE27" s="34"/>
      <c r="AF27" s="36"/>
      <c r="AJ27" s="27" t="str">
        <f>+IF($B$3="esp","Resultado antes de impuestos","Profit before tax")</f>
        <v>Profit before tax</v>
      </c>
      <c r="AL27" s="75">
        <f>+AL23+AL25+AL26</f>
        <v>1.0565784186557172</v>
      </c>
      <c r="AM27" s="28">
        <f>+AM23+AM25+AM26</f>
        <v>-2.4098399477015562</v>
      </c>
      <c r="AN27" s="29" t="str">
        <f t="shared" si="13"/>
        <v>---</v>
      </c>
      <c r="AQ27" s="78">
        <f>+AQ23+AQ25+AQ26</f>
        <v>8.3501437327699897</v>
      </c>
      <c r="AR27" s="31">
        <f>+AR23+AR25+AR26</f>
        <v>4.2261526972338643</v>
      </c>
      <c r="AS27" s="32">
        <f t="shared" si="14"/>
        <v>0.97582632029254246</v>
      </c>
      <c r="AT27" s="34"/>
      <c r="AU27" s="34"/>
      <c r="AV27" s="36"/>
    </row>
    <row r="28" spans="4:48" ht="17.25" customHeight="1" x14ac:dyDescent="0.45">
      <c r="D28" s="27" t="str">
        <f>+IF($B$3="esp","Resultado antes de impuestos","Profit before tax")</f>
        <v>Profit before tax</v>
      </c>
      <c r="E28" s="26"/>
      <c r="F28" s="75">
        <f>+F20+F24+F27</f>
        <v>-14.814427824560976</v>
      </c>
      <c r="G28" s="28">
        <f>+G20+G24+G27</f>
        <v>-30.20525331999087</v>
      </c>
      <c r="H28" s="29">
        <f t="shared" si="5"/>
        <v>0.50954134806887119</v>
      </c>
      <c r="I28" s="26"/>
      <c r="J28" s="26"/>
      <c r="K28" s="75">
        <f>+K20+K24+K27</f>
        <v>-48.072969677597619</v>
      </c>
      <c r="L28" s="28">
        <f>+L20+L24+L27</f>
        <v>-49.327933161268994</v>
      </c>
      <c r="M28" s="29">
        <f t="shared" si="0"/>
        <v>2.544123386577931E-2</v>
      </c>
      <c r="N28" s="34"/>
      <c r="O28" s="34"/>
      <c r="P28" s="36"/>
      <c r="T28" s="27" t="str">
        <f>+IF($B$3="esp","Resultado Financiero","Financial Result")</f>
        <v>Financial Result</v>
      </c>
      <c r="U28" s="26"/>
      <c r="V28" s="75">
        <v>-3.2927694369401452</v>
      </c>
      <c r="W28" s="28">
        <v>-20.059549286736583</v>
      </c>
      <c r="X28" s="29">
        <f>IF(W28=0,"---",IF(OR(ABS((V28-W28)/ABS(W28))&gt;9,(V28*W28)&lt;0),"---",IF(W28="0","---",((V28-W28)/ABS(W28)))))</f>
        <v>0.83585027809586276</v>
      </c>
      <c r="AA28" s="78">
        <v>-0.95813798155084573</v>
      </c>
      <c r="AB28" s="31">
        <v>-14.277388939710962</v>
      </c>
      <c r="AC28" s="32">
        <f>IF(AB28=0,"---",IF(OR(ABS((AA28-AB28)/ABS(AB28))&gt;9,(AA28*AB28)&lt;0),"---",IF(AB28="0","---",((AA28-AB28)/ABS(AB28)))))</f>
        <v>0.93289123203151714</v>
      </c>
      <c r="AD28" s="34"/>
      <c r="AE28" s="34"/>
      <c r="AF28" s="36"/>
      <c r="AJ28" s="33" t="str">
        <f>+IF($B$3="esp","Impuesto sobre sociedades","Income tax expense")</f>
        <v>Income tax expense</v>
      </c>
      <c r="AK28" s="26"/>
      <c r="AL28" s="76">
        <v>1.2593876793190184</v>
      </c>
      <c r="AM28" s="34">
        <v>0.64282990382766403</v>
      </c>
      <c r="AN28" s="29">
        <f t="shared" si="13"/>
        <v>0.95913051309549391</v>
      </c>
      <c r="AO28" s="26"/>
      <c r="AP28" s="26"/>
      <c r="AQ28" s="79">
        <v>2.8039574072704792</v>
      </c>
      <c r="AR28" s="37">
        <v>0.70946684010670968</v>
      </c>
      <c r="AS28" s="38">
        <f t="shared" si="14"/>
        <v>2.9522036108815755</v>
      </c>
      <c r="AT28" s="34"/>
      <c r="AU28" s="34"/>
      <c r="AV28" s="36"/>
    </row>
    <row r="29" spans="4:48" ht="17.25" customHeight="1" x14ac:dyDescent="0.45">
      <c r="D29" s="33" t="str">
        <f>+IF($B$3="esp","Impuesto sobre sociedades","Income tax expense")</f>
        <v>Income tax expense</v>
      </c>
      <c r="F29" s="76">
        <v>9.7606124274124326</v>
      </c>
      <c r="G29" s="34">
        <v>5.8437561952889112</v>
      </c>
      <c r="H29" s="35">
        <f t="shared" si="5"/>
        <v>0.67026345747982985</v>
      </c>
      <c r="K29" s="76">
        <v>-4.8670736727958355</v>
      </c>
      <c r="L29" s="34">
        <v>-8.2837303430330724</v>
      </c>
      <c r="M29" s="35">
        <f t="shared" si="0"/>
        <v>0.41245387388916799</v>
      </c>
      <c r="N29" s="41"/>
      <c r="O29" s="41"/>
      <c r="P29" s="42"/>
      <c r="T29" s="27" t="str">
        <f>+IF($B$3="esp","Resultado puesta en equivalencia","Result from associates")</f>
        <v>Result from associates</v>
      </c>
      <c r="U29" s="26"/>
      <c r="V29" s="75">
        <v>0</v>
      </c>
      <c r="W29" s="28">
        <v>0</v>
      </c>
      <c r="X29" s="29" t="str">
        <f t="shared" ref="X29:X34" si="15">IF(W29=0,"---",IF(OR(ABS((V29-W29)/ABS(W29))&gt;9,(V29*W29)&lt;0),"---",IF(W29="0","---",((V29-W29)/ABS(W29)))))</f>
        <v>---</v>
      </c>
      <c r="Y29" s="45"/>
      <c r="Z29" s="45"/>
      <c r="AA29" s="78">
        <v>0</v>
      </c>
      <c r="AB29" s="31">
        <v>0</v>
      </c>
      <c r="AC29" s="32" t="str">
        <f t="shared" ref="AC29:AC34" si="16">IF(AB29=0,"---",IF(OR(ABS((AA29-AB29)/ABS(AB29))&gt;9,(AA29*AB29)&lt;0),"---",IF(AB29="0","---",((AA29-AB29)/ABS(AB29)))))</f>
        <v>---</v>
      </c>
      <c r="AD29" s="41"/>
      <c r="AE29" s="41"/>
      <c r="AF29" s="42"/>
      <c r="AJ29" s="33" t="str">
        <f>+IF($B$3="esp","Resultado operaciones en discontinuación","Results from discontinued activities")</f>
        <v>Results from discontinued activities</v>
      </c>
      <c r="AL29" s="76">
        <v>0</v>
      </c>
      <c r="AM29" s="34">
        <v>0</v>
      </c>
      <c r="AN29" s="35" t="str">
        <f t="shared" si="13"/>
        <v>---</v>
      </c>
      <c r="AQ29" s="79">
        <v>0</v>
      </c>
      <c r="AR29" s="37">
        <v>0</v>
      </c>
      <c r="AS29" s="38" t="str">
        <f t="shared" si="14"/>
        <v>---</v>
      </c>
      <c r="AT29" s="41"/>
      <c r="AU29" s="41"/>
      <c r="AV29" s="42"/>
    </row>
    <row r="30" spans="4:48" ht="17.25" customHeight="1" x14ac:dyDescent="0.45">
      <c r="D30" s="33" t="str">
        <f>+IF($B$3="esp","Resultado operaciones en discontinuación","Results from discontinued activities")</f>
        <v>Results from discontinued activities</v>
      </c>
      <c r="E30" s="26"/>
      <c r="F30" s="76">
        <v>-1.7037129999999963E-2</v>
      </c>
      <c r="G30" s="34">
        <v>-0.34977999999999998</v>
      </c>
      <c r="H30" s="35">
        <f t="shared" si="5"/>
        <v>0.95129186917491004</v>
      </c>
      <c r="K30" s="76">
        <v>-1.6867129999999959E-2</v>
      </c>
      <c r="L30" s="34">
        <v>-0.34956999999999999</v>
      </c>
      <c r="M30" s="35">
        <f t="shared" si="0"/>
        <v>0.95174892010183954</v>
      </c>
      <c r="N30" s="41"/>
      <c r="O30" s="41"/>
      <c r="P30" s="42"/>
      <c r="T30" s="27" t="str">
        <f>+IF($B$3="esp","Resultado antes de impuestos","Profit before tax")</f>
        <v>Profit before tax</v>
      </c>
      <c r="U30" s="26"/>
      <c r="V30" s="75">
        <f>+V23+V28+V29</f>
        <v>17.927647258535348</v>
      </c>
      <c r="W30" s="28">
        <f>+W23+W28+W29</f>
        <v>14.201820550234061</v>
      </c>
      <c r="X30" s="29">
        <f t="shared" si="15"/>
        <v>0.26234852743860942</v>
      </c>
      <c r="Y30" s="26"/>
      <c r="Z30" s="26"/>
      <c r="AA30" s="78">
        <f>+AA23+AA28+AA29</f>
        <v>-31.427456653704517</v>
      </c>
      <c r="AB30" s="31">
        <f>+AB23+AB28+AB29</f>
        <v>-37.269905768316185</v>
      </c>
      <c r="AC30" s="32">
        <f t="shared" si="16"/>
        <v>0.15676050137959938</v>
      </c>
      <c r="AD30" s="41"/>
      <c r="AE30" s="41"/>
      <c r="AF30" s="42"/>
      <c r="AJ30" s="33" t="str">
        <f>+IF($B$3="esp","Resultado atribuido a socios externos","Minority interest")</f>
        <v>Minority interest</v>
      </c>
      <c r="AL30" s="76">
        <v>-0.25468663715648543</v>
      </c>
      <c r="AM30" s="34">
        <v>-0.29241937638425197</v>
      </c>
      <c r="AN30" s="35">
        <f t="shared" si="13"/>
        <v>0.12903638498354519</v>
      </c>
      <c r="AQ30" s="79">
        <v>0.45227040452814377</v>
      </c>
      <c r="AR30" s="37">
        <v>0.17971742332023377</v>
      </c>
      <c r="AS30" s="38">
        <f t="shared" si="14"/>
        <v>1.5165640379912135</v>
      </c>
      <c r="AT30" s="41"/>
      <c r="AU30" s="41"/>
      <c r="AV30" s="42"/>
    </row>
    <row r="31" spans="4:48" s="45" customFormat="1" ht="17.25" customHeight="1" x14ac:dyDescent="0.45">
      <c r="D31" s="33" t="str">
        <f>+IF($B$3="esp","Resultado atribuido a socios externos","Minority interest")</f>
        <v>Minority interest</v>
      </c>
      <c r="E31" s="26"/>
      <c r="F31" s="76">
        <v>-0.20670912040375208</v>
      </c>
      <c r="G31" s="34">
        <v>-0.1482051316164712</v>
      </c>
      <c r="H31" s="35">
        <f t="shared" si="5"/>
        <v>-0.39475008826738139</v>
      </c>
      <c r="I31" s="3"/>
      <c r="J31" s="3"/>
      <c r="K31" s="76">
        <v>0.34462493635269775</v>
      </c>
      <c r="L31" s="34">
        <v>8.6496330400825994E-2</v>
      </c>
      <c r="M31" s="35">
        <f t="shared" si="0"/>
        <v>2.9842723356667022</v>
      </c>
      <c r="N31" s="51"/>
      <c r="O31" s="51"/>
      <c r="P31" s="52"/>
      <c r="T31" s="33" t="str">
        <f>+IF($B$3="esp","Impuesto sobre sociedades","Income tax expense")</f>
        <v>Income tax expense</v>
      </c>
      <c r="U31" s="3"/>
      <c r="V31" s="76">
        <v>9.9911506780934118</v>
      </c>
      <c r="W31" s="34">
        <v>8.5839235914612431</v>
      </c>
      <c r="X31" s="35">
        <f t="shared" si="15"/>
        <v>0.1639375131474832</v>
      </c>
      <c r="Y31" s="3"/>
      <c r="Z31" s="3"/>
      <c r="AA31" s="79">
        <v>-5.5995682800663165</v>
      </c>
      <c r="AB31" s="37">
        <v>-6.0108782331397848</v>
      </c>
      <c r="AC31" s="38">
        <f t="shared" si="16"/>
        <v>6.8427596953435602E-2</v>
      </c>
      <c r="AD31" s="51"/>
      <c r="AE31" s="51"/>
      <c r="AF31" s="52"/>
      <c r="AJ31" s="27" t="str">
        <f>+IF($B$3="esp","Resultado Neto","Net Profit")</f>
        <v>Net Profit</v>
      </c>
      <c r="AK31" s="3"/>
      <c r="AL31" s="75">
        <v>5.1877376493184101E-2</v>
      </c>
      <c r="AM31" s="28">
        <v>-2.7602504751449684</v>
      </c>
      <c r="AN31" s="29" t="str">
        <f t="shared" si="13"/>
        <v>---</v>
      </c>
      <c r="AO31" s="26"/>
      <c r="AP31" s="26"/>
      <c r="AQ31" s="78">
        <v>5.0939159209713676</v>
      </c>
      <c r="AR31" s="31">
        <v>3.3369684338069203</v>
      </c>
      <c r="AS31" s="32">
        <f t="shared" si="14"/>
        <v>0.52651007104675107</v>
      </c>
      <c r="AT31" s="51"/>
      <c r="AU31" s="51"/>
      <c r="AV31" s="52"/>
    </row>
    <row r="32" spans="4:48" s="26" customFormat="1" ht="17.25" customHeight="1" x14ac:dyDescent="0.45">
      <c r="D32" s="27" t="str">
        <f>+IF($B$3="esp","Resultado Neto","Net Profit")</f>
        <v>Net Profit</v>
      </c>
      <c r="F32" s="75">
        <v>-24.385368261569138</v>
      </c>
      <c r="G32" s="28">
        <v>-36.25058438366294</v>
      </c>
      <c r="H32" s="29">
        <f t="shared" si="5"/>
        <v>0.32731103025862124</v>
      </c>
      <c r="I32" s="3"/>
      <c r="J32" s="3"/>
      <c r="K32" s="75">
        <v>-43.567388071154518</v>
      </c>
      <c r="L32" s="28">
        <v>-41.480269148636403</v>
      </c>
      <c r="M32" s="29">
        <f t="shared" si="0"/>
        <v>-5.0315944552802548E-2</v>
      </c>
      <c r="N32" s="28"/>
      <c r="O32" s="28"/>
      <c r="P32" s="30"/>
      <c r="T32" s="33" t="str">
        <f>+IF($B$3="esp","Resultado operaciones en discontinuación","Results from discontinued activities")</f>
        <v>Results from discontinued activities</v>
      </c>
      <c r="V32" s="76">
        <v>0</v>
      </c>
      <c r="W32" s="34">
        <v>0</v>
      </c>
      <c r="X32" s="35" t="str">
        <f t="shared" si="15"/>
        <v>---</v>
      </c>
      <c r="Y32" s="3"/>
      <c r="Z32" s="3"/>
      <c r="AA32" s="79">
        <v>0</v>
      </c>
      <c r="AB32" s="37">
        <v>0</v>
      </c>
      <c r="AC32" s="38" t="str">
        <f t="shared" si="16"/>
        <v>---</v>
      </c>
      <c r="AD32" s="28"/>
      <c r="AE32" s="28"/>
      <c r="AF32" s="30"/>
      <c r="AT32" s="28"/>
      <c r="AU32" s="28"/>
      <c r="AV32" s="30"/>
    </row>
    <row r="33" spans="6:48" ht="17.25" customHeight="1" x14ac:dyDescent="0.45">
      <c r="N33" s="34"/>
      <c r="O33" s="34"/>
      <c r="P33" s="36"/>
      <c r="T33" s="33" t="str">
        <f>+IF($B$3="esp","Resultado atribuido a socios externos","Minority interest")</f>
        <v>Minority interest</v>
      </c>
      <c r="U33" s="26"/>
      <c r="V33" s="76">
        <v>6.2202854393194285E-2</v>
      </c>
      <c r="W33" s="34">
        <v>0.14711462226270425</v>
      </c>
      <c r="X33" s="35">
        <f t="shared" si="15"/>
        <v>-0.57718102091770362</v>
      </c>
      <c r="AA33" s="79">
        <v>-9.8379580513261233E-2</v>
      </c>
      <c r="AB33" s="37">
        <v>-9.067888038281538E-2</v>
      </c>
      <c r="AC33" s="38">
        <f t="shared" si="16"/>
        <v>-8.4922752662319134E-2</v>
      </c>
      <c r="AD33" s="34"/>
      <c r="AE33" s="34"/>
      <c r="AF33" s="36"/>
      <c r="AT33" s="34"/>
      <c r="AU33" s="34"/>
      <c r="AV33" s="36"/>
    </row>
    <row r="34" spans="6:48" ht="17.25" customHeight="1" x14ac:dyDescent="0.45">
      <c r="F34" s="53"/>
      <c r="N34" s="34"/>
      <c r="O34" s="34"/>
      <c r="P34" s="36"/>
      <c r="T34" s="27" t="str">
        <f>+IF($B$3="esp","Resultado Neto","Net Profit")</f>
        <v>Net Profit</v>
      </c>
      <c r="U34" s="26"/>
      <c r="V34" s="75">
        <v>7.8742937260487409</v>
      </c>
      <c r="W34" s="28">
        <v>5.4707823365101165</v>
      </c>
      <c r="X34" s="29">
        <f t="shared" si="15"/>
        <v>0.43933595630343719</v>
      </c>
      <c r="AA34" s="78">
        <v>-25.729508793124932</v>
      </c>
      <c r="AB34" s="31">
        <v>-31.168348654793586</v>
      </c>
      <c r="AC34" s="32">
        <f t="shared" si="16"/>
        <v>0.17449881358511365</v>
      </c>
      <c r="AD34" s="34"/>
      <c r="AE34" s="34"/>
      <c r="AF34" s="36"/>
      <c r="AT34" s="34"/>
      <c r="AU34" s="34"/>
      <c r="AV34" s="36"/>
    </row>
    <row r="35" spans="6:48" ht="17.25" customHeight="1" x14ac:dyDescent="0.45">
      <c r="N35" s="41"/>
      <c r="O35" s="41"/>
      <c r="P35" s="42"/>
      <c r="AD35" s="41"/>
      <c r="AE35" s="41"/>
      <c r="AF35" s="42"/>
      <c r="AJ35" s="19" t="s">
        <v>8</v>
      </c>
      <c r="AT35" s="41"/>
      <c r="AU35" s="41"/>
      <c r="AV35" s="42"/>
    </row>
    <row r="36" spans="6:48" ht="17.25" customHeight="1" x14ac:dyDescent="0.45">
      <c r="N36" s="41"/>
      <c r="O36" s="41"/>
      <c r="P36" s="42"/>
      <c r="AD36" s="41"/>
      <c r="AE36" s="41"/>
      <c r="AF36" s="42"/>
      <c r="AQ36" s="54"/>
      <c r="AR36" s="54"/>
      <c r="AS36" s="54"/>
      <c r="AT36" s="41"/>
      <c r="AU36" s="41"/>
      <c r="AV36" s="42"/>
    </row>
    <row r="37" spans="6:48" s="45" customFormat="1" ht="17.25" customHeight="1" x14ac:dyDescent="0.45">
      <c r="K37" s="55"/>
      <c r="L37" s="55"/>
      <c r="M37" s="55"/>
      <c r="N37" s="51"/>
      <c r="O37" s="51"/>
      <c r="P37" s="52"/>
      <c r="AA37" s="55"/>
      <c r="AB37" s="55"/>
      <c r="AC37" s="55"/>
      <c r="AD37" s="51"/>
      <c r="AE37" s="51"/>
      <c r="AF37" s="52"/>
      <c r="AQ37" s="55"/>
      <c r="AR37" s="55"/>
      <c r="AS37" s="55"/>
      <c r="AT37" s="51"/>
      <c r="AU37" s="51"/>
      <c r="AV37" s="52"/>
    </row>
    <row r="38" spans="6:48" s="26" customFormat="1" ht="17.25" customHeight="1" x14ac:dyDescent="0.45">
      <c r="K38" s="56"/>
      <c r="L38" s="57"/>
      <c r="M38" s="57"/>
      <c r="O38" s="28"/>
      <c r="P38" s="30"/>
      <c r="AA38" s="56"/>
      <c r="AB38" s="57"/>
      <c r="AC38" s="57"/>
      <c r="AE38" s="28"/>
      <c r="AF38" s="30"/>
      <c r="AL38" s="58"/>
      <c r="AM38" s="58"/>
      <c r="AQ38" s="59"/>
      <c r="AR38" s="59"/>
      <c r="AS38" s="57"/>
      <c r="AU38" s="28"/>
      <c r="AV38" s="30"/>
    </row>
    <row r="39" spans="6:48" ht="17.25" customHeight="1" x14ac:dyDescent="0.45">
      <c r="K39" s="60"/>
      <c r="O39" s="34"/>
      <c r="P39" s="36"/>
      <c r="AA39" s="60"/>
      <c r="AE39" s="34"/>
      <c r="AF39" s="36"/>
      <c r="AU39" s="34"/>
      <c r="AV39" s="36"/>
    </row>
    <row r="40" spans="6:48" ht="17.25" customHeight="1" x14ac:dyDescent="0.45">
      <c r="K40" s="60"/>
      <c r="O40" s="34"/>
      <c r="P40" s="36"/>
      <c r="AA40" s="60"/>
      <c r="AE40" s="34"/>
      <c r="AF40" s="36"/>
      <c r="AU40" s="34"/>
      <c r="AV40" s="36"/>
    </row>
    <row r="41" spans="6:48" s="26" customFormat="1" ht="17.25" customHeight="1" x14ac:dyDescent="0.45">
      <c r="K41" s="56"/>
      <c r="L41" s="57"/>
      <c r="M41" s="57"/>
      <c r="O41" s="28"/>
      <c r="P41" s="30"/>
      <c r="AA41" s="56"/>
      <c r="AB41" s="57"/>
      <c r="AC41" s="57"/>
      <c r="AE41" s="28"/>
      <c r="AF41" s="30"/>
      <c r="AQ41" s="57"/>
      <c r="AR41" s="57"/>
      <c r="AS41" s="57"/>
      <c r="AU41" s="28"/>
      <c r="AV41" s="30"/>
    </row>
    <row r="42" spans="6:48" s="26" customFormat="1" ht="17.25" customHeight="1" x14ac:dyDescent="0.45">
      <c r="K42" s="56"/>
      <c r="L42" s="57"/>
      <c r="M42" s="57"/>
      <c r="O42" s="28"/>
      <c r="P42" s="30"/>
      <c r="AA42" s="56"/>
      <c r="AB42" s="57"/>
      <c r="AC42" s="57"/>
      <c r="AE42" s="28"/>
      <c r="AF42" s="30"/>
      <c r="AQ42" s="57"/>
      <c r="AR42" s="57"/>
      <c r="AS42" s="57"/>
      <c r="AU42" s="28"/>
      <c r="AV42" s="30"/>
    </row>
    <row r="43" spans="6:48" ht="17.25" customHeight="1" x14ac:dyDescent="0.45">
      <c r="K43" s="60"/>
      <c r="O43" s="34"/>
      <c r="P43" s="36"/>
      <c r="AA43" s="60"/>
      <c r="AE43" s="34"/>
      <c r="AF43" s="36"/>
      <c r="AU43" s="34"/>
      <c r="AV43" s="36"/>
    </row>
    <row r="44" spans="6:48" s="26" customFormat="1" ht="17.25" customHeight="1" x14ac:dyDescent="0.45">
      <c r="K44" s="56"/>
      <c r="L44" s="57"/>
      <c r="M44" s="57"/>
      <c r="O44" s="28"/>
      <c r="P44" s="30"/>
      <c r="AA44" s="56"/>
      <c r="AB44" s="57"/>
      <c r="AC44" s="57"/>
      <c r="AE44" s="28"/>
      <c r="AF44" s="30"/>
      <c r="AQ44" s="57"/>
      <c r="AR44" s="57"/>
      <c r="AS44" s="57"/>
      <c r="AU44" s="28"/>
      <c r="AV44" s="30"/>
    </row>
    <row r="45" spans="6:48" s="26" customFormat="1" ht="17.25" customHeight="1" x14ac:dyDescent="0.45">
      <c r="K45" s="56"/>
      <c r="L45" s="57"/>
      <c r="M45" s="57"/>
      <c r="O45" s="28"/>
      <c r="P45" s="30"/>
      <c r="AA45" s="56"/>
      <c r="AB45" s="57"/>
      <c r="AC45" s="57"/>
      <c r="AE45" s="28"/>
      <c r="AF45" s="30"/>
      <c r="AQ45" s="57"/>
      <c r="AR45" s="57"/>
      <c r="AS45" s="57"/>
      <c r="AU45" s="28"/>
      <c r="AV45" s="30"/>
    </row>
    <row r="46" spans="6:48" s="26" customFormat="1" ht="17.25" customHeight="1" x14ac:dyDescent="0.45">
      <c r="K46" s="56"/>
      <c r="L46" s="57"/>
      <c r="M46" s="57"/>
      <c r="O46" s="28"/>
      <c r="P46" s="30"/>
      <c r="AA46" s="56"/>
      <c r="AB46" s="57"/>
      <c r="AC46" s="57"/>
      <c r="AE46" s="28"/>
      <c r="AF46" s="30"/>
      <c r="AJ46" s="39"/>
      <c r="AL46" s="41"/>
      <c r="AM46" s="41"/>
      <c r="AN46" s="61"/>
      <c r="AQ46" s="56"/>
      <c r="AR46" s="54"/>
      <c r="AS46" s="54"/>
      <c r="AT46" s="61"/>
      <c r="AU46" s="28"/>
      <c r="AV46" s="30"/>
    </row>
    <row r="47" spans="6:48" ht="17.25" customHeight="1" x14ac:dyDescent="0.45"/>
    <row r="49" spans="4:51" x14ac:dyDescent="0.45">
      <c r="D49" s="62"/>
      <c r="E49" s="62"/>
      <c r="F49" s="62"/>
      <c r="G49" s="62"/>
      <c r="H49" s="62"/>
      <c r="I49" s="62"/>
      <c r="J49" s="62"/>
      <c r="K49" s="63"/>
      <c r="L49" s="63"/>
      <c r="M49" s="63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3"/>
      <c r="AB49" s="63"/>
      <c r="AC49" s="63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3"/>
      <c r="AR49" s="63"/>
      <c r="AS49" s="63"/>
      <c r="AT49" s="62"/>
      <c r="AU49" s="62"/>
      <c r="AV49" s="62"/>
      <c r="AW49" s="62"/>
      <c r="AX49" s="62"/>
      <c r="AY49" s="62"/>
    </row>
    <row r="50" spans="4:51" s="4" customFormat="1" x14ac:dyDescent="0.45">
      <c r="F50" s="64"/>
      <c r="G50" s="64"/>
      <c r="K50" s="64"/>
      <c r="L50" s="64"/>
      <c r="M50" s="64"/>
      <c r="O50" s="64"/>
    </row>
    <row r="53" spans="4:51" x14ac:dyDescent="0.45">
      <c r="D53" s="13"/>
      <c r="E53" s="13"/>
      <c r="F53" s="16" t="str">
        <f>+$F$6</f>
        <v>JANUARY - JUNE</v>
      </c>
      <c r="G53" s="17"/>
      <c r="H53" s="17"/>
      <c r="I53" s="13"/>
      <c r="J53" s="13"/>
      <c r="K53" s="82" t="str">
        <f>+K6</f>
        <v>APRIL - JUNE</v>
      </c>
      <c r="L53" s="82"/>
      <c r="M53" s="82"/>
      <c r="N53" s="14"/>
      <c r="O53" s="15"/>
      <c r="P53" s="15"/>
      <c r="T53" s="13"/>
      <c r="U53" s="13"/>
      <c r="V53" s="16" t="str">
        <f>+$F$6</f>
        <v>JANUARY - JUNE</v>
      </c>
      <c r="W53" s="17"/>
      <c r="X53" s="17"/>
      <c r="Y53" s="13"/>
      <c r="Z53" s="13"/>
      <c r="AA53" s="82" t="str">
        <f>+AA6</f>
        <v>APRIL - JUNE</v>
      </c>
      <c r="AB53" s="82"/>
      <c r="AC53" s="82"/>
      <c r="AD53" s="14"/>
      <c r="AE53" s="15"/>
      <c r="AF53" s="15"/>
      <c r="AJ53" s="13"/>
      <c r="AK53" s="13"/>
      <c r="AL53" s="14"/>
      <c r="AM53" s="15"/>
      <c r="AN53" s="15"/>
      <c r="AO53" s="13"/>
      <c r="AP53" s="13"/>
      <c r="AQ53" s="65"/>
      <c r="AR53" s="65"/>
      <c r="AS53" s="66"/>
      <c r="AT53" s="15"/>
      <c r="AU53" s="15"/>
      <c r="AV53" s="15"/>
    </row>
    <row r="54" spans="4:51" x14ac:dyDescent="0.45">
      <c r="D54" s="13"/>
      <c r="E54" s="13"/>
      <c r="F54" s="13"/>
      <c r="G54" s="13"/>
      <c r="H54" s="13"/>
      <c r="I54" s="13"/>
      <c r="J54" s="13"/>
      <c r="K54" s="18"/>
      <c r="L54" s="18"/>
      <c r="M54" s="18"/>
      <c r="N54" s="13"/>
      <c r="O54" s="13"/>
      <c r="P54" s="13"/>
      <c r="T54" s="13"/>
      <c r="U54" s="13"/>
      <c r="V54" s="13"/>
      <c r="W54" s="13"/>
      <c r="X54" s="13"/>
      <c r="Y54" s="13"/>
      <c r="Z54" s="13"/>
      <c r="AA54" s="18"/>
      <c r="AB54" s="18"/>
      <c r="AC54" s="18"/>
      <c r="AD54" s="13"/>
      <c r="AE54" s="13"/>
      <c r="AF54" s="13"/>
      <c r="AJ54" s="13"/>
      <c r="AK54" s="13"/>
      <c r="AL54" s="13"/>
      <c r="AM54" s="13"/>
      <c r="AN54" s="13"/>
      <c r="AO54" s="13"/>
      <c r="AP54" s="13"/>
      <c r="AQ54" s="67"/>
      <c r="AR54" s="67"/>
      <c r="AS54" s="67"/>
      <c r="AT54" s="13"/>
      <c r="AU54" s="13"/>
      <c r="AV54" s="13"/>
    </row>
    <row r="55" spans="4:51" x14ac:dyDescent="0.45">
      <c r="D55" s="19" t="str">
        <f>+IF($B$3="esp","Millones de €","€ Millions")</f>
        <v>€ Millions</v>
      </c>
      <c r="E55" s="13"/>
      <c r="F55" s="20">
        <v>2024</v>
      </c>
      <c r="G55" s="20">
        <v>2023</v>
      </c>
      <c r="H55" s="20" t="str">
        <f>+IF($B$3="esp","Var.","Chg.")</f>
        <v>Chg.</v>
      </c>
      <c r="I55" s="13"/>
      <c r="J55" s="13"/>
      <c r="K55" s="20">
        <f>+K8</f>
        <v>2024</v>
      </c>
      <c r="L55" s="20">
        <f>+L8</f>
        <v>2023</v>
      </c>
      <c r="M55" s="20" t="str">
        <f>+IF($B$3="esp","Var.","Chg.")</f>
        <v>Chg.</v>
      </c>
      <c r="N55" s="21"/>
      <c r="O55" s="21"/>
      <c r="P55" s="21"/>
      <c r="T55" s="19" t="str">
        <f>+IF($B$3="esp","Millones de €","€ Millions")</f>
        <v>€ Millions</v>
      </c>
      <c r="U55" s="13"/>
      <c r="V55" s="20">
        <v>2024</v>
      </c>
      <c r="W55" s="20">
        <v>2023</v>
      </c>
      <c r="X55" s="20" t="str">
        <f>+IF($B$3="esp","Var.","Chg.")</f>
        <v>Chg.</v>
      </c>
      <c r="Y55" s="13"/>
      <c r="Z55" s="13"/>
      <c r="AA55" s="20">
        <f>+K8</f>
        <v>2024</v>
      </c>
      <c r="AB55" s="20">
        <f>+L8</f>
        <v>2023</v>
      </c>
      <c r="AC55" s="20" t="str">
        <f>+IF($B$3="esp","Var.","Chg.")</f>
        <v>Chg.</v>
      </c>
      <c r="AD55" s="21"/>
      <c r="AE55" s="21"/>
      <c r="AF55" s="21"/>
      <c r="AJ55" s="19"/>
      <c r="AK55" s="13"/>
      <c r="AL55" s="21"/>
      <c r="AM55" s="21"/>
      <c r="AN55" s="21"/>
      <c r="AO55" s="13"/>
      <c r="AP55" s="13"/>
      <c r="AQ55" s="68"/>
      <c r="AR55" s="68"/>
      <c r="AS55" s="68"/>
      <c r="AT55" s="21"/>
      <c r="AU55" s="21"/>
      <c r="AV55" s="21"/>
    </row>
    <row r="56" spans="4:51" x14ac:dyDescent="0.45">
      <c r="D56" s="22" t="str">
        <f>+IF($B$3="esp","Resultados a tipo de cambio constante","Results at constant currency")</f>
        <v>Results at constant currency</v>
      </c>
      <c r="F56" s="23"/>
      <c r="G56" s="23"/>
      <c r="H56" s="23"/>
      <c r="K56" s="24"/>
      <c r="L56" s="24"/>
      <c r="M56" s="24"/>
      <c r="T56" s="22" t="str">
        <f>+IF($B$3="esp","Resultados a tipo de cambio constante","Results at constant currency")</f>
        <v>Results at constant currency</v>
      </c>
      <c r="V56" s="23"/>
      <c r="W56" s="23"/>
      <c r="X56" s="23"/>
      <c r="AA56" s="24"/>
      <c r="AB56" s="24"/>
      <c r="AC56" s="24"/>
      <c r="AJ56" s="69"/>
    </row>
    <row r="57" spans="4:51" ht="15.75" customHeight="1" x14ac:dyDescent="0.45">
      <c r="D57" s="27" t="str">
        <f>+IF($B$3="esp","Ingresos de Explotación","Operating Revenues")</f>
        <v>Operating Revenues</v>
      </c>
      <c r="E57" s="26"/>
      <c r="F57" s="75">
        <v>416.11662380809054</v>
      </c>
      <c r="G57" s="28">
        <f t="shared" ref="G57:G65" si="17">+G10</f>
        <v>440.7064090490648</v>
      </c>
      <c r="H57" s="29">
        <f>IF(G57=0,"---",IF(OR(ABS((F57-G57)/ABS(G57))&gt;9,(F57*G57)&lt;0),"---",IF(G57="0","---",((F57-G57)/ABS(G57)))))</f>
        <v>-5.5796295983153339E-2</v>
      </c>
      <c r="I57" s="26"/>
      <c r="J57" s="26"/>
      <c r="K57" s="78">
        <v>167.40378193279574</v>
      </c>
      <c r="L57" s="28">
        <f t="shared" ref="L57:L65" si="18">+L10</f>
        <v>173.79546372386213</v>
      </c>
      <c r="M57" s="32">
        <f>IF(L57=0,"---",IF(OR(ABS((K57-L57)/ABS(L57))&gt;9,(K57*L57)&lt;0),"---",IF(L57="0","---",((K57-L57)/ABS(L57)))))</f>
        <v>-3.677703464816505E-2</v>
      </c>
      <c r="N57" s="28"/>
      <c r="O57" s="28"/>
      <c r="P57" s="30"/>
      <c r="T57" s="27" t="str">
        <f>+IF($B$3="esp","Ingresos de Explotación","Operating Revenues")</f>
        <v>Operating Revenues</v>
      </c>
      <c r="U57" s="26"/>
      <c r="V57" s="75">
        <v>201.13968444467022</v>
      </c>
      <c r="W57" s="28">
        <v>235.13408461681234</v>
      </c>
      <c r="X57" s="29">
        <f t="shared" ref="X57:X60" si="19">IF(W57=0,"---",IF(OR(ABS((V57-W57)/ABS(W57))&gt;9,(V57*W57)&lt;0),"---",IF(W57="0","---",((V57-W57)/ABS(W57)))))</f>
        <v>-0.14457453170832846</v>
      </c>
      <c r="Y57" s="26"/>
      <c r="Z57" s="26"/>
      <c r="AA57" s="78">
        <v>53.049093744587857</v>
      </c>
      <c r="AB57" s="31">
        <f>+AB10</f>
        <v>65.488997722453277</v>
      </c>
      <c r="AC57" s="32">
        <f>IF(AB57=0,"---",IF(OR(ABS((AA57-AB57)/ABS(AB57))&gt;9,(AA57*AB57)&lt;0),"---",IF(AB57="0","---",((AA57-AB57)/ABS(AB57)))))</f>
        <v>-0.18995410542983968</v>
      </c>
      <c r="AD57" s="28"/>
      <c r="AE57" s="28"/>
      <c r="AF57" s="30"/>
      <c r="AJ57" s="27"/>
      <c r="AK57" s="26"/>
      <c r="AL57" s="28"/>
      <c r="AM57" s="28"/>
      <c r="AN57" s="30"/>
      <c r="AO57" s="26"/>
      <c r="AP57" s="26"/>
      <c r="AQ57" s="56"/>
      <c r="AR57" s="56"/>
      <c r="AS57" s="56"/>
      <c r="AT57" s="30"/>
      <c r="AU57" s="28"/>
      <c r="AV57" s="30"/>
    </row>
    <row r="58" spans="4:51" ht="15.75" customHeight="1" x14ac:dyDescent="0.45">
      <c r="D58" s="33" t="str">
        <f>+IF($B$3="esp","España","Spain")</f>
        <v>Spain</v>
      </c>
      <c r="F58" s="76">
        <v>180.96186015999993</v>
      </c>
      <c r="G58" s="34">
        <f t="shared" si="17"/>
        <v>173.41421706530568</v>
      </c>
      <c r="H58" s="35">
        <f>IF(G58=0,"---",IF(OR(ABS((F58-G58)/ABS(G58))&gt;9,(F58*G58)&lt;0),"---",IF(G58="0","---",((F58-G58)/ABS(G58)))))</f>
        <v>4.3523784972323815E-2</v>
      </c>
      <c r="K58" s="79">
        <v>94.078700549999695</v>
      </c>
      <c r="L58" s="34">
        <f t="shared" si="18"/>
        <v>90.003326390772273</v>
      </c>
      <c r="M58" s="38">
        <f t="shared" ref="M58:M66" si="20">IF(L58=0,"---",IF(OR(ABS((K58-L58)/ABS(L58))&gt;9,(K58*L58)&lt;0),"---",IF(L58="0","---",((K58-L58)/ABS(L58)))))</f>
        <v>4.5280261548702676E-2</v>
      </c>
      <c r="N58" s="34"/>
      <c r="O58" s="34"/>
      <c r="P58" s="36"/>
      <c r="T58" s="33" t="str">
        <f>+IF($B$3="esp","Privado","Private")</f>
        <v>Private</v>
      </c>
      <c r="V58" s="76">
        <v>153.27398567615865</v>
      </c>
      <c r="W58" s="34">
        <v>141.57812075251522</v>
      </c>
      <c r="X58" s="35">
        <f t="shared" si="19"/>
        <v>8.2610680672109735E-2</v>
      </c>
      <c r="AA58" s="79">
        <v>40.024622844489741</v>
      </c>
      <c r="AB58" s="37">
        <f t="shared" ref="AB58:AB74" si="21">+AB11</f>
        <v>32.051530074997196</v>
      </c>
      <c r="AC58" s="38">
        <f t="shared" ref="AC58:AC60" si="22">IF(AB58=0,"---",IF(OR(ABS((AA58-AB58)/ABS(AB58))&gt;9,(AA58*AB58)&lt;0),"---",IF(AB58="0","---",((AA58-AB58)/ABS(AB58)))))</f>
        <v>0.24875856942980101</v>
      </c>
      <c r="AD58" s="34"/>
      <c r="AE58" s="28"/>
      <c r="AF58" s="36"/>
      <c r="AJ58" s="33"/>
      <c r="AL58" s="34"/>
      <c r="AM58" s="34"/>
      <c r="AN58" s="36"/>
      <c r="AQ58" s="60"/>
      <c r="AR58" s="60"/>
      <c r="AS58" s="60"/>
      <c r="AT58" s="36"/>
      <c r="AU58" s="34"/>
      <c r="AV58" s="36"/>
    </row>
    <row r="59" spans="4:51" ht="15.75" customHeight="1" x14ac:dyDescent="0.45">
      <c r="D59" s="33" t="str">
        <f>+IF($B$3="esp","Internacional","International")</f>
        <v>International</v>
      </c>
      <c r="F59" s="76">
        <v>235.15476364809058</v>
      </c>
      <c r="G59" s="34">
        <f t="shared" si="17"/>
        <v>267.2921919837591</v>
      </c>
      <c r="H59" s="35">
        <f>IF(G59=0,"---",IF(OR(ABS((F59-G59)/ABS(G59))&gt;9,(F59*G59)&lt;0),"---",IF(G59="0","---",((F59-G59)/ABS(G59)))))</f>
        <v>-0.12023332255669188</v>
      </c>
      <c r="K59" s="79">
        <v>73.325081382796071</v>
      </c>
      <c r="L59" s="34">
        <f t="shared" si="18"/>
        <v>83.792137333089869</v>
      </c>
      <c r="M59" s="38">
        <f t="shared" si="20"/>
        <v>-0.12491692279772308</v>
      </c>
      <c r="N59" s="34"/>
      <c r="O59" s="34"/>
      <c r="P59" s="36"/>
      <c r="T59" s="33" t="str">
        <f>+IF($B$3="esp","Brasil Público","Brazil Public")</f>
        <v>Brazil Public</v>
      </c>
      <c r="V59" s="76">
        <v>35.37015967822326</v>
      </c>
      <c r="W59" s="34">
        <v>41.074467566200404</v>
      </c>
      <c r="X59" s="35">
        <f t="shared" si="19"/>
        <v>-0.13887722047238754</v>
      </c>
      <c r="AA59" s="79">
        <v>11.015658834967232</v>
      </c>
      <c r="AB59" s="37">
        <f t="shared" si="21"/>
        <v>17.635846634567084</v>
      </c>
      <c r="AC59" s="38">
        <f t="shared" si="22"/>
        <v>-0.37538247733590374</v>
      </c>
      <c r="AD59" s="34"/>
      <c r="AE59" s="28"/>
      <c r="AF59" s="36"/>
      <c r="AJ59" s="33"/>
      <c r="AL59" s="34"/>
      <c r="AM59" s="34"/>
      <c r="AN59" s="36"/>
      <c r="AQ59" s="60"/>
      <c r="AR59" s="60"/>
      <c r="AS59" s="60"/>
      <c r="AT59" s="36"/>
      <c r="AU59" s="34"/>
      <c r="AV59" s="36"/>
    </row>
    <row r="60" spans="4:51" ht="15.75" customHeight="1" x14ac:dyDescent="0.45">
      <c r="D60" s="27" t="str">
        <f>+IF($B$3="esp","Gastos de Explotación","Operating Expenses")</f>
        <v>Operating Expenses</v>
      </c>
      <c r="E60" s="26"/>
      <c r="F60" s="75">
        <v>348.87592462150724</v>
      </c>
      <c r="G60" s="28">
        <f t="shared" si="17"/>
        <v>372.36191384012722</v>
      </c>
      <c r="H60" s="29">
        <f t="shared" ref="H60:H66" si="23">IF(G60=0,"---",IF(OR(ABS((F60-G60)/ABS(G60))&gt;9,(F60*G60)&lt;0),"---",IF(G60="0","---",((F60-G60)/ABS(G60)))))</f>
        <v>-6.3073016722928421E-2</v>
      </c>
      <c r="I60" s="13"/>
      <c r="J60" s="13"/>
      <c r="K60" s="78">
        <v>168.15930611408388</v>
      </c>
      <c r="L60" s="28">
        <f t="shared" si="18"/>
        <v>172.67157004147973</v>
      </c>
      <c r="M60" s="32">
        <f t="shared" si="20"/>
        <v>-2.613206057205537E-2</v>
      </c>
      <c r="N60" s="41"/>
      <c r="O60" s="41"/>
      <c r="P60" s="42"/>
      <c r="T60" s="33" t="str">
        <f>+IF($B$3="esp","Otros mercados","Other markets")</f>
        <v>Other markets</v>
      </c>
      <c r="U60" s="13"/>
      <c r="V60" s="76">
        <v>12.495539090288327</v>
      </c>
      <c r="W60" s="34">
        <v>52.481496298096729</v>
      </c>
      <c r="X60" s="35">
        <f t="shared" si="19"/>
        <v>-0.76190581496927545</v>
      </c>
      <c r="AA60" s="79">
        <v>2.0088120651308814</v>
      </c>
      <c r="AB60" s="37">
        <f t="shared" si="21"/>
        <v>15.801621012888994</v>
      </c>
      <c r="AC60" s="38">
        <f t="shared" si="22"/>
        <v>-0.87287303856405984</v>
      </c>
      <c r="AD60" s="41"/>
      <c r="AE60" s="28"/>
      <c r="AF60" s="42"/>
      <c r="AJ60" s="27"/>
      <c r="AK60" s="26"/>
      <c r="AL60" s="28"/>
      <c r="AM60" s="28"/>
      <c r="AN60" s="30"/>
      <c r="AO60" s="13"/>
      <c r="AP60" s="13"/>
      <c r="AQ60" s="54"/>
      <c r="AR60" s="56"/>
      <c r="AS60" s="56"/>
      <c r="AT60" s="30"/>
      <c r="AU60" s="41"/>
      <c r="AV60" s="42"/>
    </row>
    <row r="61" spans="4:51" ht="15.75" customHeight="1" x14ac:dyDescent="0.45">
      <c r="D61" s="33" t="str">
        <f>+IF($B$3="esp","España","Spain")</f>
        <v>Spain</v>
      </c>
      <c r="F61" s="76">
        <v>164.9830566900001</v>
      </c>
      <c r="G61" s="34">
        <f t="shared" si="17"/>
        <v>167.22046847396544</v>
      </c>
      <c r="H61" s="35">
        <f t="shared" si="23"/>
        <v>-1.3380011456633881E-2</v>
      </c>
      <c r="I61" s="13"/>
      <c r="J61" s="13"/>
      <c r="K61" s="79">
        <v>84.458724569999887</v>
      </c>
      <c r="L61" s="34">
        <f t="shared" si="18"/>
        <v>82.186912061947282</v>
      </c>
      <c r="M61" s="38">
        <f t="shared" si="20"/>
        <v>2.7642022933532979E-2</v>
      </c>
      <c r="N61" s="41"/>
      <c r="O61" s="41"/>
      <c r="P61" s="42"/>
      <c r="T61" s="27" t="str">
        <f>+IF($B$3="esp","Gastos de Explotación","Operating Expenses")</f>
        <v>Operating Expenses</v>
      </c>
      <c r="U61" s="26"/>
      <c r="V61" s="75">
        <v>158.89427670238504</v>
      </c>
      <c r="W61" s="28">
        <v>180.03099972128098</v>
      </c>
      <c r="X61" s="29">
        <f>IF(W61=0,"---",IF(OR(ABS((V61-W61)/ABS(W61))&gt;9,(V61*W61)&lt;0),"---",IF(W61="0","---",((V61-W61)/ABS(W61)))))</f>
        <v>-0.11740601925012485</v>
      </c>
      <c r="Y61" s="13"/>
      <c r="Z61" s="13"/>
      <c r="AA61" s="78">
        <v>70.749769855386788</v>
      </c>
      <c r="AB61" s="31">
        <f t="shared" si="21"/>
        <v>77.253614231508394</v>
      </c>
      <c r="AC61" s="32">
        <f>IF(AB61=0,"---",IF(OR(ABS((AA61-AB61)/ABS(AB61))&gt;9,(AA61*AB61)&lt;0),"---",IF(AB61="0","---",((AA61-AB61)/ABS(AB61)))))</f>
        <v>-8.4188221364392427E-2</v>
      </c>
      <c r="AD61" s="41"/>
      <c r="AE61" s="28"/>
      <c r="AF61" s="42"/>
      <c r="AJ61" s="33"/>
      <c r="AL61" s="34"/>
      <c r="AM61" s="34"/>
      <c r="AN61" s="36"/>
      <c r="AO61" s="13"/>
      <c r="AP61" s="13"/>
      <c r="AQ61" s="54"/>
      <c r="AR61" s="60"/>
      <c r="AS61" s="60"/>
      <c r="AT61" s="36"/>
      <c r="AU61" s="41"/>
      <c r="AV61" s="42"/>
    </row>
    <row r="62" spans="4:51" ht="15.75" customHeight="1" x14ac:dyDescent="0.45">
      <c r="D62" s="33" t="str">
        <f>+IF($B$3="esp","Internacional","International")</f>
        <v>International</v>
      </c>
      <c r="F62" s="76">
        <v>183.89286793150711</v>
      </c>
      <c r="G62" s="34">
        <f t="shared" si="17"/>
        <v>205.14144536616178</v>
      </c>
      <c r="H62" s="35">
        <f t="shared" si="23"/>
        <v>-0.10358012929433923</v>
      </c>
      <c r="I62" s="26"/>
      <c r="J62" s="26"/>
      <c r="K62" s="79">
        <v>83.700581544083988</v>
      </c>
      <c r="L62" s="34">
        <f t="shared" si="18"/>
        <v>90.484657979532457</v>
      </c>
      <c r="M62" s="38">
        <f t="shared" si="20"/>
        <v>-7.4974880680689762E-2</v>
      </c>
      <c r="N62" s="28"/>
      <c r="O62" s="28"/>
      <c r="P62" s="30"/>
      <c r="T62" s="33" t="str">
        <f>+IF($B$3="esp","Privado","Private")</f>
        <v>Private</v>
      </c>
      <c r="V62" s="76">
        <v>124.68096795016254</v>
      </c>
      <c r="W62" s="34">
        <v>123.3421592103029</v>
      </c>
      <c r="X62" s="35">
        <f>IF(W62=0,"---",IF(OR(ABS((V62-W62)/ABS(W62))&gt;9,(V62*W62)&lt;0),"---",IF(W62="0","---",((V62-W62)/ABS(W62)))))</f>
        <v>1.0854429243264066E-2</v>
      </c>
      <c r="Y62" s="13"/>
      <c r="Z62" s="13"/>
      <c r="AA62" s="79">
        <v>55.496363325689074</v>
      </c>
      <c r="AB62" s="37">
        <f t="shared" si="21"/>
        <v>50.791370319721302</v>
      </c>
      <c r="AC62" s="38">
        <f>IF(AB62=0,"---",IF(OR(ABS((AA62-AB62)/ABS(AB62))&gt;9,(AA62*AB62)&lt;0),"---",IF(AB62="0","---",((AA62-AB62)/ABS(AB62)))))</f>
        <v>9.2633708764910297E-2</v>
      </c>
      <c r="AD62" s="28"/>
      <c r="AE62" s="28"/>
      <c r="AF62" s="30"/>
      <c r="AJ62" s="33"/>
      <c r="AL62" s="34"/>
      <c r="AM62" s="34"/>
      <c r="AN62" s="36"/>
      <c r="AO62" s="26"/>
      <c r="AP62" s="26"/>
      <c r="AQ62" s="56"/>
      <c r="AR62" s="60"/>
      <c r="AS62" s="60"/>
      <c r="AT62" s="36"/>
      <c r="AU62" s="28"/>
      <c r="AV62" s="30"/>
    </row>
    <row r="63" spans="4:51" ht="15.75" customHeight="1" x14ac:dyDescent="0.45">
      <c r="D63" s="27" t="str">
        <f>+IF($B$3="esp","EBITDA","EBITDA")</f>
        <v>EBITDA</v>
      </c>
      <c r="E63" s="26"/>
      <c r="F63" s="75">
        <v>67.240699186583313</v>
      </c>
      <c r="G63" s="28">
        <f t="shared" si="17"/>
        <v>68.344495208937559</v>
      </c>
      <c r="H63" s="29">
        <f t="shared" si="23"/>
        <v>-1.6150474430746836E-2</v>
      </c>
      <c r="K63" s="78">
        <v>-0.75552418128813181</v>
      </c>
      <c r="L63" s="28">
        <f t="shared" si="18"/>
        <v>1.1238936823824042</v>
      </c>
      <c r="M63" s="32" t="str">
        <f t="shared" si="20"/>
        <v>---</v>
      </c>
      <c r="N63" s="34"/>
      <c r="O63" s="34"/>
      <c r="P63" s="36"/>
      <c r="T63" s="33" t="str">
        <f>+IF($B$3="esp","Brasil Público","Brazil Public")</f>
        <v>Brazil Public</v>
      </c>
      <c r="V63" s="76">
        <v>28.89608757987347</v>
      </c>
      <c r="W63" s="34">
        <v>30.70915263376023</v>
      </c>
      <c r="X63" s="35">
        <f>IF(W63=0,"---",IF(OR(ABS((V63-W63)/ABS(W63))&gt;9,(V63*W63)&lt;0),"---",IF(W63="0","---",((V63-W63)/ABS(W63)))))</f>
        <v>-5.9039891966721332E-2</v>
      </c>
      <c r="Y63" s="26"/>
      <c r="Z63" s="26"/>
      <c r="AA63" s="79">
        <v>13.004282818540279</v>
      </c>
      <c r="AB63" s="37">
        <f t="shared" si="21"/>
        <v>16.603290012726116</v>
      </c>
      <c r="AC63" s="38">
        <f>IF(AB63=0,"---",IF(OR(ABS((AA63-AB63)/ABS(AB63))&gt;9,(AA63*AB63)&lt;0),"---",IF(AB63="0","---",((AA63-AB63)/ABS(AB63)))))</f>
        <v>-0.21676470093742051</v>
      </c>
      <c r="AD63" s="34"/>
      <c r="AE63" s="28"/>
      <c r="AF63" s="36"/>
      <c r="AJ63" s="27"/>
      <c r="AK63" s="26"/>
      <c r="AL63" s="28"/>
      <c r="AM63" s="28"/>
      <c r="AN63" s="30"/>
      <c r="AQ63" s="60"/>
      <c r="AR63" s="56"/>
      <c r="AS63" s="56"/>
      <c r="AT63" s="30"/>
      <c r="AU63" s="34"/>
      <c r="AV63" s="36"/>
    </row>
    <row r="64" spans="4:51" ht="15.75" customHeight="1" x14ac:dyDescent="0.45">
      <c r="D64" s="33" t="str">
        <f>+IF($B$3="esp","España","Spain")</f>
        <v>Spain</v>
      </c>
      <c r="F64" s="76">
        <v>15.978803469999846</v>
      </c>
      <c r="G64" s="34">
        <f t="shared" si="17"/>
        <v>6.1937485913402339</v>
      </c>
      <c r="H64" s="35">
        <f t="shared" si="23"/>
        <v>1.5798275849201482</v>
      </c>
      <c r="K64" s="79">
        <v>9.6199759799997988</v>
      </c>
      <c r="L64" s="34">
        <f t="shared" si="18"/>
        <v>7.8164143288249903</v>
      </c>
      <c r="M64" s="38">
        <f t="shared" si="20"/>
        <v>0.23074028260294777</v>
      </c>
      <c r="N64" s="34"/>
      <c r="O64" s="34"/>
      <c r="P64" s="36"/>
      <c r="T64" s="33" t="str">
        <f>+IF($B$3="esp","Otros mercados","Other markets")</f>
        <v>Other markets</v>
      </c>
      <c r="U64" s="13"/>
      <c r="V64" s="76">
        <v>5.3172211723490319</v>
      </c>
      <c r="W64" s="34">
        <v>25.97968787721782</v>
      </c>
      <c r="X64" s="35">
        <f t="shared" ref="X64" si="24">IF(W64=0,"---",IF(OR(ABS((V64-W64)/ABS(W64))&gt;9,(V64*W64)&lt;0),"---",IF(W64="0","---",((V64-W64)/ABS(W64)))))</f>
        <v>-0.79533159915243534</v>
      </c>
      <c r="AA64" s="79">
        <v>2.2491237111574374</v>
      </c>
      <c r="AB64" s="37">
        <f t="shared" si="21"/>
        <v>9.8589538990609817</v>
      </c>
      <c r="AC64" s="38">
        <f t="shared" ref="AC64" si="25">IF(AB64=0,"---",IF(OR(ABS((AA64-AB64)/ABS(AB64))&gt;9,(AA64*AB64)&lt;0),"---",IF(AB64="0","---",((AA64-AB64)/ABS(AB64)))))</f>
        <v>-0.77186994338500192</v>
      </c>
      <c r="AD64" s="34"/>
      <c r="AE64" s="28"/>
      <c r="AF64" s="36"/>
      <c r="AJ64" s="33"/>
      <c r="AL64" s="34"/>
      <c r="AM64" s="34"/>
      <c r="AN64" s="36"/>
      <c r="AQ64" s="60"/>
      <c r="AR64" s="60"/>
      <c r="AS64" s="60"/>
      <c r="AT64" s="36"/>
      <c r="AU64" s="34"/>
      <c r="AV64" s="36"/>
    </row>
    <row r="65" spans="4:48" ht="15.75" customHeight="1" x14ac:dyDescent="0.45">
      <c r="D65" s="33" t="str">
        <f>+IF($B$3="esp","Internacional","International")</f>
        <v>International</v>
      </c>
      <c r="F65" s="76">
        <v>51.261895716583467</v>
      </c>
      <c r="G65" s="34">
        <f t="shared" si="17"/>
        <v>62.150746617597321</v>
      </c>
      <c r="H65" s="35">
        <f t="shared" si="23"/>
        <v>-0.17520064510264133</v>
      </c>
      <c r="K65" s="79">
        <v>-10.375500161287931</v>
      </c>
      <c r="L65" s="34">
        <f t="shared" si="18"/>
        <v>-6.6925206464425866</v>
      </c>
      <c r="M65" s="38">
        <f t="shared" si="20"/>
        <v>-0.55031276097788873</v>
      </c>
      <c r="N65" s="41"/>
      <c r="O65" s="41"/>
      <c r="P65" s="42"/>
      <c r="T65" s="27" t="str">
        <f>+IF($B$3="esp","EBITDA","EBITDA")</f>
        <v>EBITDA</v>
      </c>
      <c r="U65" s="26"/>
      <c r="V65" s="75">
        <v>42.245407742285231</v>
      </c>
      <c r="W65" s="28">
        <v>55.103084895531339</v>
      </c>
      <c r="X65" s="29">
        <f>IF(W65=0,"---",IF(OR(ABS((V65-W65)/ABS(W65))&gt;9,(V65*W65)&lt;0),"---",IF(W65="0","---",((V65-W65)/ABS(W65)))))</f>
        <v>-0.23333860849392879</v>
      </c>
      <c r="AA65" s="78">
        <v>-17.700676110798938</v>
      </c>
      <c r="AB65" s="31">
        <f t="shared" si="21"/>
        <v>-11.764616509055136</v>
      </c>
      <c r="AC65" s="32">
        <f>IF(AB65=0,"---",IF(OR(ABS((AA65-AB65)/ABS(AB65))&gt;9,(AA65*AB65)&lt;0),"---",IF(AB65="0","---",((AA65-AB65)/ABS(AB65)))))</f>
        <v>-0.50456889922207504</v>
      </c>
      <c r="AD65" s="41"/>
      <c r="AE65" s="28"/>
      <c r="AF65" s="42"/>
      <c r="AJ65" s="33"/>
      <c r="AL65" s="34"/>
      <c r="AM65" s="34"/>
      <c r="AN65" s="36"/>
      <c r="AQ65" s="54"/>
      <c r="AR65" s="60"/>
      <c r="AS65" s="60"/>
      <c r="AT65" s="36"/>
      <c r="AU65" s="41"/>
      <c r="AV65" s="42"/>
    </row>
    <row r="66" spans="4:48" ht="15.75" customHeight="1" x14ac:dyDescent="0.45">
      <c r="D66" s="44" t="str">
        <f>+IF($B$3="esp","Margen EBITDA ","EBITDA Margin")</f>
        <v>EBITDA Margin</v>
      </c>
      <c r="E66" s="45"/>
      <c r="F66" s="77">
        <f>+F63/F57</f>
        <v>0.16159099478225641</v>
      </c>
      <c r="G66" s="46">
        <f>+G63/G57</f>
        <v>0.1550794220497225</v>
      </c>
      <c r="H66" s="47">
        <f t="shared" si="23"/>
        <v>4.1988631673170254E-2</v>
      </c>
      <c r="K66" s="77">
        <f>+K63/K57</f>
        <v>-4.5131846638413282E-3</v>
      </c>
      <c r="L66" s="46">
        <f>+L63/L57</f>
        <v>6.4667607445043655E-3</v>
      </c>
      <c r="M66" s="50" t="str">
        <f t="shared" si="20"/>
        <v>---</v>
      </c>
      <c r="N66" s="41"/>
      <c r="O66" s="41"/>
      <c r="P66" s="42"/>
      <c r="T66" s="33" t="str">
        <f>+IF($B$3="esp","Privado","Private")</f>
        <v>Private</v>
      </c>
      <c r="V66" s="76">
        <v>28.593017725996141</v>
      </c>
      <c r="W66" s="34">
        <v>18.235961542212262</v>
      </c>
      <c r="X66" s="35">
        <f>IF(W66=0,"---",IF(OR(ABS((V66-W66)/ABS(W66))&gt;9,(V66*W66)&lt;0),"---",IF(W66="0","---",((V66-W66)/ABS(W66)))))</f>
        <v>0.56794680992332425</v>
      </c>
      <c r="AA66" s="79">
        <v>-15.47174048119934</v>
      </c>
      <c r="AB66" s="37">
        <f t="shared" si="21"/>
        <v>-18.739840244724121</v>
      </c>
      <c r="AC66" s="38">
        <f>IF(AB66=0,"---",IF(OR(ABS((AA66-AB66)/ABS(AB66))&gt;9,(AA66*AB66)&lt;0),"---",IF(AB66="0","---",((AA66-AB66)/ABS(AB66)))))</f>
        <v>0.17439314961315414</v>
      </c>
      <c r="AD66" s="41"/>
      <c r="AE66" s="28"/>
      <c r="AF66" s="42"/>
      <c r="AJ66" s="44"/>
      <c r="AK66" s="45"/>
      <c r="AL66" s="51"/>
      <c r="AM66" s="51"/>
      <c r="AN66" s="52"/>
      <c r="AQ66" s="54"/>
      <c r="AR66" s="55"/>
      <c r="AS66" s="55"/>
      <c r="AT66" s="52"/>
      <c r="AU66" s="41"/>
      <c r="AV66" s="42"/>
    </row>
    <row r="67" spans="4:48" ht="15.75" customHeight="1" x14ac:dyDescent="0.45">
      <c r="D67" s="27" t="str">
        <f>+IF($B$3="esp","Resultado de explotación (EBIT)","Operating Result (EBIT)")</f>
        <v>Operating Result (EBIT)</v>
      </c>
      <c r="E67" s="26"/>
      <c r="F67" s="75">
        <v>36.381670184673652</v>
      </c>
      <c r="G67" s="28">
        <f>+G20</f>
        <v>34.883807368950265</v>
      </c>
      <c r="H67" s="29">
        <f>IF(G67=0,"---",IF(OR(ABS((F67-G67)/ABS(G67))&gt;9,(F67*G67)&lt;0),"---",IF(G67="0","---",((F67-G67)/ABS(G67)))))</f>
        <v>4.2938627652686218E-2</v>
      </c>
      <c r="K67" s="78">
        <v>-17.868308060751616</v>
      </c>
      <c r="L67" s="28">
        <f>+L20</f>
        <v>-16.466709517436414</v>
      </c>
      <c r="M67" s="32">
        <f>IF(L67=0,"---",IF(OR(ABS((K67-L67)/ABS(L67))&gt;9,(K67*L67)&lt;0),"---",IF(L67="0","---",((K67-L67)/ABS(L67)))))</f>
        <v>-8.5117098946274936E-2</v>
      </c>
      <c r="N67" s="28"/>
      <c r="O67" s="28"/>
      <c r="P67" s="30"/>
      <c r="T67" s="33" t="str">
        <f>+IF($B$3="esp","Brasil Público","Brazil Public")</f>
        <v>Brazil Public</v>
      </c>
      <c r="V67" s="76">
        <v>6.4740720983497893</v>
      </c>
      <c r="W67" s="34">
        <v>10.365314932440169</v>
      </c>
      <c r="X67" s="35">
        <f>IF(W67=0,"---",IF(OR(ABS((V67-W67)/ABS(W67))&gt;9,(V67*W67)&lt;0),"---",IF(W67="0","---",((V67-W67)/ABS(W67)))))</f>
        <v>-0.37540999568783157</v>
      </c>
      <c r="AA67" s="79">
        <v>-1.988623983573043</v>
      </c>
      <c r="AB67" s="37">
        <f t="shared" si="21"/>
        <v>1.0325566218409694</v>
      </c>
      <c r="AC67" s="38" t="str">
        <f>IF(AB67=0,"---",IF(OR(ABS((AA67-AB67)/ABS(AB67))&gt;9,(AA67*AB67)&lt;0),"---",IF(AB67="0","---",((AA67-AB67)/ABS(AB67)))))</f>
        <v>---</v>
      </c>
      <c r="AD67" s="28"/>
      <c r="AE67" s="28"/>
      <c r="AF67" s="30"/>
      <c r="AJ67" s="27"/>
      <c r="AK67" s="26"/>
      <c r="AL67" s="28"/>
      <c r="AM67" s="28"/>
      <c r="AN67" s="30"/>
      <c r="AO67" s="26"/>
      <c r="AP67" s="26"/>
      <c r="AQ67" s="56"/>
      <c r="AR67" s="56"/>
      <c r="AS67" s="56"/>
      <c r="AT67" s="30"/>
      <c r="AU67" s="28"/>
      <c r="AV67" s="30"/>
    </row>
    <row r="68" spans="4:48" ht="15.75" customHeight="1" x14ac:dyDescent="0.45">
      <c r="D68" s="33" t="str">
        <f>+IF($B$3="esp","España","Spain")</f>
        <v>Spain</v>
      </c>
      <c r="F68" s="76">
        <v>3.7384665699992619</v>
      </c>
      <c r="G68" s="34">
        <f>+G21</f>
        <v>-5.2045497328455461</v>
      </c>
      <c r="H68" s="35" t="str">
        <f>IF(G68=0,"---",IF(OR(ABS((F68-G68)/ABS(G68))&gt;9,(F68*G68)&lt;0),"---",IF(G68="0","---",((F68-G68)/ABS(G68)))))</f>
        <v>---</v>
      </c>
      <c r="I68" s="45"/>
      <c r="J68" s="45"/>
      <c r="K68" s="79">
        <v>3.4851883499994583</v>
      </c>
      <c r="L68" s="34">
        <f>+L21</f>
        <v>2.1210246843865241</v>
      </c>
      <c r="M68" s="38">
        <f>IF(L68=0,"---",IF(OR(ABS((K68-L68)/ABS(L68))&gt;9,(K68*L68)&lt;0),"---",IF(L68="0","---",((K68-L68)/ABS(L68)))))</f>
        <v>0.64316255989613758</v>
      </c>
      <c r="N68" s="34"/>
      <c r="O68" s="34"/>
      <c r="P68" s="36"/>
      <c r="T68" s="33" t="str">
        <f>+IF($B$3="esp","Otros mercados","Other markets")</f>
        <v>Other markets</v>
      </c>
      <c r="U68" s="13"/>
      <c r="V68" s="76">
        <v>7.1783179179392942</v>
      </c>
      <c r="W68" s="34">
        <v>26.501808420878913</v>
      </c>
      <c r="X68" s="35">
        <f t="shared" ref="X68" si="26">IF(W68=0,"---",IF(OR(ABS((V68-W68)/ABS(W68))&gt;9,(V68*W68)&lt;0),"---",IF(W68="0","---",((V68-W68)/ABS(W68)))))</f>
        <v>-0.72913856277505951</v>
      </c>
      <c r="AA68" s="79">
        <v>-0.24031164602655508</v>
      </c>
      <c r="AB68" s="37">
        <f t="shared" si="21"/>
        <v>5.9426671138280147</v>
      </c>
      <c r="AC68" s="38" t="str">
        <f t="shared" ref="AC68" si="27">IF(AB68=0,"---",IF(OR(ABS((AA68-AB68)/ABS(AB68))&gt;9,(AA68*AB68)&lt;0),"---",IF(AB68="0","---",((AA68-AB68)/ABS(AB68)))))</f>
        <v>---</v>
      </c>
      <c r="AD68" s="34"/>
      <c r="AE68" s="28"/>
      <c r="AF68" s="36"/>
      <c r="AJ68" s="33"/>
      <c r="AL68" s="34"/>
      <c r="AM68" s="34"/>
      <c r="AN68" s="36"/>
      <c r="AQ68" s="60"/>
      <c r="AR68" s="60"/>
      <c r="AS68" s="60"/>
      <c r="AT68" s="36"/>
      <c r="AU68" s="34"/>
      <c r="AV68" s="36"/>
    </row>
    <row r="69" spans="4:48" ht="15.75" customHeight="1" x14ac:dyDescent="0.45">
      <c r="D69" s="33" t="str">
        <f>+IF($B$3="esp","Internacional","International")</f>
        <v>International</v>
      </c>
      <c r="F69" s="76">
        <v>32.643203614674391</v>
      </c>
      <c r="G69" s="34">
        <f>+G22</f>
        <v>40.088357101795808</v>
      </c>
      <c r="H69" s="35">
        <f>IF(G69=0,"---",IF(OR(ABS((F69-G69)/ABS(G69))&gt;9,(F69*G69)&lt;0),"---",IF(G69="0","---",((F69-G69)/ABS(G69)))))</f>
        <v>-0.18571859825075998</v>
      </c>
      <c r="I69" s="26"/>
      <c r="J69" s="26"/>
      <c r="K69" s="79">
        <v>-21.353496410751074</v>
      </c>
      <c r="L69" s="34">
        <f>+L22</f>
        <v>-18.58773420182294</v>
      </c>
      <c r="M69" s="38">
        <f>IF(L69=0,"---",IF(OR(ABS((K69-L69)/ABS(L69))&gt;9,(K69*L69)&lt;0),"---",IF(L69="0","---",((K69-L69)/ABS(L69)))))</f>
        <v>-0.14879501605186982</v>
      </c>
      <c r="N69" s="34"/>
      <c r="O69" s="34"/>
      <c r="P69" s="36"/>
      <c r="T69" s="44" t="str">
        <f>+IF($B$3="esp","Margen EBITDA ","EBITDA Margin")</f>
        <v>EBITDA Margin</v>
      </c>
      <c r="U69" s="45"/>
      <c r="V69" s="77">
        <f>+V65/V57</f>
        <v>0.21003019796377453</v>
      </c>
      <c r="W69" s="46">
        <f>+W65/W57</f>
        <v>0.23434750000337215</v>
      </c>
      <c r="X69" s="47">
        <f>IF(W69=0,"---",IF(OR(ABS((V69-W69)/ABS(W69))&gt;9,(V69*W69)&lt;0),"---",IF(W69="0","---",((V69-W69)/ABS(W69)))))</f>
        <v>-0.10376599724446688</v>
      </c>
      <c r="AA69" s="77">
        <f>+AA65/AA57</f>
        <v>-0.33366594717001713</v>
      </c>
      <c r="AB69" s="46">
        <f t="shared" si="21"/>
        <v>-0.17964264102673189</v>
      </c>
      <c r="AC69" s="50">
        <f>IF(AB69=0,"---",IF(OR(ABS((AA69-AB69)/ABS(AB69))&gt;9,(AA69*AB69)&lt;0),"---",IF(AB69="0","---",((AA69-AB69)/ABS(AB69)))))</f>
        <v>-0.85738722868344863</v>
      </c>
      <c r="AD69" s="34"/>
      <c r="AE69" s="28"/>
      <c r="AF69" s="36"/>
      <c r="AJ69" s="33"/>
      <c r="AL69" s="34"/>
      <c r="AM69" s="34"/>
      <c r="AN69" s="36"/>
      <c r="AQ69" s="60"/>
      <c r="AR69" s="60"/>
      <c r="AS69" s="60"/>
      <c r="AT69" s="36"/>
      <c r="AU69" s="34"/>
      <c r="AV69" s="36"/>
    </row>
    <row r="70" spans="4:48" ht="15.75" customHeight="1" x14ac:dyDescent="0.45">
      <c r="D70" s="44" t="str">
        <f>+IF($B$3="esp","Margen EBIT ","EBIT Margin")</f>
        <v>EBIT Margin</v>
      </c>
      <c r="E70" s="45"/>
      <c r="F70" s="77">
        <f>+F67/F57</f>
        <v>8.7431426919998681E-2</v>
      </c>
      <c r="G70" s="46">
        <f>+G67/G57</f>
        <v>7.9154300125157867E-2</v>
      </c>
      <c r="H70" s="47">
        <f>IF(G70=0,"---",IF(OR(ABS((F70-G70)/ABS(G70))&gt;9,(F70*G70)&lt;0),"---",IF(G70="0","---",((F70-G70)/ABS(G70)))))</f>
        <v>0.10456951526010737</v>
      </c>
      <c r="K70" s="77">
        <f>+K67/K57</f>
        <v>-0.10673778008148496</v>
      </c>
      <c r="L70" s="46">
        <f>+L67/L57</f>
        <v>-9.4747637047649436E-2</v>
      </c>
      <c r="M70" s="50">
        <f>IF(L70=0,"---",IF(OR(ABS((K70-L70)/ABS(L70))&gt;9,(K70*L70)&lt;0),"---",IF(L70="0","---",((K70-L70)/ABS(L70)))))</f>
        <v>-0.12654820117366702</v>
      </c>
      <c r="N70" s="41"/>
      <c r="O70" s="41"/>
      <c r="P70" s="42"/>
      <c r="T70" s="27" t="str">
        <f>+IF($B$3="esp","Resultado de explotación (EBIT)","Operating Result (EBIT)")</f>
        <v>Operating Result (EBIT)</v>
      </c>
      <c r="U70" s="26"/>
      <c r="V70" s="75">
        <v>24.962106155234672</v>
      </c>
      <c r="W70" s="28">
        <v>34.261369836970644</v>
      </c>
      <c r="X70" s="29">
        <f>IF(W70=0,"---",IF(OR(ABS((V70-W70)/ABS(W70))&gt;9,(V70*W70)&lt;0),"---",IF(W70="0","---",((V70-W70)/ABS(W70)))))</f>
        <v>-0.27142124573493714</v>
      </c>
      <c r="AA70" s="78">
        <v>-28.023318824493135</v>
      </c>
      <c r="AB70" s="31">
        <f t="shared" si="21"/>
        <v>-22.992516828605225</v>
      </c>
      <c r="AC70" s="32">
        <f>IF(AB70=0,"---",IF(OR(ABS((AA70-AB70)/ABS(AB70))&gt;9,(AA70*AB70)&lt;0),"---",IF(AB70="0","---",((AA70-AB70)/ABS(AB70)))))</f>
        <v>-0.21880170985148686</v>
      </c>
      <c r="AD70" s="41"/>
      <c r="AE70" s="28"/>
      <c r="AF70" s="42"/>
      <c r="AJ70" s="44"/>
      <c r="AK70" s="45"/>
      <c r="AL70" s="51"/>
      <c r="AM70" s="51"/>
      <c r="AN70" s="52"/>
      <c r="AQ70" s="54"/>
      <c r="AR70" s="55"/>
      <c r="AS70" s="55"/>
      <c r="AT70" s="52"/>
      <c r="AU70" s="41"/>
      <c r="AV70" s="42"/>
    </row>
    <row r="71" spans="4:48" ht="15.75" customHeight="1" x14ac:dyDescent="0.45">
      <c r="N71" s="41"/>
      <c r="O71" s="41"/>
      <c r="P71" s="42"/>
      <c r="T71" s="33" t="str">
        <f>+IF($B$3="esp","Privado","Private")</f>
        <v>Private</v>
      </c>
      <c r="V71" s="76">
        <v>12.378693011873494</v>
      </c>
      <c r="W71" s="34">
        <v>1.9501480607046624</v>
      </c>
      <c r="X71" s="35">
        <f>IF(W71=0,"---",IF(OR(ABS((V71-W71)/ABS(W71))&gt;9,(V71*W71)&lt;0),"---",IF(W71="0","---",((V71-W71)/ABS(W71)))))</f>
        <v>5.3475657368295426</v>
      </c>
      <c r="Y71" s="45"/>
      <c r="Z71" s="45"/>
      <c r="AA71" s="79">
        <v>-25.152813556834747</v>
      </c>
      <c r="AB71" s="37">
        <f t="shared" si="21"/>
        <v>-27.939453710983223</v>
      </c>
      <c r="AC71" s="38">
        <f>IF(AB71=0,"---",IF(OR(ABS((AA71-AB71)/ABS(AB71))&gt;9,(AA71*AB71)&lt;0),"---",IF(AB71="0","---",((AA71-AB71)/ABS(AB71)))))</f>
        <v>9.9738534009096422E-2</v>
      </c>
      <c r="AD71" s="41"/>
      <c r="AE71" s="28"/>
      <c r="AF71" s="42"/>
      <c r="AJ71" s="27"/>
      <c r="AK71" s="26"/>
      <c r="AL71" s="28"/>
      <c r="AM71" s="28"/>
      <c r="AN71" s="30"/>
      <c r="AQ71" s="54"/>
      <c r="AR71" s="56"/>
      <c r="AS71" s="56"/>
      <c r="AT71" s="30"/>
      <c r="AU71" s="41"/>
      <c r="AV71" s="42"/>
    </row>
    <row r="72" spans="4:48" ht="15.75" customHeight="1" x14ac:dyDescent="0.45">
      <c r="N72" s="51"/>
      <c r="O72" s="51"/>
      <c r="P72" s="52"/>
      <c r="T72" s="33" t="str">
        <f>+IF($B$3="esp","Brasil Público","Brazil Public")</f>
        <v>Brazil Public</v>
      </c>
      <c r="V72" s="76">
        <v>4.7771766449914193</v>
      </c>
      <c r="W72" s="34">
        <v>6.8324699653403602</v>
      </c>
      <c r="X72" s="35">
        <f>IF(W72=0,"---",IF(OR(ABS((V72-W72)/ABS(W72))&gt;9,(V72*W72)&lt;0),"---",IF(W72="0","---",((V72-W72)/ABS(W72)))))</f>
        <v>-0.30081263888096088</v>
      </c>
      <c r="Y72" s="26"/>
      <c r="Z72" s="26"/>
      <c r="AA72" s="79">
        <v>-2.8590988759007923</v>
      </c>
      <c r="AB72" s="37">
        <f t="shared" si="21"/>
        <v>-0.6092536800180024</v>
      </c>
      <c r="AC72" s="38">
        <f>IF(AB72=0,"---",IF(OR(ABS((AA72-AB72)/ABS(AB72))&gt;9,(AA72*AB72)&lt;0),"---",IF(AB72="0","---",((AA72-AB72)/ABS(AB72)))))</f>
        <v>-3.6927888491642933</v>
      </c>
      <c r="AD72" s="51"/>
      <c r="AE72" s="28"/>
      <c r="AF72" s="52"/>
      <c r="AJ72" s="33"/>
      <c r="AL72" s="34"/>
      <c r="AM72" s="34"/>
      <c r="AN72" s="36"/>
      <c r="AO72" s="45"/>
      <c r="AP72" s="45"/>
      <c r="AQ72" s="55"/>
      <c r="AR72" s="60"/>
      <c r="AS72" s="60"/>
      <c r="AT72" s="36"/>
      <c r="AU72" s="51"/>
      <c r="AV72" s="52"/>
    </row>
    <row r="73" spans="4:48" ht="15.75" customHeight="1" x14ac:dyDescent="0.45">
      <c r="N73" s="28"/>
      <c r="O73" s="28"/>
      <c r="P73" s="30"/>
      <c r="T73" s="33" t="str">
        <f>+IF($B$3="esp","Otros mercados","Other markets")</f>
        <v>Other markets</v>
      </c>
      <c r="U73" s="13"/>
      <c r="V73" s="76">
        <v>7.8062364983697581</v>
      </c>
      <c r="W73" s="34">
        <v>25.478751810925623</v>
      </c>
      <c r="X73" s="35">
        <f t="shared" ref="X73" si="28">IF(W73=0,"---",IF(OR(ABS((V73-W73)/ABS(W73))&gt;9,(V73*W73)&lt;0),"---",IF(W73="0","---",((V73-W73)/ABS(W73)))))</f>
        <v>-0.69361778173833699</v>
      </c>
      <c r="AA73" s="79">
        <v>-1.1406391757596338E-2</v>
      </c>
      <c r="AB73" s="37">
        <f t="shared" si="21"/>
        <v>5.5561905623960008</v>
      </c>
      <c r="AC73" s="38" t="str">
        <f t="shared" ref="AC73" si="29">IF(AB73=0,"---",IF(OR(ABS((AA73-AB73)/ABS(AB73))&gt;9,(AA73*AB73)&lt;0),"---",IF(AB73="0","---",((AA73-AB73)/ABS(AB73)))))</f>
        <v>---</v>
      </c>
      <c r="AD73" s="28"/>
      <c r="AE73" s="28"/>
      <c r="AF73" s="30"/>
      <c r="AJ73" s="33"/>
      <c r="AL73" s="34"/>
      <c r="AM73" s="34"/>
      <c r="AN73" s="36"/>
      <c r="AO73" s="26"/>
      <c r="AP73" s="26"/>
      <c r="AQ73" s="56"/>
      <c r="AR73" s="60"/>
      <c r="AS73" s="60"/>
      <c r="AT73" s="36"/>
      <c r="AU73" s="28"/>
      <c r="AV73" s="30"/>
    </row>
    <row r="74" spans="4:48" ht="15.75" customHeight="1" x14ac:dyDescent="0.45">
      <c r="N74" s="34"/>
      <c r="O74" s="34"/>
      <c r="P74" s="36"/>
      <c r="T74" s="44" t="str">
        <f>+IF($B$3="esp","Margen EBIT ","EBIT Margin")</f>
        <v>EBIT Margin</v>
      </c>
      <c r="U74" s="45"/>
      <c r="V74" s="77">
        <f>+V70/V57</f>
        <v>0.12410333755943265</v>
      </c>
      <c r="W74" s="46">
        <f>+W70/W57</f>
        <v>0.14570992501068014</v>
      </c>
      <c r="X74" s="47">
        <f>IF(W74=0,"---",IF(OR(ABS((V74-W74)/ABS(W74))&gt;9,(V74*W74)&lt;0),"---",IF(W74="0","---",((V74-W74)/ABS(W74)))))</f>
        <v>-0.14828493975042392</v>
      </c>
      <c r="AA74" s="77">
        <f>+AA70/AA57</f>
        <v>-0.52825254582887404</v>
      </c>
      <c r="AB74" s="46">
        <f t="shared" si="21"/>
        <v>-0.35108976512435019</v>
      </c>
      <c r="AC74" s="50">
        <f>IF(AB74=0,"---",IF(OR(ABS((AA74-AB74)/ABS(AB74))&gt;9,(AA74*AB74)&lt;0),"---",IF(AB74="0","---",((AA74-AB74)/ABS(AB74)))))</f>
        <v>-0.50460821790625454</v>
      </c>
      <c r="AD74" s="34"/>
      <c r="AE74" s="28"/>
      <c r="AF74" s="36"/>
      <c r="AJ74" s="44"/>
      <c r="AK74" s="45"/>
      <c r="AL74" s="51"/>
      <c r="AM74" s="51"/>
      <c r="AN74" s="52"/>
      <c r="AQ74" s="60"/>
      <c r="AR74" s="55"/>
      <c r="AS74" s="55"/>
      <c r="AT74" s="52"/>
      <c r="AU74" s="34"/>
      <c r="AV74" s="36"/>
    </row>
    <row r="75" spans="4:48" ht="15.75" customHeight="1" x14ac:dyDescent="0.45">
      <c r="K75" s="60"/>
      <c r="L75" s="60"/>
      <c r="M75" s="60"/>
      <c r="N75" s="34"/>
      <c r="O75" s="34"/>
      <c r="P75" s="36"/>
      <c r="AD75" s="34"/>
      <c r="AE75" s="34"/>
      <c r="AF75" s="36"/>
      <c r="AQ75" s="60"/>
      <c r="AU75" s="34"/>
      <c r="AV75" s="36"/>
    </row>
    <row r="76" spans="4:48" ht="15.75" customHeight="1" x14ac:dyDescent="0.45">
      <c r="D76" s="19"/>
      <c r="F76" s="41"/>
      <c r="G76" s="41"/>
      <c r="H76" s="61"/>
      <c r="K76" s="54"/>
      <c r="L76" s="54"/>
      <c r="M76" s="54"/>
      <c r="N76" s="41"/>
      <c r="O76" s="41"/>
      <c r="P76" s="42"/>
      <c r="AD76" s="41"/>
      <c r="AE76" s="41"/>
      <c r="AF76" s="42"/>
      <c r="AJ76" s="39"/>
      <c r="AK76" s="13"/>
      <c r="AL76" s="41"/>
      <c r="AM76" s="41"/>
      <c r="AN76" s="61"/>
      <c r="AQ76" s="54"/>
      <c r="AR76" s="54"/>
      <c r="AS76" s="54"/>
      <c r="AT76" s="61"/>
      <c r="AU76" s="41"/>
      <c r="AV76" s="42"/>
    </row>
    <row r="79" spans="4:48" x14ac:dyDescent="0.45">
      <c r="D79" s="80" t="str">
        <f>+IF($B$3="esp","Resultados por Negocio","Perfomance by Business")</f>
        <v>Perfomance by Business</v>
      </c>
      <c r="E79" s="13"/>
      <c r="F79" s="16" t="str">
        <f>+F53</f>
        <v>JANUARY - JUNE</v>
      </c>
      <c r="G79" s="17"/>
      <c r="H79" s="17"/>
      <c r="I79" s="13"/>
      <c r="J79" s="13"/>
      <c r="K79" s="82" t="str">
        <f>+K53</f>
        <v>APRIL - JUNE</v>
      </c>
      <c r="L79" s="82"/>
      <c r="M79" s="82"/>
      <c r="N79" s="14"/>
      <c r="O79" s="15"/>
      <c r="P79" s="15"/>
      <c r="T79" s="83"/>
      <c r="U79" s="13"/>
      <c r="V79" s="14"/>
      <c r="W79" s="15"/>
      <c r="X79" s="15"/>
      <c r="Y79" s="13"/>
      <c r="Z79" s="13"/>
      <c r="AA79" s="65"/>
      <c r="AB79" s="65"/>
      <c r="AC79" s="65"/>
      <c r="AD79" s="14"/>
      <c r="AE79" s="15"/>
      <c r="AF79" s="15"/>
      <c r="AO79" s="13"/>
      <c r="AP79" s="13"/>
      <c r="AQ79" s="65"/>
      <c r="AU79" s="15"/>
      <c r="AV79" s="15"/>
    </row>
    <row r="80" spans="4:48" x14ac:dyDescent="0.45">
      <c r="D80" s="81"/>
      <c r="E80" s="13"/>
      <c r="F80" s="13"/>
      <c r="G80" s="13"/>
      <c r="H80" s="13"/>
      <c r="I80" s="13"/>
      <c r="J80" s="13"/>
      <c r="K80" s="18"/>
      <c r="L80" s="18"/>
      <c r="M80" s="18"/>
      <c r="N80" s="13"/>
      <c r="O80" s="13"/>
      <c r="P80" s="13"/>
      <c r="T80" s="83"/>
      <c r="U80" s="13"/>
      <c r="V80" s="13"/>
      <c r="W80" s="13"/>
      <c r="X80" s="13"/>
      <c r="Y80" s="13"/>
      <c r="Z80" s="13"/>
      <c r="AA80" s="67"/>
      <c r="AB80" s="67"/>
      <c r="AC80" s="67"/>
      <c r="AD80" s="13"/>
      <c r="AE80" s="13"/>
      <c r="AF80" s="13"/>
      <c r="AJ80" s="39"/>
      <c r="AL80" s="41"/>
      <c r="AM80" s="41"/>
      <c r="AN80" s="61"/>
      <c r="AO80" s="13"/>
      <c r="AP80" s="13"/>
      <c r="AQ80" s="67"/>
      <c r="AR80" s="54"/>
      <c r="AS80" s="54"/>
      <c r="AT80" s="61"/>
      <c r="AU80" s="13"/>
      <c r="AV80" s="13"/>
    </row>
    <row r="81" spans="1:48" x14ac:dyDescent="0.45">
      <c r="D81" s="19" t="str">
        <f>+IF($B$3="esp","Millones de €","€ Millions")</f>
        <v>€ Millions</v>
      </c>
      <c r="E81" s="13"/>
      <c r="F81" s="20">
        <v>2024</v>
      </c>
      <c r="G81" s="20">
        <v>2023</v>
      </c>
      <c r="H81" s="20" t="str">
        <f>+IF($B$3="esp","Var.","Chg.")</f>
        <v>Chg.</v>
      </c>
      <c r="I81" s="13"/>
      <c r="J81" s="13"/>
      <c r="K81" s="20">
        <f>+K8</f>
        <v>2024</v>
      </c>
      <c r="L81" s="20">
        <f>+L8</f>
        <v>2023</v>
      </c>
      <c r="M81" s="20" t="str">
        <f>+IF($B$3="esp","Var.","Chg.")</f>
        <v>Chg.</v>
      </c>
      <c r="N81" s="21"/>
      <c r="O81" s="21"/>
      <c r="P81" s="21"/>
      <c r="T81" s="19"/>
      <c r="U81" s="13"/>
      <c r="V81" s="21"/>
      <c r="W81" s="21"/>
      <c r="X81" s="21"/>
      <c r="Y81" s="13"/>
      <c r="Z81" s="13"/>
      <c r="AA81" s="68"/>
      <c r="AB81" s="68"/>
      <c r="AC81" s="68"/>
      <c r="AD81" s="21"/>
      <c r="AE81" s="21"/>
      <c r="AF81" s="21"/>
      <c r="AJ81" s="39"/>
      <c r="AL81" s="41"/>
      <c r="AM81" s="41"/>
      <c r="AN81" s="61"/>
      <c r="AO81" s="13"/>
      <c r="AP81" s="13"/>
      <c r="AQ81" s="68"/>
      <c r="AR81" s="54"/>
      <c r="AS81" s="54"/>
      <c r="AT81" s="61"/>
      <c r="AU81" s="21"/>
      <c r="AV81" s="21"/>
    </row>
    <row r="82" spans="1:48" x14ac:dyDescent="0.45">
      <c r="D82" s="22" t="str">
        <f>+IF($B$3="esp","Ingresos de Explotación","Operating Revenues")</f>
        <v>Operating Revenues</v>
      </c>
      <c r="F82" s="23"/>
      <c r="G82" s="23"/>
      <c r="H82" s="23"/>
      <c r="K82" s="24"/>
      <c r="L82" s="24"/>
      <c r="M82" s="24"/>
      <c r="T82" s="69"/>
    </row>
    <row r="83" spans="1:48" ht="15.75" customHeight="1" x14ac:dyDescent="0.45">
      <c r="D83" s="27" t="str">
        <f>+IF($B$3="esp","GRUPO","GROUP")</f>
        <v>GROUP</v>
      </c>
      <c r="E83" s="26"/>
      <c r="F83" s="75">
        <v>425.56659769630073</v>
      </c>
      <c r="G83" s="28">
        <v>440.7064090490648</v>
      </c>
      <c r="H83" s="29">
        <f t="shared" ref="H83:H89" si="30">IF(G83=0,"---",IF(OR(ABS((F83-G83)/ABS(G83))&gt;9,(F83*G83)&lt;0),"---",IF(G83="0","---",((F83-G83)/ABS(G83)))))</f>
        <v>-3.4353508462543196E-2</v>
      </c>
      <c r="I83" s="26"/>
      <c r="J83" s="26"/>
      <c r="K83" s="78">
        <v>169.39010008652309</v>
      </c>
      <c r="L83" s="31">
        <v>173.79546372386213</v>
      </c>
      <c r="M83" s="32">
        <f t="shared" ref="M83:M89" si="31">IF(L83=0,"---",IF(OR(ABS((K83-L83)/ABS(L83))&gt;9,(K83*L83)&lt;0),"---",IF(L83="0","---",((K83-L83)/ABS(L83)))))</f>
        <v>-2.5347978266789362E-2</v>
      </c>
      <c r="N83" s="28"/>
      <c r="O83" s="28"/>
      <c r="P83" s="30"/>
      <c r="T83" s="27"/>
      <c r="U83" s="26"/>
      <c r="V83" s="28"/>
      <c r="W83" s="28"/>
      <c r="X83" s="30"/>
      <c r="Y83" s="26"/>
      <c r="Z83" s="26"/>
      <c r="AA83" s="56"/>
      <c r="AB83" s="56"/>
      <c r="AC83" s="56"/>
      <c r="AD83" s="28"/>
      <c r="AE83" s="28"/>
      <c r="AF83" s="30"/>
      <c r="AJ83" s="39"/>
      <c r="AL83" s="41"/>
      <c r="AM83" s="41"/>
      <c r="AN83" s="61"/>
      <c r="AO83" s="26"/>
      <c r="AP83" s="26"/>
      <c r="AQ83" s="56"/>
      <c r="AR83" s="54"/>
      <c r="AS83" s="54"/>
      <c r="AT83" s="61"/>
      <c r="AU83" s="28"/>
      <c r="AV83" s="30"/>
    </row>
    <row r="84" spans="1:48" ht="15.75" customHeight="1" x14ac:dyDescent="0.45">
      <c r="D84" s="33" t="str">
        <f>+IF($B$3="esp","Educación","Education")</f>
        <v>Education</v>
      </c>
      <c r="F84" s="76">
        <v>209.2965339756588</v>
      </c>
      <c r="G84" s="34">
        <v>235.13597716587736</v>
      </c>
      <c r="H84" s="35">
        <f t="shared" si="30"/>
        <v>-0.10989149130500794</v>
      </c>
      <c r="K84" s="79">
        <v>54.268504575808507</v>
      </c>
      <c r="L84" s="37">
        <v>65.49108955498491</v>
      </c>
      <c r="M84" s="38">
        <f t="shared" si="31"/>
        <v>-0.1713604866774153</v>
      </c>
      <c r="N84" s="34"/>
      <c r="O84" s="34"/>
      <c r="P84" s="36"/>
      <c r="T84" s="33"/>
      <c r="V84" s="34"/>
      <c r="W84" s="34"/>
      <c r="X84" s="36"/>
      <c r="AA84" s="60"/>
      <c r="AB84" s="60"/>
      <c r="AC84" s="60"/>
      <c r="AD84" s="34"/>
      <c r="AE84" s="34"/>
      <c r="AF84" s="36"/>
      <c r="AJ84" s="39"/>
      <c r="AL84" s="41"/>
      <c r="AM84" s="41"/>
      <c r="AN84" s="61"/>
      <c r="AQ84" s="60"/>
      <c r="AR84" s="54"/>
      <c r="AS84" s="54"/>
      <c r="AT84" s="61"/>
      <c r="AU84" s="34"/>
      <c r="AV84" s="36"/>
    </row>
    <row r="85" spans="1:48" ht="15.75" customHeight="1" x14ac:dyDescent="0.45">
      <c r="D85" s="33" t="str">
        <f>+IF($B$3="esp","Media","Media")</f>
        <v>Media</v>
      </c>
      <c r="F85" s="76">
        <v>206.67574131984892</v>
      </c>
      <c r="G85" s="34">
        <v>204.49543353264787</v>
      </c>
      <c r="H85" s="35">
        <f t="shared" si="30"/>
        <v>1.0661889850234583E-2</v>
      </c>
      <c r="K85" s="79">
        <v>115.23868306478681</v>
      </c>
      <c r="L85" s="37">
        <v>106.90356402637771</v>
      </c>
      <c r="M85" s="38">
        <f t="shared" si="31"/>
        <v>7.7968579572823896E-2</v>
      </c>
      <c r="N85" s="34"/>
      <c r="O85" s="34"/>
      <c r="P85" s="36"/>
      <c r="T85" s="70"/>
      <c r="V85" s="34"/>
      <c r="W85" s="34"/>
      <c r="X85" s="36"/>
      <c r="AA85" s="60"/>
      <c r="AB85" s="60"/>
      <c r="AC85" s="60"/>
      <c r="AD85" s="34"/>
      <c r="AE85" s="34"/>
      <c r="AF85" s="36"/>
      <c r="AQ85" s="60"/>
      <c r="AU85" s="34"/>
      <c r="AV85" s="36"/>
    </row>
    <row r="86" spans="1:48" ht="15.75" customHeight="1" x14ac:dyDescent="0.45">
      <c r="D86" s="70" t="s">
        <v>6</v>
      </c>
      <c r="F86" s="76">
        <v>120.9156977706223</v>
      </c>
      <c r="G86" s="34">
        <v>112.11472613573804</v>
      </c>
      <c r="H86" s="35">
        <f t="shared" si="30"/>
        <v>7.8499693467822138E-2</v>
      </c>
      <c r="K86" s="79">
        <v>68.945627183140004</v>
      </c>
      <c r="L86" s="37">
        <v>60.176815864930745</v>
      </c>
      <c r="M86" s="38">
        <f t="shared" si="31"/>
        <v>0.14571743606194126</v>
      </c>
      <c r="N86" s="34"/>
      <c r="O86" s="34"/>
      <c r="P86" s="36"/>
      <c r="T86" s="70"/>
      <c r="V86" s="34"/>
      <c r="W86" s="34"/>
      <c r="X86" s="36"/>
      <c r="AA86" s="60"/>
      <c r="AB86" s="60"/>
      <c r="AC86" s="60"/>
      <c r="AD86" s="34"/>
      <c r="AE86" s="34"/>
      <c r="AF86" s="36"/>
      <c r="AQ86" s="60"/>
      <c r="AU86" s="34"/>
      <c r="AV86" s="36"/>
    </row>
    <row r="87" spans="1:48" ht="15.75" customHeight="1" x14ac:dyDescent="0.45">
      <c r="D87" s="70" t="str">
        <f>+IF($B$3="esp","Prensa","Press")</f>
        <v>Press</v>
      </c>
      <c r="F87" s="76">
        <v>78.06150022055489</v>
      </c>
      <c r="G87" s="34">
        <v>75.914975846692585</v>
      </c>
      <c r="H87" s="35">
        <f t="shared" si="30"/>
        <v>2.8275374521584917E-2</v>
      </c>
      <c r="K87" s="79">
        <v>43.458692599502555</v>
      </c>
      <c r="L87" s="37">
        <v>41.312000587976719</v>
      </c>
      <c r="M87" s="38">
        <f t="shared" si="31"/>
        <v>5.1962915883347484E-2</v>
      </c>
      <c r="N87" s="34"/>
      <c r="O87" s="34"/>
      <c r="P87" s="36"/>
      <c r="T87" s="33"/>
      <c r="V87" s="34"/>
      <c r="W87" s="34"/>
      <c r="X87" s="36"/>
      <c r="AA87" s="60"/>
      <c r="AB87" s="60"/>
      <c r="AC87" s="60"/>
      <c r="AD87" s="34"/>
      <c r="AE87" s="34"/>
      <c r="AF87" s="36"/>
      <c r="AQ87" s="60"/>
      <c r="AU87" s="34"/>
      <c r="AV87" s="36"/>
    </row>
    <row r="88" spans="1:48" ht="15.75" customHeight="1" x14ac:dyDescent="0.45">
      <c r="A88" s="71"/>
      <c r="D88" s="70" t="str">
        <f>+IF($B$3="esp","Otros*","Other*")</f>
        <v>Other*</v>
      </c>
      <c r="F88" s="76">
        <v>7.6985433286717306</v>
      </c>
      <c r="G88" s="34">
        <v>16.465731550217257</v>
      </c>
      <c r="H88" s="35">
        <f t="shared" si="30"/>
        <v>-0.53245057438276089</v>
      </c>
      <c r="K88" s="79">
        <v>2.8343632821442588</v>
      </c>
      <c r="L88" s="37">
        <v>5.4147475734702386</v>
      </c>
      <c r="M88" s="38">
        <f t="shared" si="31"/>
        <v>-0.47654747637150635</v>
      </c>
      <c r="N88" s="34"/>
      <c r="O88" s="34"/>
      <c r="P88" s="36"/>
      <c r="T88" s="70"/>
      <c r="V88" s="34"/>
      <c r="W88" s="34"/>
      <c r="X88" s="36"/>
      <c r="AA88" s="60"/>
      <c r="AB88" s="60"/>
      <c r="AC88" s="60"/>
      <c r="AD88" s="34"/>
      <c r="AE88" s="34"/>
      <c r="AF88" s="36"/>
      <c r="AQ88" s="60"/>
      <c r="AU88" s="34"/>
      <c r="AV88" s="36"/>
    </row>
    <row r="89" spans="1:48" x14ac:dyDescent="0.45">
      <c r="D89" s="33" t="str">
        <f>+IF($B$3="esp","Prisa Holding y Otros","Prisa Holding and Other")</f>
        <v>Prisa Holding and Other</v>
      </c>
      <c r="F89" s="76">
        <v>9.594322400792997</v>
      </c>
      <c r="G89" s="34">
        <v>1.0749983505395648</v>
      </c>
      <c r="H89" s="35">
        <f t="shared" si="30"/>
        <v>7.9249647648086166</v>
      </c>
      <c r="K89" s="79">
        <v>-0.11708755407221906</v>
      </c>
      <c r="L89" s="37">
        <v>1.4008101424995256</v>
      </c>
      <c r="M89" s="38" t="str">
        <f t="shared" si="31"/>
        <v>---</v>
      </c>
      <c r="T89" s="70"/>
      <c r="V89" s="34"/>
      <c r="W89" s="34"/>
      <c r="X89" s="36"/>
    </row>
    <row r="90" spans="1:48" x14ac:dyDescent="0.45">
      <c r="T90" s="33"/>
      <c r="V90" s="34"/>
      <c r="W90" s="34"/>
      <c r="X90" s="36"/>
    </row>
    <row r="91" spans="1:48" ht="15.75" customHeight="1" x14ac:dyDescent="0.45">
      <c r="D91" s="22" t="str">
        <f>+IF($B$3="esp","EBITDA","EBITDA")</f>
        <v>EBITDA</v>
      </c>
      <c r="F91" s="23"/>
      <c r="G91" s="23"/>
      <c r="H91" s="23"/>
      <c r="I91" s="26"/>
      <c r="J91" s="26"/>
      <c r="K91" s="24"/>
      <c r="L91" s="24"/>
      <c r="M91" s="24"/>
      <c r="N91" s="28"/>
      <c r="O91" s="28"/>
      <c r="P91" s="30"/>
      <c r="Y91" s="26"/>
      <c r="Z91" s="26"/>
      <c r="AA91" s="56"/>
      <c r="AB91" s="56"/>
      <c r="AC91" s="56"/>
      <c r="AD91" s="28"/>
      <c r="AE91" s="28"/>
      <c r="AF91" s="30"/>
      <c r="AO91" s="26"/>
      <c r="AP91" s="26"/>
      <c r="AQ91" s="56"/>
      <c r="AU91" s="28"/>
      <c r="AV91" s="30"/>
    </row>
    <row r="92" spans="1:48" ht="15.75" customHeight="1" x14ac:dyDescent="0.45">
      <c r="D92" s="27" t="str">
        <f>+IF($B$3="esp","GRUPO","GROUP")</f>
        <v>GROUP</v>
      </c>
      <c r="E92" s="26"/>
      <c r="F92" s="75">
        <v>64.348568179036675</v>
      </c>
      <c r="G92" s="28">
        <v>68.344495208937559</v>
      </c>
      <c r="H92" s="29">
        <f t="shared" ref="H92:H98" si="32">IF(G92=0,"---",IF(OR(ABS((F92-G92)/ABS(G92))&gt;9,(F92*G92)&lt;0),"---",IF(G92="0","---",((F92-G92)/ABS(G92)))))</f>
        <v>-5.8467430590932616E-2</v>
      </c>
      <c r="K92" s="78">
        <v>-2.7357285822828197</v>
      </c>
      <c r="L92" s="31">
        <v>1.1238936823824042</v>
      </c>
      <c r="M92" s="32" t="str">
        <f t="shared" ref="M92:M98" si="33">IF(L92=0,"---",IF(OR(ABS((K92-L92)/ABS(L92))&gt;9,(K92*L92)&lt;0),"---",IF(L92="0","---",((K92-L92)/ABS(L92)))))</f>
        <v>---</v>
      </c>
      <c r="N92" s="34"/>
      <c r="O92" s="34"/>
      <c r="P92" s="36"/>
      <c r="T92" s="69"/>
      <c r="AA92" s="60"/>
      <c r="AB92" s="60"/>
      <c r="AC92" s="60"/>
      <c r="AD92" s="34"/>
      <c r="AE92" s="34"/>
      <c r="AF92" s="36"/>
      <c r="AQ92" s="60"/>
      <c r="AU92" s="34"/>
      <c r="AV92" s="36"/>
    </row>
    <row r="93" spans="1:48" ht="15.75" customHeight="1" x14ac:dyDescent="0.45">
      <c r="D93" s="33" t="str">
        <f>+IF($B$3="esp","Educación","Education")</f>
        <v>Education</v>
      </c>
      <c r="F93" s="76">
        <v>40.163658888730794</v>
      </c>
      <c r="G93" s="34">
        <v>55.102732978969989</v>
      </c>
      <c r="H93" s="35">
        <f t="shared" si="32"/>
        <v>-0.27111312420639294</v>
      </c>
      <c r="K93" s="79">
        <v>-19.560930331204059</v>
      </c>
      <c r="L93" s="37">
        <v>-11.765354486435273</v>
      </c>
      <c r="M93" s="38">
        <f t="shared" si="33"/>
        <v>-0.66258741746851768</v>
      </c>
      <c r="N93" s="34"/>
      <c r="O93" s="34"/>
      <c r="P93" s="36"/>
      <c r="T93" s="27"/>
      <c r="U93" s="26"/>
      <c r="V93" s="28"/>
      <c r="W93" s="28"/>
      <c r="X93" s="30"/>
      <c r="AA93" s="60"/>
      <c r="AB93" s="60"/>
      <c r="AC93" s="60"/>
      <c r="AD93" s="34"/>
      <c r="AE93" s="34"/>
      <c r="AF93" s="36"/>
      <c r="AQ93" s="60"/>
      <c r="AU93" s="34"/>
      <c r="AV93" s="36"/>
    </row>
    <row r="94" spans="1:48" ht="15.75" customHeight="1" x14ac:dyDescent="0.45">
      <c r="D94" s="33" t="str">
        <f>+IF($B$3="esp","Media","Media")</f>
        <v>Media</v>
      </c>
      <c r="F94" s="76">
        <v>17.582575360305889</v>
      </c>
      <c r="G94" s="34">
        <v>14.30778588996796</v>
      </c>
      <c r="H94" s="35">
        <f t="shared" si="32"/>
        <v>0.22888163797824781</v>
      </c>
      <c r="K94" s="79">
        <v>18.663385508921177</v>
      </c>
      <c r="L94" s="37">
        <v>12.396461918817952</v>
      </c>
      <c r="M94" s="38">
        <f t="shared" si="33"/>
        <v>0.50554130937876496</v>
      </c>
      <c r="N94" s="34"/>
      <c r="O94" s="34"/>
      <c r="P94" s="36"/>
      <c r="T94" s="33"/>
      <c r="V94" s="34"/>
      <c r="W94" s="34"/>
      <c r="X94" s="36"/>
      <c r="AA94" s="60"/>
      <c r="AB94" s="60"/>
      <c r="AC94" s="60"/>
      <c r="AD94" s="34"/>
      <c r="AE94" s="34"/>
      <c r="AF94" s="36"/>
      <c r="AQ94" s="60"/>
      <c r="AU94" s="34"/>
      <c r="AV94" s="36"/>
    </row>
    <row r="95" spans="1:48" ht="15.75" customHeight="1" x14ac:dyDescent="0.45">
      <c r="D95" s="70" t="s">
        <v>6</v>
      </c>
      <c r="F95" s="76">
        <v>16.812773163777862</v>
      </c>
      <c r="G95" s="34">
        <v>13.809893624033009</v>
      </c>
      <c r="H95" s="35">
        <f t="shared" si="32"/>
        <v>0.21744407462480506</v>
      </c>
      <c r="K95" s="79">
        <v>15.211989908726123</v>
      </c>
      <c r="L95" s="37">
        <v>9.8202538966253474</v>
      </c>
      <c r="M95" s="38">
        <f t="shared" si="33"/>
        <v>0.54904242485559385</v>
      </c>
      <c r="N95" s="34"/>
      <c r="O95" s="34"/>
      <c r="P95" s="36"/>
      <c r="T95" s="70"/>
      <c r="V95" s="34"/>
      <c r="W95" s="34"/>
      <c r="X95" s="36"/>
      <c r="AA95" s="60"/>
      <c r="AB95" s="60"/>
      <c r="AC95" s="60"/>
      <c r="AD95" s="34"/>
      <c r="AE95" s="34"/>
      <c r="AF95" s="36"/>
      <c r="AQ95" s="60"/>
      <c r="AU95" s="34"/>
      <c r="AV95" s="36"/>
    </row>
    <row r="96" spans="1:48" ht="15.75" customHeight="1" x14ac:dyDescent="0.45">
      <c r="A96" s="71"/>
      <c r="D96" s="70" t="str">
        <f>+IF($B$3="esp","Prensa","Press")</f>
        <v>Press</v>
      </c>
      <c r="F96" s="76">
        <v>2.287160529728026</v>
      </c>
      <c r="G96" s="34">
        <v>-1.0776995341072801</v>
      </c>
      <c r="H96" s="35" t="str">
        <f t="shared" si="32"/>
        <v>---</v>
      </c>
      <c r="K96" s="79">
        <v>4.4774450980213611</v>
      </c>
      <c r="L96" s="37">
        <v>2.0715927712369062</v>
      </c>
      <c r="M96" s="38">
        <f t="shared" si="33"/>
        <v>1.1613538916473285</v>
      </c>
      <c r="N96" s="34"/>
      <c r="O96" s="34"/>
      <c r="P96" s="36"/>
      <c r="T96" s="70"/>
      <c r="V96" s="34"/>
      <c r="W96" s="34"/>
      <c r="X96" s="36"/>
      <c r="AA96" s="60"/>
      <c r="AB96" s="60"/>
      <c r="AC96" s="60"/>
      <c r="AD96" s="34"/>
      <c r="AE96" s="34"/>
      <c r="AF96" s="36"/>
      <c r="AQ96" s="60"/>
      <c r="AU96" s="34"/>
      <c r="AV96" s="36"/>
    </row>
    <row r="97" spans="1:48" x14ac:dyDescent="0.45">
      <c r="D97" s="70" t="str">
        <f>+IF($B$3="esp","Otros*","Other*")</f>
        <v>Other*</v>
      </c>
      <c r="F97" s="76">
        <v>-1.517358333200002</v>
      </c>
      <c r="G97" s="34">
        <v>1.5755918000422302</v>
      </c>
      <c r="H97" s="35" t="str">
        <f t="shared" si="32"/>
        <v>---</v>
      </c>
      <c r="K97" s="79">
        <v>-1.0260494978263086</v>
      </c>
      <c r="L97" s="37">
        <v>0.50461525095569915</v>
      </c>
      <c r="M97" s="38" t="str">
        <f t="shared" si="33"/>
        <v>---</v>
      </c>
      <c r="T97" s="33"/>
      <c r="V97" s="34"/>
      <c r="W97" s="34"/>
      <c r="X97" s="36"/>
    </row>
    <row r="98" spans="1:48" x14ac:dyDescent="0.45">
      <c r="D98" s="33" t="str">
        <f>+IF($B$3="esp","Prisa Holding y Otros","Prisa Holding and Other")</f>
        <v>Prisa Holding and Other</v>
      </c>
      <c r="F98" s="76">
        <v>6.6023339299999897</v>
      </c>
      <c r="G98" s="34">
        <v>-1.0660236600003883</v>
      </c>
      <c r="H98" s="35" t="str">
        <f t="shared" si="32"/>
        <v>---</v>
      </c>
      <c r="K98" s="79">
        <v>-1.8381837599999362</v>
      </c>
      <c r="L98" s="37">
        <v>0.49278624999972592</v>
      </c>
      <c r="M98" s="38" t="str">
        <f t="shared" si="33"/>
        <v>---</v>
      </c>
      <c r="T98" s="70"/>
      <c r="V98" s="34"/>
      <c r="W98" s="34"/>
      <c r="X98" s="36"/>
    </row>
    <row r="99" spans="1:48" ht="15.75" customHeight="1" x14ac:dyDescent="0.45">
      <c r="I99" s="26"/>
      <c r="J99" s="26"/>
      <c r="N99" s="28"/>
      <c r="O99" s="28"/>
      <c r="P99" s="30"/>
      <c r="T99" s="70"/>
      <c r="V99" s="34"/>
      <c r="W99" s="34"/>
      <c r="X99" s="36"/>
      <c r="Y99" s="26"/>
      <c r="Z99" s="26"/>
      <c r="AA99" s="56"/>
      <c r="AB99" s="56"/>
      <c r="AC99" s="56"/>
      <c r="AD99" s="28"/>
      <c r="AE99" s="28"/>
      <c r="AF99" s="30"/>
      <c r="AO99" s="26"/>
      <c r="AP99" s="26"/>
      <c r="AQ99" s="56"/>
      <c r="AU99" s="28"/>
      <c r="AV99" s="30"/>
    </row>
    <row r="100" spans="1:48" x14ac:dyDescent="0.45">
      <c r="T100" s="70"/>
      <c r="V100" s="34"/>
      <c r="W100" s="34"/>
      <c r="X100" s="36"/>
    </row>
    <row r="101" spans="1:48" x14ac:dyDescent="0.45">
      <c r="D101" s="19" t="s">
        <v>7</v>
      </c>
      <c r="K101" s="72"/>
      <c r="N101" s="73"/>
      <c r="T101" s="70"/>
      <c r="V101" s="34"/>
      <c r="W101" s="34"/>
      <c r="X101" s="36"/>
    </row>
    <row r="102" spans="1:48" ht="15.75" customHeight="1" x14ac:dyDescent="0.45"/>
    <row r="103" spans="1:48" ht="15.75" customHeight="1" x14ac:dyDescent="0.45">
      <c r="D103" s="80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03" s="13"/>
      <c r="F103" s="16" t="str">
        <f>+F79</f>
        <v>JANUARY - JUNE</v>
      </c>
      <c r="G103" s="17"/>
      <c r="H103" s="17"/>
      <c r="I103" s="13"/>
      <c r="J103" s="13"/>
      <c r="K103" s="82" t="str">
        <f>+K79</f>
        <v>APRIL - JUNE</v>
      </c>
      <c r="L103" s="82"/>
      <c r="M103" s="82"/>
      <c r="N103" s="14"/>
      <c r="O103" s="14"/>
      <c r="P103" s="14"/>
      <c r="T103" s="83"/>
      <c r="U103" s="13"/>
      <c r="V103" s="14"/>
      <c r="W103" s="15"/>
      <c r="X103" s="15"/>
      <c r="Y103" s="13"/>
      <c r="Z103" s="13"/>
      <c r="AA103" s="65"/>
      <c r="AB103" s="65"/>
      <c r="AC103" s="65"/>
      <c r="AD103" s="14"/>
      <c r="AE103" s="14"/>
      <c r="AF103" s="14"/>
      <c r="AO103" s="13"/>
      <c r="AP103" s="13"/>
      <c r="AQ103" s="65"/>
      <c r="AU103" s="14"/>
      <c r="AV103" s="14"/>
    </row>
    <row r="104" spans="1:48" ht="15.75" customHeight="1" x14ac:dyDescent="0.45">
      <c r="D104" s="81"/>
      <c r="E104" s="13"/>
      <c r="F104" s="13"/>
      <c r="G104" s="13"/>
      <c r="H104" s="13"/>
      <c r="I104" s="13"/>
      <c r="J104" s="13"/>
      <c r="K104" s="18"/>
      <c r="L104" s="18"/>
      <c r="M104" s="18"/>
      <c r="N104" s="13"/>
      <c r="O104" s="13"/>
      <c r="P104" s="13"/>
      <c r="T104" s="83"/>
      <c r="U104" s="13"/>
      <c r="V104" s="13"/>
      <c r="W104" s="13"/>
      <c r="X104" s="13"/>
      <c r="Y104" s="13"/>
      <c r="Z104" s="13"/>
      <c r="AA104" s="67"/>
      <c r="AB104" s="67"/>
      <c r="AC104" s="67"/>
      <c r="AD104" s="13"/>
      <c r="AE104" s="13"/>
      <c r="AF104" s="13"/>
      <c r="AO104" s="13"/>
      <c r="AP104" s="13"/>
      <c r="AQ104" s="67"/>
      <c r="AU104" s="13"/>
      <c r="AV104" s="13"/>
    </row>
    <row r="105" spans="1:48" ht="15.75" customHeight="1" x14ac:dyDescent="0.45">
      <c r="D105" s="19" t="str">
        <f>+IF($B$3="esp","Millones de €","€ Millions")</f>
        <v>€ Millions</v>
      </c>
      <c r="E105" s="13"/>
      <c r="F105" s="20">
        <v>2024</v>
      </c>
      <c r="G105" s="20">
        <v>2023</v>
      </c>
      <c r="H105" s="20" t="str">
        <f>+IF($B$3="esp","Var.","Chg.")</f>
        <v>Chg.</v>
      </c>
      <c r="I105" s="13"/>
      <c r="J105" s="13"/>
      <c r="K105" s="20">
        <f>+K8</f>
        <v>2024</v>
      </c>
      <c r="L105" s="20">
        <f>+L8</f>
        <v>2023</v>
      </c>
      <c r="M105" s="20" t="str">
        <f>+IF($B$3="esp","Var.","Chg.")</f>
        <v>Chg.</v>
      </c>
      <c r="N105" s="21"/>
      <c r="O105" s="21"/>
      <c r="P105" s="21"/>
      <c r="T105" s="19"/>
      <c r="U105" s="13"/>
      <c r="V105" s="21"/>
      <c r="W105" s="21"/>
      <c r="X105" s="21"/>
      <c r="Y105" s="13"/>
      <c r="Z105" s="13"/>
      <c r="AA105" s="68"/>
      <c r="AB105" s="68"/>
      <c r="AC105" s="68"/>
      <c r="AD105" s="21"/>
      <c r="AE105" s="21"/>
      <c r="AF105" s="21"/>
      <c r="AO105" s="13"/>
      <c r="AP105" s="13"/>
      <c r="AQ105" s="68"/>
      <c r="AU105" s="21"/>
      <c r="AV105" s="21"/>
    </row>
    <row r="106" spans="1:48" ht="15.75" customHeight="1" x14ac:dyDescent="0.45">
      <c r="A106" s="71"/>
      <c r="D106" s="22" t="str">
        <f>+IF($B$3="esp","Ingresos de Explotación a tipo constante","Operating Revenues on constant currency")</f>
        <v>Operating Revenues on constant currency</v>
      </c>
      <c r="F106" s="23"/>
      <c r="G106" s="23"/>
      <c r="H106" s="23"/>
      <c r="K106" s="24"/>
      <c r="L106" s="24"/>
      <c r="M106" s="24"/>
      <c r="T106" s="69"/>
    </row>
    <row r="107" spans="1:48" x14ac:dyDescent="0.45">
      <c r="D107" s="27" t="str">
        <f>+IF($B$3="esp","GRUPO","GROUP")</f>
        <v>GROUP</v>
      </c>
      <c r="E107" s="26"/>
      <c r="F107" s="75">
        <v>416.11662380809054</v>
      </c>
      <c r="G107" s="28">
        <f t="shared" ref="G107:G113" si="34">+G83</f>
        <v>440.7064090490648</v>
      </c>
      <c r="H107" s="29">
        <f t="shared" ref="H107:H113" si="35">IF(G107=0,"---",IF(OR(ABS((F107-G107)/ABS(G107))&gt;9,(F107*G107)&lt;0),"---",IF(G107="0","---",((F107-G107)/ABS(G107)))))</f>
        <v>-5.5796295983153339E-2</v>
      </c>
      <c r="I107" s="26"/>
      <c r="J107" s="26"/>
      <c r="K107" s="78">
        <v>167.40378193279574</v>
      </c>
      <c r="L107" s="28">
        <f t="shared" ref="L107:L113" si="36">+L83</f>
        <v>173.79546372386213</v>
      </c>
      <c r="M107" s="32">
        <f t="shared" ref="M107:M113" si="37">IF(L107=0,"---",IF(OR(ABS((K107-L107)/ABS(L107))&gt;9,(K107*L107)&lt;0),"---",IF(L107="0","---",((K107-L107)/ABS(L107)))))</f>
        <v>-3.677703464816505E-2</v>
      </c>
      <c r="N107" s="28"/>
      <c r="O107" s="28"/>
      <c r="P107" s="30"/>
      <c r="T107" s="27"/>
      <c r="U107" s="26"/>
      <c r="V107" s="28"/>
      <c r="W107" s="28"/>
      <c r="X107" s="30"/>
      <c r="Y107" s="26"/>
      <c r="Z107" s="26"/>
      <c r="AA107" s="56"/>
      <c r="AB107" s="56"/>
      <c r="AC107" s="56"/>
      <c r="AD107" s="28"/>
      <c r="AE107" s="28"/>
      <c r="AF107" s="30"/>
      <c r="AO107" s="26"/>
      <c r="AP107" s="26"/>
      <c r="AQ107" s="56"/>
      <c r="AU107" s="28"/>
      <c r="AV107" s="30"/>
    </row>
    <row r="108" spans="1:48" x14ac:dyDescent="0.45">
      <c r="D108" s="33" t="str">
        <f>+IF($B$3="esp","Educación","Education")</f>
        <v>Education</v>
      </c>
      <c r="F108" s="76">
        <v>201.13988334496642</v>
      </c>
      <c r="G108" s="34">
        <f t="shared" si="34"/>
        <v>235.13597716587736</v>
      </c>
      <c r="H108" s="35">
        <f t="shared" si="35"/>
        <v>-0.14458057091334986</v>
      </c>
      <c r="K108" s="79">
        <v>53.04680264918462</v>
      </c>
      <c r="L108" s="34">
        <f t="shared" si="36"/>
        <v>65.49108955498491</v>
      </c>
      <c r="M108" s="38">
        <f t="shared" si="37"/>
        <v>-0.1900149621934803</v>
      </c>
      <c r="N108" s="34"/>
      <c r="O108" s="34"/>
      <c r="P108" s="36"/>
      <c r="T108" s="33"/>
      <c r="V108" s="34"/>
      <c r="W108" s="34"/>
      <c r="X108" s="36"/>
      <c r="AA108" s="60"/>
      <c r="AB108" s="60"/>
      <c r="AC108" s="60"/>
      <c r="AD108" s="34"/>
      <c r="AE108" s="34"/>
      <c r="AF108" s="36"/>
      <c r="AQ108" s="60"/>
      <c r="AU108" s="34"/>
      <c r="AV108" s="36"/>
    </row>
    <row r="109" spans="1:48" ht="15.75" customHeight="1" x14ac:dyDescent="0.45">
      <c r="D109" s="33" t="str">
        <f>+IF($B$3="esp","Media","Media")</f>
        <v>Media</v>
      </c>
      <c r="F109" s="76">
        <v>205.38241806233108</v>
      </c>
      <c r="G109" s="34">
        <f t="shared" si="34"/>
        <v>204.49543353264787</v>
      </c>
      <c r="H109" s="35">
        <f t="shared" si="35"/>
        <v>4.3374295179144443E-3</v>
      </c>
      <c r="K109" s="79">
        <v>114.47406683768335</v>
      </c>
      <c r="L109" s="34">
        <f t="shared" si="36"/>
        <v>106.90356402637771</v>
      </c>
      <c r="M109" s="38">
        <f t="shared" si="37"/>
        <v>7.0816187282939189E-2</v>
      </c>
      <c r="N109" s="34"/>
      <c r="O109" s="34"/>
      <c r="P109" s="36"/>
      <c r="T109" s="70"/>
      <c r="V109" s="34"/>
      <c r="W109" s="34"/>
      <c r="X109" s="36"/>
      <c r="AA109" s="60"/>
      <c r="AB109" s="60"/>
      <c r="AC109" s="60"/>
      <c r="AD109" s="34"/>
      <c r="AE109" s="34"/>
      <c r="AF109" s="36"/>
      <c r="AQ109" s="60"/>
      <c r="AU109" s="34"/>
      <c r="AV109" s="36"/>
    </row>
    <row r="110" spans="1:48" ht="15.75" customHeight="1" x14ac:dyDescent="0.45">
      <c r="D110" s="70" t="s">
        <v>6</v>
      </c>
      <c r="F110" s="76">
        <v>119.66347886228678</v>
      </c>
      <c r="G110" s="34">
        <f t="shared" si="34"/>
        <v>112.11472613573804</v>
      </c>
      <c r="H110" s="35">
        <f t="shared" si="35"/>
        <v>6.7330608446649703E-2</v>
      </c>
      <c r="K110" s="79">
        <v>68.220490795114202</v>
      </c>
      <c r="L110" s="34">
        <f t="shared" si="36"/>
        <v>60.176815864930745</v>
      </c>
      <c r="M110" s="38">
        <f t="shared" si="37"/>
        <v>0.13366734039630487</v>
      </c>
      <c r="N110" s="34"/>
      <c r="O110" s="34"/>
      <c r="P110" s="36"/>
      <c r="T110" s="70"/>
      <c r="V110" s="34"/>
      <c r="W110" s="34"/>
      <c r="X110" s="36"/>
      <c r="AA110" s="60"/>
      <c r="AB110" s="60"/>
      <c r="AC110" s="60"/>
      <c r="AD110" s="34"/>
      <c r="AE110" s="34"/>
      <c r="AF110" s="36"/>
      <c r="AQ110" s="60"/>
      <c r="AU110" s="34"/>
      <c r="AV110" s="36"/>
    </row>
    <row r="111" spans="1:48" ht="15.75" customHeight="1" x14ac:dyDescent="0.45">
      <c r="D111" s="70" t="str">
        <f>+IF($B$3="esp","Prensa","Press")</f>
        <v>Press</v>
      </c>
      <c r="F111" s="76">
        <v>78.012661652282603</v>
      </c>
      <c r="G111" s="34">
        <f t="shared" si="34"/>
        <v>75.914975846692585</v>
      </c>
      <c r="H111" s="35">
        <f t="shared" si="35"/>
        <v>2.7632042060135999E-2</v>
      </c>
      <c r="K111" s="79">
        <v>43.42866397670295</v>
      </c>
      <c r="L111" s="34">
        <f t="shared" si="36"/>
        <v>41.312000587976719</v>
      </c>
      <c r="M111" s="38">
        <f t="shared" si="37"/>
        <v>5.1236041794167096E-2</v>
      </c>
      <c r="N111" s="34"/>
      <c r="O111" s="34"/>
      <c r="P111" s="36"/>
      <c r="T111" s="33"/>
      <c r="V111" s="34"/>
      <c r="W111" s="34"/>
      <c r="X111" s="36"/>
      <c r="AA111" s="60"/>
      <c r="AB111" s="60"/>
      <c r="AC111" s="60"/>
      <c r="AD111" s="34"/>
      <c r="AE111" s="34"/>
      <c r="AF111" s="36"/>
      <c r="AQ111" s="60"/>
      <c r="AU111" s="34"/>
      <c r="AV111" s="36"/>
    </row>
    <row r="112" spans="1:48" ht="15.75" customHeight="1" x14ac:dyDescent="0.45">
      <c r="D112" s="70" t="str">
        <f>+IF($B$3="esp","Otros*","Other*")</f>
        <v>Other*</v>
      </c>
      <c r="F112" s="76">
        <v>7.7062775477617107</v>
      </c>
      <c r="G112" s="34">
        <f t="shared" si="34"/>
        <v>16.465731550217257</v>
      </c>
      <c r="H112" s="35">
        <f t="shared" si="35"/>
        <v>-0.53198085828989294</v>
      </c>
      <c r="K112" s="79">
        <v>2.8249120658661924</v>
      </c>
      <c r="L112" s="34">
        <f t="shared" si="36"/>
        <v>5.4147475734702386</v>
      </c>
      <c r="M112" s="38">
        <f t="shared" si="37"/>
        <v>-0.47829293470540413</v>
      </c>
      <c r="N112" s="34"/>
      <c r="O112" s="34"/>
      <c r="P112" s="36"/>
      <c r="T112" s="70"/>
      <c r="V112" s="34"/>
      <c r="W112" s="34"/>
      <c r="X112" s="36"/>
      <c r="AA112" s="60"/>
      <c r="AB112" s="60"/>
      <c r="AC112" s="60"/>
      <c r="AD112" s="34"/>
      <c r="AE112" s="34"/>
      <c r="AF112" s="36"/>
      <c r="AQ112" s="60"/>
      <c r="AU112" s="34"/>
      <c r="AV112" s="36"/>
    </row>
    <row r="113" spans="1:48" ht="15.75" customHeight="1" x14ac:dyDescent="0.45">
      <c r="D113" s="33" t="str">
        <f>+IF($B$3="esp","Prisa Holding y Otros","Prisa Holding and Other")</f>
        <v>Prisa Holding and Other</v>
      </c>
      <c r="F113" s="76">
        <v>9.594322400792997</v>
      </c>
      <c r="G113" s="34">
        <f t="shared" si="34"/>
        <v>1.0749983505395648</v>
      </c>
      <c r="H113" s="35">
        <f t="shared" si="35"/>
        <v>7.9249647648086166</v>
      </c>
      <c r="K113" s="79">
        <v>-0.11708755407221906</v>
      </c>
      <c r="L113" s="34">
        <f t="shared" si="36"/>
        <v>1.4008101424995256</v>
      </c>
      <c r="M113" s="38" t="str">
        <f t="shared" si="37"/>
        <v>---</v>
      </c>
      <c r="T113" s="70"/>
      <c r="V113" s="34"/>
      <c r="W113" s="34"/>
      <c r="X113" s="36"/>
    </row>
    <row r="114" spans="1:48" ht="15.75" customHeight="1" x14ac:dyDescent="0.45">
      <c r="A114" s="71"/>
      <c r="L114" s="3"/>
      <c r="T114" s="33"/>
      <c r="V114" s="34"/>
      <c r="W114" s="34"/>
      <c r="X114" s="36"/>
    </row>
    <row r="115" spans="1:48" x14ac:dyDescent="0.45">
      <c r="D115" s="22" t="str">
        <f>+IF($B$3="esp","EBITDA a tipo constante","EBITDA on constant currency")</f>
        <v>EBITDA on constant currency</v>
      </c>
      <c r="F115" s="23"/>
      <c r="G115" s="23"/>
      <c r="H115" s="23"/>
      <c r="I115" s="26"/>
      <c r="J115" s="26"/>
      <c r="K115" s="24"/>
      <c r="L115" s="23"/>
      <c r="M115" s="24"/>
      <c r="N115" s="28"/>
      <c r="O115" s="28"/>
      <c r="P115" s="30"/>
      <c r="Y115" s="26"/>
      <c r="Z115" s="26"/>
      <c r="AA115" s="56"/>
      <c r="AB115" s="56"/>
      <c r="AC115" s="56"/>
      <c r="AD115" s="28"/>
      <c r="AE115" s="28"/>
      <c r="AF115" s="30"/>
      <c r="AO115" s="26"/>
      <c r="AP115" s="26"/>
      <c r="AQ115" s="56"/>
      <c r="AU115" s="28"/>
      <c r="AV115" s="30"/>
    </row>
    <row r="116" spans="1:48" x14ac:dyDescent="0.45">
      <c r="D116" s="27" t="str">
        <f>+IF($B$3="esp","GRUPO","GROUP")</f>
        <v>GROUP</v>
      </c>
      <c r="E116" s="26"/>
      <c r="F116" s="75">
        <v>67.240699186583313</v>
      </c>
      <c r="G116" s="28">
        <f>+G92</f>
        <v>68.344495208937559</v>
      </c>
      <c r="H116" s="29">
        <f t="shared" ref="H116:H122" si="38">IF(G116=0,"---",IF(OR(ABS((F116-G116)/ABS(G116))&gt;9,(F116*G116)&lt;0),"---",IF(G116="0","---",((F116-G116)/ABS(G116)))))</f>
        <v>-1.6150474430746836E-2</v>
      </c>
      <c r="K116" s="78">
        <v>-0.75552418128813181</v>
      </c>
      <c r="L116" s="28">
        <f>+L92</f>
        <v>1.1238936823824042</v>
      </c>
      <c r="M116" s="32" t="str">
        <f t="shared" ref="M116:M122" si="39">IF(L116=0,"---",IF(OR(ABS((K116-L116)/ABS(L116))&gt;9,(K116*L116)&lt;0),"---",IF(L116="0","---",((K116-L116)/ABS(L116)))))</f>
        <v>---</v>
      </c>
      <c r="N116" s="34"/>
      <c r="O116" s="34"/>
      <c r="P116" s="36"/>
      <c r="T116" s="69"/>
      <c r="AA116" s="60"/>
      <c r="AB116" s="60"/>
      <c r="AC116" s="60"/>
      <c r="AD116" s="34"/>
      <c r="AE116" s="34"/>
      <c r="AF116" s="36"/>
      <c r="AQ116" s="60"/>
      <c r="AU116" s="34"/>
      <c r="AV116" s="36"/>
    </row>
    <row r="117" spans="1:48" ht="15.75" customHeight="1" x14ac:dyDescent="0.45">
      <c r="D117" s="33" t="str">
        <f>+IF($B$3="esp","Educación","Education")</f>
        <v>Education</v>
      </c>
      <c r="F117" s="76">
        <v>42.227369840346746</v>
      </c>
      <c r="G117" s="34">
        <f>+G93</f>
        <v>55.102732978969989</v>
      </c>
      <c r="H117" s="35">
        <f t="shared" si="38"/>
        <v>-0.23366106257446681</v>
      </c>
      <c r="K117" s="79">
        <v>-17.718158293950317</v>
      </c>
      <c r="L117" s="34">
        <f>+L93</f>
        <v>-11.765354486435273</v>
      </c>
      <c r="M117" s="38">
        <f t="shared" si="39"/>
        <v>-0.50596042935878049</v>
      </c>
      <c r="N117" s="34"/>
      <c r="O117" s="34"/>
      <c r="P117" s="36"/>
      <c r="T117" s="27"/>
      <c r="U117" s="26"/>
      <c r="V117" s="28"/>
      <c r="W117" s="28"/>
      <c r="X117" s="30"/>
      <c r="AA117" s="60"/>
      <c r="AB117" s="60"/>
      <c r="AC117" s="60"/>
      <c r="AD117" s="34"/>
      <c r="AE117" s="34"/>
      <c r="AF117" s="36"/>
      <c r="AQ117" s="60"/>
      <c r="AU117" s="34"/>
      <c r="AV117" s="36"/>
    </row>
    <row r="118" spans="1:48" ht="15.75" customHeight="1" x14ac:dyDescent="0.45">
      <c r="D118" s="33" t="str">
        <f>+IF($B$3="esp","Media","Media")</f>
        <v>Media</v>
      </c>
      <c r="F118" s="76">
        <v>18.410995416236577</v>
      </c>
      <c r="G118" s="34">
        <f t="shared" ref="G118:G122" si="40">+G94</f>
        <v>14.30778588996796</v>
      </c>
      <c r="H118" s="35">
        <f t="shared" si="38"/>
        <v>0.28678158576203061</v>
      </c>
      <c r="K118" s="79">
        <v>18.800817872662122</v>
      </c>
      <c r="L118" s="34">
        <f t="shared" ref="L118:L122" si="41">+L94</f>
        <v>12.396461918817952</v>
      </c>
      <c r="M118" s="38">
        <f t="shared" si="39"/>
        <v>0.51662772779725918</v>
      </c>
      <c r="N118" s="34"/>
      <c r="O118" s="34"/>
      <c r="P118" s="36"/>
      <c r="T118" s="33"/>
      <c r="V118" s="34"/>
      <c r="W118" s="34"/>
      <c r="X118" s="36"/>
      <c r="AA118" s="60"/>
      <c r="AB118" s="60"/>
      <c r="AC118" s="60"/>
      <c r="AD118" s="34"/>
      <c r="AE118" s="34"/>
      <c r="AF118" s="36"/>
      <c r="AQ118" s="60"/>
      <c r="AU118" s="34"/>
      <c r="AV118" s="36"/>
    </row>
    <row r="119" spans="1:48" ht="15.75" customHeight="1" x14ac:dyDescent="0.45">
      <c r="D119" s="70" t="s">
        <v>6</v>
      </c>
      <c r="F119" s="76">
        <v>17.6814797527942</v>
      </c>
      <c r="G119" s="34">
        <f t="shared" si="40"/>
        <v>13.809893624033009</v>
      </c>
      <c r="H119" s="35">
        <f t="shared" si="38"/>
        <v>0.28034872926345844</v>
      </c>
      <c r="K119" s="79">
        <v>15.391870900323685</v>
      </c>
      <c r="L119" s="34">
        <f t="shared" si="41"/>
        <v>9.8202538966253474</v>
      </c>
      <c r="M119" s="38">
        <f t="shared" si="39"/>
        <v>0.56735977117791014</v>
      </c>
      <c r="N119" s="34"/>
      <c r="O119" s="34"/>
      <c r="P119" s="36"/>
      <c r="T119" s="70"/>
      <c r="V119" s="34"/>
      <c r="W119" s="34"/>
      <c r="X119" s="36"/>
      <c r="AA119" s="60"/>
      <c r="AB119" s="60"/>
      <c r="AC119" s="60"/>
      <c r="AD119" s="34"/>
      <c r="AE119" s="34"/>
      <c r="AF119" s="36"/>
      <c r="AQ119" s="60"/>
      <c r="AU119" s="34"/>
      <c r="AV119" s="36"/>
    </row>
    <row r="120" spans="1:48" ht="15.75" customHeight="1" x14ac:dyDescent="0.45">
      <c r="D120" s="70" t="str">
        <f>+IF($B$3="esp","Prensa","Press")</f>
        <v>Press</v>
      </c>
      <c r="F120" s="76">
        <v>2.2221483456612718</v>
      </c>
      <c r="G120" s="34">
        <f t="shared" si="40"/>
        <v>-1.0776995341072801</v>
      </c>
      <c r="H120" s="35" t="str">
        <f t="shared" si="38"/>
        <v>---</v>
      </c>
      <c r="K120" s="79">
        <v>4.4344894268349524</v>
      </c>
      <c r="L120" s="34">
        <f t="shared" si="41"/>
        <v>2.0715927712369062</v>
      </c>
      <c r="M120" s="38">
        <f t="shared" si="39"/>
        <v>1.1406183147603901</v>
      </c>
      <c r="N120" s="34"/>
      <c r="O120" s="34"/>
      <c r="P120" s="36"/>
      <c r="T120" s="70"/>
      <c r="V120" s="34"/>
      <c r="W120" s="34"/>
      <c r="X120" s="36"/>
      <c r="AA120" s="60"/>
      <c r="AB120" s="60"/>
      <c r="AC120" s="60"/>
      <c r="AD120" s="34"/>
      <c r="AE120" s="34"/>
      <c r="AF120" s="36"/>
      <c r="AQ120" s="60"/>
      <c r="AU120" s="34"/>
      <c r="AV120" s="36"/>
    </row>
    <row r="121" spans="1:48" ht="15.75" customHeight="1" x14ac:dyDescent="0.45">
      <c r="D121" s="70" t="str">
        <f>+IF($B$3="esp","Otros*","Other*")</f>
        <v>Other*</v>
      </c>
      <c r="F121" s="76">
        <v>-1.4926326822188953</v>
      </c>
      <c r="G121" s="34">
        <f t="shared" si="40"/>
        <v>1.5755918000422302</v>
      </c>
      <c r="H121" s="35" t="str">
        <f t="shared" si="38"/>
        <v>---</v>
      </c>
      <c r="K121" s="79">
        <v>-1.0255424544965157</v>
      </c>
      <c r="L121" s="34">
        <f t="shared" si="41"/>
        <v>0.50461525095569915</v>
      </c>
      <c r="M121" s="38" t="str">
        <f t="shared" si="39"/>
        <v>---</v>
      </c>
      <c r="T121" s="33"/>
      <c r="V121" s="34"/>
      <c r="W121" s="34"/>
      <c r="X121" s="36"/>
    </row>
    <row r="122" spans="1:48" ht="15.75" customHeight="1" x14ac:dyDescent="0.45">
      <c r="A122" s="71"/>
      <c r="D122" s="33" t="str">
        <f>+IF($B$3="esp","Prisa Holding y Otros","Prisa Holding and Other")</f>
        <v>Prisa Holding and Other</v>
      </c>
      <c r="F122" s="76">
        <v>6.6023339299999897</v>
      </c>
      <c r="G122" s="34">
        <f t="shared" si="40"/>
        <v>-1.0660236600003883</v>
      </c>
      <c r="H122" s="35" t="str">
        <f t="shared" si="38"/>
        <v>---</v>
      </c>
      <c r="K122" s="79">
        <v>-1.8381837599999362</v>
      </c>
      <c r="L122" s="34">
        <f t="shared" si="41"/>
        <v>0.49278624999972592</v>
      </c>
      <c r="M122" s="38" t="str">
        <f t="shared" si="39"/>
        <v>---</v>
      </c>
      <c r="T122" s="70"/>
      <c r="V122" s="34"/>
      <c r="W122" s="34"/>
      <c r="X122" s="36"/>
    </row>
    <row r="123" spans="1:48" x14ac:dyDescent="0.45">
      <c r="I123" s="26"/>
      <c r="J123" s="26"/>
      <c r="K123" s="74"/>
      <c r="L123" s="74"/>
      <c r="M123" s="74"/>
      <c r="N123" s="28"/>
      <c r="O123" s="28"/>
      <c r="P123" s="30"/>
      <c r="T123" s="70"/>
      <c r="V123" s="34"/>
      <c r="W123" s="34"/>
      <c r="X123" s="36"/>
      <c r="Y123" s="26"/>
      <c r="Z123" s="26"/>
      <c r="AA123" s="56"/>
      <c r="AB123" s="56"/>
      <c r="AC123" s="56"/>
      <c r="AD123" s="28"/>
      <c r="AE123" s="28"/>
      <c r="AF123" s="30"/>
      <c r="AO123" s="26"/>
      <c r="AP123" s="26"/>
      <c r="AQ123" s="56"/>
      <c r="AU123" s="28"/>
      <c r="AV123" s="30"/>
    </row>
    <row r="124" spans="1:48" x14ac:dyDescent="0.45">
      <c r="D124" s="19" t="s">
        <v>7</v>
      </c>
      <c r="T124" s="70"/>
      <c r="V124" s="34"/>
      <c r="W124" s="34"/>
      <c r="X124" s="36"/>
    </row>
    <row r="125" spans="1:48" x14ac:dyDescent="0.45">
      <c r="T125" s="33"/>
      <c r="V125" s="34"/>
      <c r="W125" s="34"/>
      <c r="X125" s="36"/>
    </row>
  </sheetData>
  <mergeCells count="12">
    <mergeCell ref="F6:H6"/>
    <mergeCell ref="K6:M6"/>
    <mergeCell ref="AA6:AC6"/>
    <mergeCell ref="AQ6:AS6"/>
    <mergeCell ref="K53:M53"/>
    <mergeCell ref="AA53:AC53"/>
    <mergeCell ref="D79:D80"/>
    <mergeCell ref="K79:M79"/>
    <mergeCell ref="T79:T80"/>
    <mergeCell ref="D103:D104"/>
    <mergeCell ref="K103:M103"/>
    <mergeCell ref="T103:T104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Alcalde Polo</dc:creator>
  <cp:lastModifiedBy>Mariola Riaño Ortun</cp:lastModifiedBy>
  <dcterms:created xsi:type="dcterms:W3CDTF">2024-07-18T15:03:13Z</dcterms:created>
  <dcterms:modified xsi:type="dcterms:W3CDTF">2024-07-29T11:22:31Z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d9466-8d4e-4a56-b721-1076610ba137_Enabled">
    <vt:lpwstr>true</vt:lpwstr>
  </property>
  <property fmtid="{D5CDD505-2E9C-101B-9397-08002B2CF9AE}" pid="3" name="MSIP_Label_93cd9466-8d4e-4a56-b721-1076610ba137_SetDate">
    <vt:lpwstr>2024-07-18T15:05:26Z</vt:lpwstr>
  </property>
  <property fmtid="{D5CDD505-2E9C-101B-9397-08002B2CF9AE}" pid="4" name="MSIP_Label_93cd9466-8d4e-4a56-b721-1076610ba137_Method">
    <vt:lpwstr>Standard</vt:lpwstr>
  </property>
  <property fmtid="{D5CDD505-2E9C-101B-9397-08002B2CF9AE}" pid="5" name="MSIP_Label_93cd9466-8d4e-4a56-b721-1076610ba137_Name">
    <vt:lpwstr>General</vt:lpwstr>
  </property>
  <property fmtid="{D5CDD505-2E9C-101B-9397-08002B2CF9AE}" pid="6" name="MSIP_Label_93cd9466-8d4e-4a56-b721-1076610ba137_SiteId">
    <vt:lpwstr>c4fd49f3-e15a-44d8-82e2-c909735d2e45</vt:lpwstr>
  </property>
  <property fmtid="{D5CDD505-2E9C-101B-9397-08002B2CF9AE}" pid="7" name="MSIP_Label_93cd9466-8d4e-4a56-b721-1076610ba137_ActionId">
    <vt:lpwstr>c3cff841-96f0-49bc-a2dc-e6c1d21ba54b</vt:lpwstr>
  </property>
  <property fmtid="{D5CDD505-2E9C-101B-9397-08002B2CF9AE}" pid="8" name="MSIP_Label_93cd9466-8d4e-4a56-b721-1076610ba137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